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charts/chart2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Results\"/>
    </mc:Choice>
  </mc:AlternateContent>
  <bookViews>
    <workbookView xWindow="360" yWindow="45" windowWidth="9555" windowHeight="4950" firstSheet="2" activeTab="7"/>
  </bookViews>
  <sheets>
    <sheet name="IP_linksErrorFree" sheetId="1" r:id="rId1"/>
    <sheet name="MPLS_Demands" sheetId="2" r:id="rId2"/>
    <sheet name="Shut-off lambda" sheetId="4" r:id="rId3"/>
    <sheet name="Multiple-path Reroute" sheetId="16" r:id="rId4"/>
    <sheet name="Selective 0&lt;alpha&lt;1" sheetId="15" r:id="rId5"/>
    <sheet name="BDF" sheetId="5" r:id="rId6"/>
    <sheet name="SDF" sheetId="6" r:id="rId7"/>
    <sheet name="Single-hop Reroute" sheetId="8" r:id="rId8"/>
    <sheet name="No-Reroute" sheetId="9" r:id="rId9"/>
    <sheet name="ES-EP" sheetId="10" r:id="rId10"/>
    <sheet name="US-EP" sheetId="11" r:id="rId11"/>
    <sheet name="US-UP" sheetId="12" r:id="rId12"/>
    <sheet name="US" sheetId="13" r:id="rId13"/>
    <sheet name="FlowThinning" sheetId="17" r:id="rId14"/>
    <sheet name="FlowThinningModularCapacities" sheetId="18" r:id="rId15"/>
    <sheet name="AffineFlowThinning" sheetId="19" r:id="rId16"/>
    <sheet name="AffineFlowThinningModularCapaci" sheetId="20" r:id="rId17"/>
    <sheet name="conclusion" sheetId="7" r:id="rId18"/>
  </sheets>
  <externalReferences>
    <externalReference r:id="rId19"/>
    <externalReference r:id="rId20"/>
  </externalReferences>
  <calcPr calcId="162913"/>
</workbook>
</file>

<file path=xl/calcChain.xml><?xml version="1.0" encoding="utf-8"?>
<calcChain xmlns="http://schemas.openxmlformats.org/spreadsheetml/2006/main">
  <c r="G16" i="19" l="1"/>
  <c r="H14" i="19"/>
  <c r="H13" i="19"/>
  <c r="H12" i="19"/>
  <c r="H11" i="19"/>
  <c r="H10" i="19"/>
  <c r="H9" i="19"/>
  <c r="H8" i="19"/>
  <c r="H7" i="19"/>
  <c r="H6" i="19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H26" i="20"/>
  <c r="H25" i="20"/>
  <c r="Q16" i="20"/>
  <c r="P16" i="20"/>
  <c r="N16" i="20"/>
  <c r="Q15" i="20"/>
  <c r="P15" i="20"/>
  <c r="O15" i="20"/>
  <c r="N15" i="20"/>
  <c r="Q14" i="20"/>
  <c r="N14" i="20"/>
  <c r="Q13" i="20"/>
  <c r="N13" i="20"/>
  <c r="Q12" i="20"/>
  <c r="O12" i="20"/>
  <c r="N12" i="20"/>
  <c r="M12" i="20"/>
  <c r="Q11" i="20"/>
  <c r="M11" i="20"/>
  <c r="Q10" i="20"/>
  <c r="P10" i="20"/>
  <c r="N10" i="20"/>
  <c r="Q9" i="20"/>
  <c r="P9" i="20"/>
  <c r="M9" i="20"/>
  <c r="Q8" i="20"/>
  <c r="P8" i="20"/>
  <c r="O8" i="20"/>
  <c r="N8" i="20"/>
  <c r="M8" i="20"/>
  <c r="Q7" i="20"/>
  <c r="N7" i="20"/>
  <c r="M7" i="20"/>
  <c r="Q6" i="20"/>
  <c r="N6" i="20"/>
  <c r="Q5" i="20"/>
  <c r="O5" i="20"/>
  <c r="N5" i="20"/>
  <c r="O16" i="18" l="1"/>
  <c r="L16" i="18"/>
  <c r="O15" i="18"/>
  <c r="L15" i="18"/>
  <c r="O14" i="18"/>
  <c r="L14" i="18"/>
  <c r="O13" i="18"/>
  <c r="L13" i="18"/>
  <c r="O12" i="18"/>
  <c r="L12" i="18"/>
  <c r="K12" i="18"/>
  <c r="O11" i="18"/>
  <c r="K11" i="18"/>
  <c r="O10" i="18"/>
  <c r="N10" i="18"/>
  <c r="L10" i="18"/>
  <c r="O9" i="18"/>
  <c r="N9" i="18"/>
  <c r="K9" i="18"/>
  <c r="O8" i="18"/>
  <c r="N8" i="18"/>
  <c r="L8" i="18"/>
  <c r="K8" i="18"/>
  <c r="O7" i="18"/>
  <c r="L7" i="18"/>
  <c r="K7" i="18"/>
  <c r="O6" i="18"/>
  <c r="L6" i="18"/>
  <c r="O5" i="18"/>
  <c r="N5" i="18"/>
  <c r="L5" i="18"/>
  <c r="Q17" i="20" l="1"/>
  <c r="Q19" i="20" s="1"/>
  <c r="R16" i="20"/>
  <c r="R15" i="20"/>
  <c r="R14" i="20"/>
  <c r="R13" i="20"/>
  <c r="R12" i="20"/>
  <c r="R11" i="20"/>
  <c r="R10" i="20"/>
  <c r="R9" i="20"/>
  <c r="R8" i="20"/>
  <c r="R7" i="20"/>
  <c r="O17" i="20"/>
  <c r="M17" i="20"/>
  <c r="R5" i="20"/>
  <c r="P17" i="20"/>
  <c r="N17" i="20"/>
  <c r="D35" i="20"/>
  <c r="B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M19" i="19"/>
  <c r="Q18" i="19"/>
  <c r="M18" i="19"/>
  <c r="Q17" i="19"/>
  <c r="Q19" i="19" s="1"/>
  <c r="P17" i="19"/>
  <c r="P18" i="19" s="1"/>
  <c r="O17" i="19"/>
  <c r="O18" i="19" s="1"/>
  <c r="N17" i="19"/>
  <c r="N18" i="19" s="1"/>
  <c r="R18" i="19" s="1"/>
  <c r="M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17" i="19" s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D35" i="19"/>
  <c r="B35" i="19"/>
  <c r="C35" i="18"/>
  <c r="D35" i="18"/>
  <c r="B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P16" i="18"/>
  <c r="C16" i="18"/>
  <c r="P15" i="18"/>
  <c r="C15" i="18"/>
  <c r="P14" i="18"/>
  <c r="C14" i="18"/>
  <c r="P13" i="18"/>
  <c r="C13" i="18"/>
  <c r="P12" i="18"/>
  <c r="C12" i="18"/>
  <c r="P11" i="18"/>
  <c r="C11" i="18"/>
  <c r="O17" i="18"/>
  <c r="M17" i="18"/>
  <c r="C10" i="18"/>
  <c r="P9" i="18"/>
  <c r="G9" i="18"/>
  <c r="G10" i="18" s="1"/>
  <c r="C9" i="18"/>
  <c r="P8" i="18"/>
  <c r="C8" i="18"/>
  <c r="P7" i="18"/>
  <c r="H7" i="18"/>
  <c r="C7" i="18"/>
  <c r="P6" i="18"/>
  <c r="K17" i="18"/>
  <c r="H6" i="18"/>
  <c r="C6" i="18"/>
  <c r="P5" i="18"/>
  <c r="L17" i="18"/>
  <c r="C5" i="18"/>
  <c r="C4" i="18"/>
  <c r="D35" i="17"/>
  <c r="B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Q17" i="17"/>
  <c r="Q18" i="17" s="1"/>
  <c r="P17" i="17"/>
  <c r="P18" i="17" s="1"/>
  <c r="O17" i="17"/>
  <c r="O18" i="17" s="1"/>
  <c r="N17" i="17"/>
  <c r="N18" i="17" s="1"/>
  <c r="M17" i="17"/>
  <c r="M18" i="17" s="1"/>
  <c r="C17" i="17"/>
  <c r="R16" i="17"/>
  <c r="C16" i="17"/>
  <c r="R15" i="17"/>
  <c r="C15" i="17"/>
  <c r="R14" i="17"/>
  <c r="C14" i="17"/>
  <c r="R13" i="17"/>
  <c r="C13" i="17"/>
  <c r="R12" i="17"/>
  <c r="C12" i="17"/>
  <c r="R11" i="17"/>
  <c r="C11" i="17"/>
  <c r="R10" i="17"/>
  <c r="C10" i="17"/>
  <c r="R9" i="17"/>
  <c r="C9" i="17"/>
  <c r="R8" i="17"/>
  <c r="H8" i="17"/>
  <c r="H9" i="17" s="1"/>
  <c r="C8" i="17"/>
  <c r="R7" i="17"/>
  <c r="C7" i="17"/>
  <c r="R6" i="17"/>
  <c r="I6" i="17"/>
  <c r="C6" i="17"/>
  <c r="R5" i="17"/>
  <c r="I5" i="17"/>
  <c r="C5" i="17"/>
  <c r="C4" i="17"/>
  <c r="AE71" i="13"/>
  <c r="AE72" i="13" s="1"/>
  <c r="AG70" i="13"/>
  <c r="AO63" i="13" s="1"/>
  <c r="AR63" i="13" s="1"/>
  <c r="AF70" i="13"/>
  <c r="AJ70" i="13" s="1"/>
  <c r="AH69" i="13"/>
  <c r="AG69" i="13"/>
  <c r="AO62" i="13" s="1"/>
  <c r="AF69" i="13"/>
  <c r="AJ69" i="13" s="1"/>
  <c r="AJ68" i="13"/>
  <c r="AH68" i="13"/>
  <c r="AG68" i="13"/>
  <c r="AO61" i="13" s="1"/>
  <c r="AJ67" i="13"/>
  <c r="AG67" i="13"/>
  <c r="AF67" i="13"/>
  <c r="AJ66" i="13"/>
  <c r="AH66" i="13"/>
  <c r="AG66" i="13"/>
  <c r="AO59" i="13" s="1"/>
  <c r="AR59" i="13" s="1"/>
  <c r="AF66" i="13"/>
  <c r="AJ65" i="13"/>
  <c r="AI65" i="13"/>
  <c r="AH65" i="13"/>
  <c r="AG65" i="13"/>
  <c r="AO58" i="13" s="1"/>
  <c r="AJ64" i="13"/>
  <c r="AH64" i="13"/>
  <c r="AP57" i="13" s="1"/>
  <c r="AG64" i="13"/>
  <c r="AF64" i="13"/>
  <c r="AJ63" i="13"/>
  <c r="AH63" i="13"/>
  <c r="AG63" i="13"/>
  <c r="AH62" i="13"/>
  <c r="AP55" i="13" s="1"/>
  <c r="AG62" i="13"/>
  <c r="AO55" i="13" s="1"/>
  <c r="AR55" i="13" s="1"/>
  <c r="AF62" i="13"/>
  <c r="AJ62" i="13" s="1"/>
  <c r="AI61" i="13"/>
  <c r="AQ54" i="13" s="1"/>
  <c r="AG61" i="13"/>
  <c r="AJ61" i="13" s="1"/>
  <c r="AI60" i="13"/>
  <c r="AI71" i="13" s="1"/>
  <c r="AG60" i="13"/>
  <c r="AO53" i="13" s="1"/>
  <c r="AF60" i="13"/>
  <c r="AJ60" i="13" s="1"/>
  <c r="AJ59" i="13"/>
  <c r="AH59" i="13"/>
  <c r="AG59" i="13"/>
  <c r="AO52" i="13" s="1"/>
  <c r="AF59" i="13"/>
  <c r="AF71" i="13" s="1"/>
  <c r="AQ63" i="13"/>
  <c r="AP63" i="13"/>
  <c r="AN63" i="13"/>
  <c r="AM63" i="13"/>
  <c r="AQ62" i="13"/>
  <c r="AP62" i="13"/>
  <c r="AM62" i="13"/>
  <c r="AQ61" i="13"/>
  <c r="AP61" i="13"/>
  <c r="AN61" i="13"/>
  <c r="AM61" i="13"/>
  <c r="AQ60" i="13"/>
  <c r="AP60" i="13"/>
  <c r="AO60" i="13"/>
  <c r="AN60" i="13"/>
  <c r="AR60" i="13" s="1"/>
  <c r="AM60" i="13"/>
  <c r="AQ59" i="13"/>
  <c r="AP59" i="13"/>
  <c r="AN59" i="13"/>
  <c r="AM59" i="13"/>
  <c r="AQ58" i="13"/>
  <c r="AP58" i="13"/>
  <c r="AN58" i="13"/>
  <c r="AM58" i="13"/>
  <c r="AQ57" i="13"/>
  <c r="AO57" i="13"/>
  <c r="AN57" i="13"/>
  <c r="AM57" i="13"/>
  <c r="AQ56" i="13"/>
  <c r="AP56" i="13"/>
  <c r="AO56" i="13"/>
  <c r="AN56" i="13"/>
  <c r="AM56" i="13"/>
  <c r="AR56" i="13" s="1"/>
  <c r="AQ55" i="13"/>
  <c r="AN55" i="13"/>
  <c r="AM55" i="13"/>
  <c r="AP54" i="13"/>
  <c r="AO54" i="13"/>
  <c r="AN54" i="13"/>
  <c r="AM54" i="13"/>
  <c r="AQ53" i="13"/>
  <c r="AP53" i="13"/>
  <c r="AM53" i="13"/>
  <c r="AQ52" i="13"/>
  <c r="AP52" i="13"/>
  <c r="AN52" i="13"/>
  <c r="AM52" i="13"/>
  <c r="AE73" i="12"/>
  <c r="AE72" i="12"/>
  <c r="AE71" i="12"/>
  <c r="AG70" i="12"/>
  <c r="AF70" i="12"/>
  <c r="AN63" i="12" s="1"/>
  <c r="AR63" i="12" s="1"/>
  <c r="AH69" i="12"/>
  <c r="AP62" i="12" s="1"/>
  <c r="AG69" i="12"/>
  <c r="AJ69" i="12" s="1"/>
  <c r="AF69" i="12"/>
  <c r="AH68" i="12"/>
  <c r="AG68" i="12"/>
  <c r="AJ68" i="12" s="1"/>
  <c r="AG67" i="12"/>
  <c r="AF67" i="12"/>
  <c r="AN60" i="12" s="1"/>
  <c r="AR60" i="12" s="1"/>
  <c r="AJ66" i="12"/>
  <c r="AH66" i="12"/>
  <c r="AG66" i="12"/>
  <c r="AF66" i="12"/>
  <c r="AI65" i="12"/>
  <c r="AH65" i="12"/>
  <c r="AP58" i="12" s="1"/>
  <c r="AG65" i="12"/>
  <c r="AO58" i="12" s="1"/>
  <c r="AJ64" i="12"/>
  <c r="AH64" i="12"/>
  <c r="AG64" i="12"/>
  <c r="AF64" i="12"/>
  <c r="AJ63" i="12"/>
  <c r="AH63" i="12"/>
  <c r="AG63" i="12"/>
  <c r="AH62" i="12"/>
  <c r="AJ62" i="12" s="1"/>
  <c r="AG62" i="12"/>
  <c r="AO55" i="12" s="1"/>
  <c r="AF62" i="12"/>
  <c r="AI61" i="12"/>
  <c r="AG61" i="12"/>
  <c r="AJ61" i="12" s="1"/>
  <c r="AI60" i="12"/>
  <c r="AQ53" i="12" s="1"/>
  <c r="AG60" i="12"/>
  <c r="AG71" i="12" s="1"/>
  <c r="AF60" i="12"/>
  <c r="AH59" i="12"/>
  <c r="AG59" i="12"/>
  <c r="AO52" i="12" s="1"/>
  <c r="AF59" i="12"/>
  <c r="AF71" i="12" s="1"/>
  <c r="AQ63" i="12"/>
  <c r="AP63" i="12"/>
  <c r="AO63" i="12"/>
  <c r="AM63" i="12"/>
  <c r="AQ62" i="12"/>
  <c r="AN62" i="12"/>
  <c r="AM62" i="12"/>
  <c r="AQ61" i="12"/>
  <c r="AP61" i="12"/>
  <c r="AN61" i="12"/>
  <c r="AM61" i="12"/>
  <c r="AQ60" i="12"/>
  <c r="AP60" i="12"/>
  <c r="AO60" i="12"/>
  <c r="AM60" i="12"/>
  <c r="AQ59" i="12"/>
  <c r="AP59" i="12"/>
  <c r="AO59" i="12"/>
  <c r="AN59" i="12"/>
  <c r="AM59" i="12"/>
  <c r="AQ58" i="12"/>
  <c r="AN58" i="12"/>
  <c r="AM58" i="12"/>
  <c r="AQ57" i="12"/>
  <c r="AP57" i="12"/>
  <c r="AO57" i="12"/>
  <c r="AN57" i="12"/>
  <c r="AM57" i="12"/>
  <c r="AQ56" i="12"/>
  <c r="AP56" i="12"/>
  <c r="AO56" i="12"/>
  <c r="AN56" i="12"/>
  <c r="AM56" i="12"/>
  <c r="AR56" i="12" s="1"/>
  <c r="AQ55" i="12"/>
  <c r="AN55" i="12"/>
  <c r="AM55" i="12"/>
  <c r="AQ54" i="12"/>
  <c r="AP54" i="12"/>
  <c r="AO54" i="12"/>
  <c r="AN54" i="12"/>
  <c r="AM54" i="12"/>
  <c r="AP53" i="12"/>
  <c r="AN53" i="12"/>
  <c r="AM53" i="12"/>
  <c r="AQ52" i="12"/>
  <c r="AP52" i="12"/>
  <c r="AN52" i="12"/>
  <c r="AM52" i="12"/>
  <c r="AE73" i="11"/>
  <c r="AI71" i="11"/>
  <c r="AI73" i="11" s="1"/>
  <c r="AF71" i="11"/>
  <c r="AF72" i="11" s="1"/>
  <c r="AE71" i="11"/>
  <c r="AE72" i="11" s="1"/>
  <c r="AG70" i="11"/>
  <c r="AF70" i="11"/>
  <c r="AJ70" i="11" s="1"/>
  <c r="AH69" i="11"/>
  <c r="AP62" i="11" s="1"/>
  <c r="AG69" i="11"/>
  <c r="AF69" i="11"/>
  <c r="AJ69" i="11" s="1"/>
  <c r="AH68" i="11"/>
  <c r="AG68" i="11"/>
  <c r="AJ68" i="11" s="1"/>
  <c r="AG67" i="11"/>
  <c r="AF67" i="11"/>
  <c r="AN60" i="11" s="1"/>
  <c r="AR60" i="11" s="1"/>
  <c r="AH66" i="11"/>
  <c r="AP59" i="11" s="1"/>
  <c r="AR59" i="11" s="1"/>
  <c r="AG66" i="11"/>
  <c r="AF66" i="11"/>
  <c r="AI65" i="11"/>
  <c r="AH65" i="11"/>
  <c r="AP58" i="11" s="1"/>
  <c r="AG65" i="11"/>
  <c r="AO58" i="11" s="1"/>
  <c r="AH64" i="11"/>
  <c r="AP57" i="11" s="1"/>
  <c r="AG64" i="11"/>
  <c r="AF64" i="11"/>
  <c r="AH63" i="11"/>
  <c r="AG63" i="11"/>
  <c r="AJ63" i="11" s="1"/>
  <c r="AH62" i="11"/>
  <c r="AP55" i="11" s="1"/>
  <c r="AR55" i="11" s="1"/>
  <c r="AG62" i="11"/>
  <c r="AO55" i="11" s="1"/>
  <c r="AF62" i="11"/>
  <c r="AI61" i="11"/>
  <c r="AG61" i="11"/>
  <c r="AJ61" i="11" s="1"/>
  <c r="AI60" i="11"/>
  <c r="AG60" i="11"/>
  <c r="AO53" i="11" s="1"/>
  <c r="AF60" i="11"/>
  <c r="AJ60" i="11" s="1"/>
  <c r="AH59" i="11"/>
  <c r="AG59" i="11"/>
  <c r="AF59" i="11"/>
  <c r="AJ59" i="11" s="1"/>
  <c r="AQ63" i="11"/>
  <c r="AP63" i="11"/>
  <c r="AO63" i="11"/>
  <c r="AN63" i="11"/>
  <c r="AM63" i="11"/>
  <c r="AQ62" i="11"/>
  <c r="AO62" i="11"/>
  <c r="AM62" i="11"/>
  <c r="AQ61" i="11"/>
  <c r="AP61" i="11"/>
  <c r="AO61" i="11"/>
  <c r="AN61" i="11"/>
  <c r="AM61" i="11"/>
  <c r="AQ60" i="11"/>
  <c r="AP60" i="11"/>
  <c r="AO60" i="11"/>
  <c r="AM60" i="11"/>
  <c r="AQ59" i="11"/>
  <c r="AO59" i="11"/>
  <c r="AN59" i="11"/>
  <c r="AM59" i="11"/>
  <c r="AQ58" i="11"/>
  <c r="AN58" i="11"/>
  <c r="AM58" i="11"/>
  <c r="AQ57" i="11"/>
  <c r="AO57" i="11"/>
  <c r="AN57" i="11"/>
  <c r="AM57" i="11"/>
  <c r="AQ56" i="11"/>
  <c r="AP56" i="11"/>
  <c r="AO56" i="11"/>
  <c r="AN56" i="11"/>
  <c r="AM56" i="11"/>
  <c r="AR56" i="11" s="1"/>
  <c r="AQ55" i="11"/>
  <c r="AN55" i="11"/>
  <c r="AM55" i="11"/>
  <c r="AQ54" i="11"/>
  <c r="AP54" i="11"/>
  <c r="AO54" i="11"/>
  <c r="AN54" i="11"/>
  <c r="AR54" i="11" s="1"/>
  <c r="AM54" i="11"/>
  <c r="AQ53" i="11"/>
  <c r="AP53" i="11"/>
  <c r="AM53" i="11"/>
  <c r="AQ52" i="11"/>
  <c r="AQ64" i="11" s="1"/>
  <c r="AP52" i="11"/>
  <c r="AO52" i="11"/>
  <c r="AN52" i="11"/>
  <c r="AM52" i="11"/>
  <c r="AE71" i="10"/>
  <c r="AE72" i="10" s="1"/>
  <c r="AJ70" i="10"/>
  <c r="AG70" i="10"/>
  <c r="AF70" i="10"/>
  <c r="AH69" i="10"/>
  <c r="AP62" i="10" s="1"/>
  <c r="AG69" i="10"/>
  <c r="AO62" i="10" s="1"/>
  <c r="AF69" i="10"/>
  <c r="AJ69" i="10" s="1"/>
  <c r="AJ68" i="10"/>
  <c r="AH68" i="10"/>
  <c r="AG68" i="10"/>
  <c r="AG67" i="10"/>
  <c r="AF67" i="10"/>
  <c r="AJ67" i="10" s="1"/>
  <c r="AJ66" i="10"/>
  <c r="AH66" i="10"/>
  <c r="AP59" i="10" s="1"/>
  <c r="AG66" i="10"/>
  <c r="AO59" i="10" s="1"/>
  <c r="AF66" i="10"/>
  <c r="AN59" i="10" s="1"/>
  <c r="AI65" i="10"/>
  <c r="AH65" i="10"/>
  <c r="AG65" i="10"/>
  <c r="AJ65" i="10" s="1"/>
  <c r="AJ64" i="10"/>
  <c r="AH64" i="10"/>
  <c r="AG64" i="10"/>
  <c r="AF64" i="10"/>
  <c r="AN57" i="10" s="1"/>
  <c r="AH63" i="10"/>
  <c r="AG63" i="10"/>
  <c r="AJ63" i="10" s="1"/>
  <c r="AH62" i="10"/>
  <c r="AP55" i="10" s="1"/>
  <c r="AG62" i="10"/>
  <c r="AF62" i="10"/>
  <c r="AN55" i="10" s="1"/>
  <c r="AJ61" i="10"/>
  <c r="AI61" i="10"/>
  <c r="AG61" i="10"/>
  <c r="AI60" i="10"/>
  <c r="AI71" i="10" s="1"/>
  <c r="AG60" i="10"/>
  <c r="AG71" i="10" s="1"/>
  <c r="AF60" i="10"/>
  <c r="AF71" i="10" s="1"/>
  <c r="AH59" i="10"/>
  <c r="AJ59" i="10" s="1"/>
  <c r="AG59" i="10"/>
  <c r="AF59" i="10"/>
  <c r="AQ63" i="10"/>
  <c r="AP63" i="10"/>
  <c r="AO63" i="10"/>
  <c r="AN63" i="10"/>
  <c r="AM63" i="10"/>
  <c r="AQ62" i="10"/>
  <c r="AN62" i="10"/>
  <c r="AM62" i="10"/>
  <c r="AQ61" i="10"/>
  <c r="AP61" i="10"/>
  <c r="AO61" i="10"/>
  <c r="AN61" i="10"/>
  <c r="AM61" i="10"/>
  <c r="AQ60" i="10"/>
  <c r="AP60" i="10"/>
  <c r="AO60" i="10"/>
  <c r="AN60" i="10"/>
  <c r="AM60" i="10"/>
  <c r="AR60" i="10" s="1"/>
  <c r="AQ59" i="10"/>
  <c r="AM59" i="10"/>
  <c r="AQ58" i="10"/>
  <c r="AP58" i="10"/>
  <c r="AO58" i="10"/>
  <c r="AN58" i="10"/>
  <c r="AM58" i="10"/>
  <c r="AQ57" i="10"/>
  <c r="AP57" i="10"/>
  <c r="AO57" i="10"/>
  <c r="AM57" i="10"/>
  <c r="AQ56" i="10"/>
  <c r="AP56" i="10"/>
  <c r="AO56" i="10"/>
  <c r="AN56" i="10"/>
  <c r="AM56" i="10"/>
  <c r="AR56" i="10" s="1"/>
  <c r="AQ55" i="10"/>
  <c r="AO55" i="10"/>
  <c r="AM55" i="10"/>
  <c r="AQ54" i="10"/>
  <c r="AP54" i="10"/>
  <c r="AO54" i="10"/>
  <c r="AN54" i="10"/>
  <c r="AM54" i="10"/>
  <c r="AQ53" i="10"/>
  <c r="AP53" i="10"/>
  <c r="AN53" i="10"/>
  <c r="AM53" i="10"/>
  <c r="AR52" i="10"/>
  <c r="AQ52" i="10"/>
  <c r="AP52" i="10"/>
  <c r="AO52" i="10"/>
  <c r="AN52" i="10"/>
  <c r="AM52" i="10"/>
  <c r="Z63" i="9"/>
  <c r="Z62" i="9"/>
  <c r="Z61" i="9"/>
  <c r="AB60" i="9"/>
  <c r="AA60" i="9"/>
  <c r="AI53" i="9" s="1"/>
  <c r="AC59" i="9"/>
  <c r="AB59" i="9"/>
  <c r="AJ52" i="9" s="1"/>
  <c r="AA59" i="9"/>
  <c r="AE59" i="9" s="1"/>
  <c r="AC58" i="9"/>
  <c r="AB58" i="9"/>
  <c r="AE58" i="9" s="1"/>
  <c r="AE57" i="9"/>
  <c r="AB57" i="9"/>
  <c r="AA57" i="9"/>
  <c r="AI50" i="9" s="1"/>
  <c r="AM50" i="9" s="1"/>
  <c r="AE56" i="9"/>
  <c r="AC56" i="9"/>
  <c r="AB56" i="9"/>
  <c r="AA56" i="9"/>
  <c r="AD55" i="9"/>
  <c r="AL48" i="9" s="1"/>
  <c r="AC55" i="9"/>
  <c r="AK48" i="9" s="1"/>
  <c r="AB55" i="9"/>
  <c r="AE55" i="9" s="1"/>
  <c r="AE54" i="9"/>
  <c r="AC54" i="9"/>
  <c r="AB54" i="9"/>
  <c r="AA54" i="9"/>
  <c r="AC53" i="9"/>
  <c r="AB53" i="9"/>
  <c r="AE53" i="9" s="1"/>
  <c r="AC52" i="9"/>
  <c r="AK45" i="9" s="1"/>
  <c r="AB52" i="9"/>
  <c r="AJ45" i="9" s="1"/>
  <c r="AA52" i="9"/>
  <c r="AD51" i="9"/>
  <c r="AB51" i="9"/>
  <c r="AE51" i="9" s="1"/>
  <c r="AD50" i="9"/>
  <c r="AD61" i="9" s="1"/>
  <c r="AB50" i="9"/>
  <c r="AJ43" i="9" s="1"/>
  <c r="AA50" i="9"/>
  <c r="AE50" i="9" s="1"/>
  <c r="AC49" i="9"/>
  <c r="AB49" i="9"/>
  <c r="AA49" i="9"/>
  <c r="AA61" i="9" s="1"/>
  <c r="AL53" i="9"/>
  <c r="AK53" i="9"/>
  <c r="AJ53" i="9"/>
  <c r="AH53" i="9"/>
  <c r="AL52" i="9"/>
  <c r="AK52" i="9"/>
  <c r="AI52" i="9"/>
  <c r="AH52" i="9"/>
  <c r="AL51" i="9"/>
  <c r="AK51" i="9"/>
  <c r="AJ51" i="9"/>
  <c r="AI51" i="9"/>
  <c r="AH51" i="9"/>
  <c r="AL50" i="9"/>
  <c r="AK50" i="9"/>
  <c r="AJ50" i="9"/>
  <c r="AH50" i="9"/>
  <c r="AL49" i="9"/>
  <c r="AK49" i="9"/>
  <c r="AJ49" i="9"/>
  <c r="AI49" i="9"/>
  <c r="AH49" i="9"/>
  <c r="AM49" i="9" s="1"/>
  <c r="AJ48" i="9"/>
  <c r="AI48" i="9"/>
  <c r="AM48" i="9" s="1"/>
  <c r="AH48" i="9"/>
  <c r="AL47" i="9"/>
  <c r="AK47" i="9"/>
  <c r="AM47" i="9" s="1"/>
  <c r="AJ47" i="9"/>
  <c r="AI47" i="9"/>
  <c r="AH47" i="9"/>
  <c r="AL46" i="9"/>
  <c r="AK46" i="9"/>
  <c r="AJ46" i="9"/>
  <c r="AI46" i="9"/>
  <c r="AH46" i="9"/>
  <c r="AL45" i="9"/>
  <c r="AI45" i="9"/>
  <c r="AH45" i="9"/>
  <c r="AL44" i="9"/>
  <c r="AK44" i="9"/>
  <c r="AJ44" i="9"/>
  <c r="AM44" i="9" s="1"/>
  <c r="AI44" i="9"/>
  <c r="AH44" i="9"/>
  <c r="AL43" i="9"/>
  <c r="AK43" i="9"/>
  <c r="AH43" i="9"/>
  <c r="AL42" i="9"/>
  <c r="AK42" i="9"/>
  <c r="AJ42" i="9"/>
  <c r="AH42" i="9"/>
  <c r="AD17" i="8"/>
  <c r="AE17" i="8"/>
  <c r="AF17" i="8"/>
  <c r="AG17" i="8"/>
  <c r="AD18" i="8"/>
  <c r="AE18" i="8"/>
  <c r="AF18" i="8"/>
  <c r="AG18" i="8"/>
  <c r="AD19" i="8"/>
  <c r="AE19" i="8"/>
  <c r="AF19" i="8"/>
  <c r="AG19" i="8"/>
  <c r="AD20" i="8"/>
  <c r="AE20" i="8"/>
  <c r="AF20" i="8"/>
  <c r="AG20" i="8"/>
  <c r="AD21" i="8"/>
  <c r="AE21" i="8"/>
  <c r="AF21" i="8"/>
  <c r="AG21" i="8"/>
  <c r="AD22" i="8"/>
  <c r="AE22" i="8"/>
  <c r="AF22" i="8"/>
  <c r="AG22" i="8"/>
  <c r="AD23" i="8"/>
  <c r="AE23" i="8"/>
  <c r="AF23" i="8"/>
  <c r="AG23" i="8"/>
  <c r="AD24" i="8"/>
  <c r="AE24" i="8"/>
  <c r="AF24" i="8"/>
  <c r="AG24" i="8"/>
  <c r="AD25" i="8"/>
  <c r="AE25" i="8"/>
  <c r="AF25" i="8"/>
  <c r="AG25" i="8"/>
  <c r="AD26" i="8"/>
  <c r="AH26" i="8" s="1"/>
  <c r="AE26" i="8"/>
  <c r="AF26" i="8"/>
  <c r="AG26" i="8"/>
  <c r="AD27" i="8"/>
  <c r="AE27" i="8"/>
  <c r="AF27" i="8"/>
  <c r="AG27" i="8"/>
  <c r="AD28" i="8"/>
  <c r="AE28" i="8"/>
  <c r="AF28" i="8"/>
  <c r="AG28" i="8"/>
  <c r="AC18" i="8"/>
  <c r="AC19" i="8"/>
  <c r="AC20" i="8"/>
  <c r="AC21" i="8"/>
  <c r="AC22" i="8"/>
  <c r="AC23" i="8"/>
  <c r="AC24" i="8"/>
  <c r="AC25" i="8"/>
  <c r="AC26" i="8"/>
  <c r="AC27" i="8"/>
  <c r="AC28" i="8"/>
  <c r="AC17" i="8"/>
  <c r="U38" i="8"/>
  <c r="Y36" i="8"/>
  <c r="Y38" i="8" s="1"/>
  <c r="U36" i="8"/>
  <c r="U37" i="8" s="1"/>
  <c r="W35" i="8"/>
  <c r="V35" i="8"/>
  <c r="Z35" i="8" s="1"/>
  <c r="Z34" i="8"/>
  <c r="X34" i="8"/>
  <c r="W34" i="8"/>
  <c r="V34" i="8"/>
  <c r="X33" i="8"/>
  <c r="W33" i="8"/>
  <c r="Z33" i="8" s="1"/>
  <c r="W32" i="8"/>
  <c r="V32" i="8"/>
  <c r="Z31" i="8"/>
  <c r="X31" i="8"/>
  <c r="W31" i="8"/>
  <c r="V31" i="8"/>
  <c r="Y30" i="8"/>
  <c r="X30" i="8"/>
  <c r="W30" i="8"/>
  <c r="Z29" i="8"/>
  <c r="X29" i="8"/>
  <c r="W29" i="8"/>
  <c r="V29" i="8"/>
  <c r="X28" i="8"/>
  <c r="W28" i="8"/>
  <c r="Z28" i="8" s="1"/>
  <c r="X27" i="8"/>
  <c r="X36" i="8" s="1"/>
  <c r="W27" i="8"/>
  <c r="V27" i="8"/>
  <c r="Y26" i="8"/>
  <c r="W26" i="8"/>
  <c r="Z26" i="8" s="1"/>
  <c r="Z25" i="8"/>
  <c r="Y25" i="8"/>
  <c r="W25" i="8"/>
  <c r="V25" i="8"/>
  <c r="X24" i="8"/>
  <c r="W24" i="8"/>
  <c r="V24" i="8"/>
  <c r="V36" i="8" s="1"/>
  <c r="AH28" i="8"/>
  <c r="AL69" i="6"/>
  <c r="AQ63" i="6"/>
  <c r="AP63" i="6"/>
  <c r="AO63" i="6"/>
  <c r="AR63" i="6" s="1"/>
  <c r="AN63" i="6"/>
  <c r="AM63" i="6"/>
  <c r="AQ62" i="6"/>
  <c r="AP62" i="6"/>
  <c r="AO62" i="6"/>
  <c r="AN62" i="6"/>
  <c r="AM62" i="6"/>
  <c r="AR62" i="6" s="1"/>
  <c r="AQ61" i="6"/>
  <c r="AP61" i="6"/>
  <c r="AO61" i="6"/>
  <c r="AN61" i="6"/>
  <c r="AM61" i="6"/>
  <c r="AR61" i="6" s="1"/>
  <c r="AR60" i="6"/>
  <c r="AQ60" i="6"/>
  <c r="AP60" i="6"/>
  <c r="AO60" i="6"/>
  <c r="AN60" i="6"/>
  <c r="AM60" i="6"/>
  <c r="AQ59" i="6"/>
  <c r="AP59" i="6"/>
  <c r="AO59" i="6"/>
  <c r="AR59" i="6" s="1"/>
  <c r="AN59" i="6"/>
  <c r="AM59" i="6"/>
  <c r="AQ58" i="6"/>
  <c r="AP58" i="6"/>
  <c r="AO58" i="6"/>
  <c r="AN58" i="6"/>
  <c r="AR58" i="6" s="1"/>
  <c r="AM58" i="6"/>
  <c r="AQ57" i="6"/>
  <c r="AP57" i="6"/>
  <c r="AO57" i="6"/>
  <c r="AN57" i="6"/>
  <c r="AM57" i="6"/>
  <c r="AR57" i="6" s="1"/>
  <c r="AR56" i="6"/>
  <c r="AQ56" i="6"/>
  <c r="AP56" i="6"/>
  <c r="AO56" i="6"/>
  <c r="AN56" i="6"/>
  <c r="AM56" i="6"/>
  <c r="AQ55" i="6"/>
  <c r="AP55" i="6"/>
  <c r="AO55" i="6"/>
  <c r="AR55" i="6" s="1"/>
  <c r="AN55" i="6"/>
  <c r="AM55" i="6"/>
  <c r="AQ54" i="6"/>
  <c r="AP54" i="6"/>
  <c r="AO54" i="6"/>
  <c r="AN54" i="6"/>
  <c r="AM54" i="6"/>
  <c r="AR54" i="6" s="1"/>
  <c r="AQ53" i="6"/>
  <c r="AP53" i="6"/>
  <c r="AO53" i="6"/>
  <c r="AN53" i="6"/>
  <c r="AM53" i="6"/>
  <c r="AR53" i="6" s="1"/>
  <c r="AR52" i="6"/>
  <c r="AQ52" i="6"/>
  <c r="AQ64" i="6" s="1"/>
  <c r="AP52" i="6"/>
  <c r="AP64" i="6" s="1"/>
  <c r="AO52" i="6"/>
  <c r="AO64" i="6" s="1"/>
  <c r="AN52" i="6"/>
  <c r="AN64" i="6" s="1"/>
  <c r="AM52" i="6"/>
  <c r="AM64" i="6" s="1"/>
  <c r="AG62" i="5"/>
  <c r="AH62" i="5"/>
  <c r="AI62" i="5"/>
  <c r="AJ62" i="5"/>
  <c r="AK62" i="5"/>
  <c r="AL62" i="5"/>
  <c r="AG63" i="5"/>
  <c r="AL63" i="5" s="1"/>
  <c r="AH63" i="5"/>
  <c r="AI63" i="5"/>
  <c r="AJ63" i="5"/>
  <c r="AK63" i="5"/>
  <c r="AI73" i="6"/>
  <c r="AI71" i="6"/>
  <c r="AI72" i="6" s="1"/>
  <c r="AE71" i="6"/>
  <c r="AE72" i="6" s="1"/>
  <c r="AG70" i="6"/>
  <c r="AF70" i="6"/>
  <c r="AJ70" i="6" s="1"/>
  <c r="AJ69" i="6"/>
  <c r="AH69" i="6"/>
  <c r="AG69" i="6"/>
  <c r="AF69" i="6"/>
  <c r="AJ68" i="6"/>
  <c r="AH68" i="6"/>
  <c r="AG68" i="6"/>
  <c r="AG67" i="6"/>
  <c r="AF67" i="6"/>
  <c r="AJ67" i="6" s="1"/>
  <c r="AH66" i="6"/>
  <c r="AG66" i="6"/>
  <c r="AJ66" i="6" s="1"/>
  <c r="AF66" i="6"/>
  <c r="AI65" i="6"/>
  <c r="AH65" i="6"/>
  <c r="AJ65" i="6" s="1"/>
  <c r="AG65" i="6"/>
  <c r="AH64" i="6"/>
  <c r="AG64" i="6"/>
  <c r="AJ64" i="6" s="1"/>
  <c r="AF64" i="6"/>
  <c r="AH63" i="6"/>
  <c r="AG63" i="6"/>
  <c r="AJ63" i="6" s="1"/>
  <c r="AH62" i="6"/>
  <c r="AH71" i="6" s="1"/>
  <c r="AG62" i="6"/>
  <c r="AF62" i="6"/>
  <c r="AJ62" i="6" s="1"/>
  <c r="AI61" i="6"/>
  <c r="AG61" i="6"/>
  <c r="AJ61" i="6" s="1"/>
  <c r="AI60" i="6"/>
  <c r="AG60" i="6"/>
  <c r="AJ60" i="6" s="1"/>
  <c r="AF60" i="6"/>
  <c r="AF71" i="6" s="1"/>
  <c r="AJ59" i="6"/>
  <c r="AJ71" i="6" s="1"/>
  <c r="AH59" i="6"/>
  <c r="AG59" i="6"/>
  <c r="AF59" i="6"/>
  <c r="AF79" i="5"/>
  <c r="AK73" i="5"/>
  <c r="AJ73" i="5"/>
  <c r="AI73" i="5"/>
  <c r="AH73" i="5"/>
  <c r="AG73" i="5"/>
  <c r="AL73" i="5" s="1"/>
  <c r="AK72" i="5"/>
  <c r="AJ72" i="5"/>
  <c r="AI72" i="5"/>
  <c r="AH72" i="5"/>
  <c r="AL72" i="5" s="1"/>
  <c r="AG72" i="5"/>
  <c r="AL71" i="5"/>
  <c r="AK71" i="5"/>
  <c r="AJ71" i="5"/>
  <c r="AI71" i="5"/>
  <c r="AH71" i="5"/>
  <c r="AG71" i="5"/>
  <c r="AL70" i="5"/>
  <c r="AK70" i="5"/>
  <c r="AJ70" i="5"/>
  <c r="AI70" i="5"/>
  <c r="AH70" i="5"/>
  <c r="AG70" i="5"/>
  <c r="AK69" i="5"/>
  <c r="AJ69" i="5"/>
  <c r="AI69" i="5"/>
  <c r="AH69" i="5"/>
  <c r="AG69" i="5"/>
  <c r="AL69" i="5" s="1"/>
  <c r="AK68" i="5"/>
  <c r="AJ68" i="5"/>
  <c r="AI68" i="5"/>
  <c r="AH68" i="5"/>
  <c r="AL68" i="5" s="1"/>
  <c r="AG68" i="5"/>
  <c r="AL67" i="5"/>
  <c r="AK67" i="5"/>
  <c r="AJ67" i="5"/>
  <c r="AI67" i="5"/>
  <c r="AH67" i="5"/>
  <c r="AG67" i="5"/>
  <c r="AL66" i="5"/>
  <c r="AK66" i="5"/>
  <c r="AJ66" i="5"/>
  <c r="AI66" i="5"/>
  <c r="AH66" i="5"/>
  <c r="AG66" i="5"/>
  <c r="AK65" i="5"/>
  <c r="AJ65" i="5"/>
  <c r="AI65" i="5"/>
  <c r="AH65" i="5"/>
  <c r="AG65" i="5"/>
  <c r="AL65" i="5" s="1"/>
  <c r="AK64" i="5"/>
  <c r="AJ64" i="5"/>
  <c r="AI64" i="5"/>
  <c r="AH64" i="5"/>
  <c r="AL64" i="5" s="1"/>
  <c r="AG64" i="5"/>
  <c r="AC83" i="5"/>
  <c r="AC81" i="5"/>
  <c r="AC82" i="5" s="1"/>
  <c r="Y81" i="5"/>
  <c r="Y83" i="5" s="1"/>
  <c r="AA80" i="5"/>
  <c r="Z80" i="5"/>
  <c r="AD80" i="5" s="1"/>
  <c r="AB79" i="5"/>
  <c r="AA79" i="5"/>
  <c r="Z79" i="5"/>
  <c r="AD79" i="5" s="1"/>
  <c r="AD78" i="5"/>
  <c r="AB78" i="5"/>
  <c r="AA78" i="5"/>
  <c r="AA77" i="5"/>
  <c r="AD77" i="5" s="1"/>
  <c r="Z77" i="5"/>
  <c r="AB76" i="5"/>
  <c r="AA76" i="5"/>
  <c r="AD76" i="5" s="1"/>
  <c r="Z76" i="5"/>
  <c r="AC75" i="5"/>
  <c r="AB75" i="5"/>
  <c r="AA75" i="5"/>
  <c r="AD75" i="5" s="1"/>
  <c r="AB74" i="5"/>
  <c r="AA74" i="5"/>
  <c r="AD74" i="5" s="1"/>
  <c r="Z74" i="5"/>
  <c r="AB73" i="5"/>
  <c r="AA73" i="5"/>
  <c r="AD73" i="5" s="1"/>
  <c r="AB72" i="5"/>
  <c r="AB81" i="5" s="1"/>
  <c r="AA72" i="5"/>
  <c r="Z72" i="5"/>
  <c r="AD72" i="5" s="1"/>
  <c r="AC71" i="5"/>
  <c r="AA71" i="5"/>
  <c r="AD71" i="5" s="1"/>
  <c r="AC70" i="5"/>
  <c r="AA70" i="5"/>
  <c r="AA81" i="5" s="1"/>
  <c r="Z70" i="5"/>
  <c r="Z81" i="5" s="1"/>
  <c r="AD69" i="5"/>
  <c r="AB69" i="5"/>
  <c r="AA69" i="5"/>
  <c r="Z69" i="5"/>
  <c r="AH76" i="15"/>
  <c r="AH75" i="15"/>
  <c r="AG76" i="15"/>
  <c r="AG75" i="15"/>
  <c r="AF76" i="15"/>
  <c r="AF75" i="15"/>
  <c r="AE76" i="15"/>
  <c r="AE75" i="15"/>
  <c r="AD76" i="15"/>
  <c r="AD75" i="15"/>
  <c r="AC81" i="15"/>
  <c r="AC80" i="15"/>
  <c r="AC79" i="15"/>
  <c r="AE62" i="15"/>
  <c r="AF62" i="15"/>
  <c r="AF74" i="15" s="1"/>
  <c r="AG62" i="15"/>
  <c r="AH62" i="15"/>
  <c r="AE63" i="15"/>
  <c r="AF63" i="15"/>
  <c r="AG63" i="15"/>
  <c r="AH63" i="15"/>
  <c r="AH74" i="15" s="1"/>
  <c r="AE64" i="15"/>
  <c r="AI64" i="15" s="1"/>
  <c r="AF64" i="15"/>
  <c r="AG64" i="15"/>
  <c r="AH64" i="15"/>
  <c r="AE65" i="15"/>
  <c r="AF65" i="15"/>
  <c r="AG65" i="15"/>
  <c r="AH65" i="15"/>
  <c r="AE66" i="15"/>
  <c r="AI66" i="15" s="1"/>
  <c r="AF66" i="15"/>
  <c r="AG66" i="15"/>
  <c r="AH66" i="15"/>
  <c r="AE67" i="15"/>
  <c r="AF67" i="15"/>
  <c r="AG67" i="15"/>
  <c r="AH67" i="15"/>
  <c r="AE68" i="15"/>
  <c r="AF68" i="15"/>
  <c r="AG68" i="15"/>
  <c r="AH68" i="15"/>
  <c r="AE69" i="15"/>
  <c r="AF69" i="15"/>
  <c r="AG69" i="15"/>
  <c r="AH69" i="15"/>
  <c r="AE70" i="15"/>
  <c r="AF70" i="15"/>
  <c r="AG70" i="15"/>
  <c r="AG74" i="15" s="1"/>
  <c r="AH70" i="15"/>
  <c r="AE71" i="15"/>
  <c r="AF71" i="15"/>
  <c r="AG71" i="15"/>
  <c r="AH71" i="15"/>
  <c r="AE72" i="15"/>
  <c r="AF72" i="15"/>
  <c r="AI72" i="15" s="1"/>
  <c r="AG72" i="15"/>
  <c r="AH72" i="15"/>
  <c r="AE73" i="15"/>
  <c r="AF73" i="15"/>
  <c r="AG73" i="15"/>
  <c r="AH73" i="15"/>
  <c r="AD63" i="15"/>
  <c r="AD64" i="15"/>
  <c r="AD65" i="15"/>
  <c r="AD66" i="15"/>
  <c r="AD67" i="15"/>
  <c r="AD68" i="15"/>
  <c r="AD69" i="15"/>
  <c r="AD70" i="15"/>
  <c r="AD71" i="15"/>
  <c r="AD72" i="15"/>
  <c r="AD73" i="15"/>
  <c r="AD62" i="15"/>
  <c r="Z83" i="15"/>
  <c r="Z82" i="15"/>
  <c r="X83" i="15"/>
  <c r="W83" i="15"/>
  <c r="Y83" i="15"/>
  <c r="Y82" i="15"/>
  <c r="X82" i="15"/>
  <c r="W82" i="15"/>
  <c r="V83" i="15"/>
  <c r="V82" i="15"/>
  <c r="AI71" i="15"/>
  <c r="AI67" i="15"/>
  <c r="AI63" i="15"/>
  <c r="AE74" i="15"/>
  <c r="V81" i="15"/>
  <c r="AA80" i="15"/>
  <c r="X80" i="15"/>
  <c r="W80" i="15"/>
  <c r="Y79" i="15"/>
  <c r="X79" i="15"/>
  <c r="AA79" i="15" s="1"/>
  <c r="W79" i="15"/>
  <c r="Y78" i="15"/>
  <c r="X78" i="15"/>
  <c r="AA78" i="15" s="1"/>
  <c r="X77" i="15"/>
  <c r="W77" i="15"/>
  <c r="AA77" i="15" s="1"/>
  <c r="AA76" i="15"/>
  <c r="Y76" i="15"/>
  <c r="X76" i="15"/>
  <c r="W76" i="15"/>
  <c r="Z75" i="15"/>
  <c r="Y75" i="15"/>
  <c r="X75" i="15"/>
  <c r="AA75" i="15" s="1"/>
  <c r="AA74" i="15"/>
  <c r="Y74" i="15"/>
  <c r="X74" i="15"/>
  <c r="W74" i="15"/>
  <c r="Y73" i="15"/>
  <c r="X73" i="15"/>
  <c r="AA73" i="15" s="1"/>
  <c r="Y72" i="15"/>
  <c r="AA72" i="15" s="1"/>
  <c r="X72" i="15"/>
  <c r="W72" i="15"/>
  <c r="AA71" i="15"/>
  <c r="Z71" i="15"/>
  <c r="X71" i="15"/>
  <c r="Z70" i="15"/>
  <c r="Z81" i="15" s="1"/>
  <c r="X70" i="15"/>
  <c r="AA70" i="15" s="1"/>
  <c r="W70" i="15"/>
  <c r="Y69" i="15"/>
  <c r="X69" i="15"/>
  <c r="W69" i="15"/>
  <c r="W81" i="15" s="1"/>
  <c r="AB58" i="16"/>
  <c r="AB59" i="16"/>
  <c r="AB60" i="16"/>
  <c r="AD41" i="16"/>
  <c r="AE41" i="16"/>
  <c r="AF41" i="16"/>
  <c r="AG41" i="16"/>
  <c r="AD42" i="16"/>
  <c r="AE42" i="16"/>
  <c r="AH42" i="16" s="1"/>
  <c r="AF42" i="16"/>
  <c r="AG42" i="16"/>
  <c r="AD43" i="16"/>
  <c r="AH43" i="16" s="1"/>
  <c r="AE43" i="16"/>
  <c r="AF43" i="16"/>
  <c r="AG43" i="16"/>
  <c r="AD44" i="16"/>
  <c r="AH44" i="16" s="1"/>
  <c r="AE44" i="16"/>
  <c r="AF44" i="16"/>
  <c r="AG44" i="16"/>
  <c r="AD45" i="16"/>
  <c r="AH45" i="16" s="1"/>
  <c r="AE45" i="16"/>
  <c r="AF45" i="16"/>
  <c r="AG45" i="16"/>
  <c r="AD46" i="16"/>
  <c r="AE46" i="16"/>
  <c r="AF46" i="16"/>
  <c r="AG46" i="16"/>
  <c r="AD47" i="16"/>
  <c r="AE47" i="16"/>
  <c r="AF47" i="16"/>
  <c r="AG47" i="16"/>
  <c r="AD48" i="16"/>
  <c r="AE48" i="16"/>
  <c r="AF48" i="16"/>
  <c r="AG48" i="16"/>
  <c r="AD49" i="16"/>
  <c r="AE49" i="16"/>
  <c r="AF49" i="16"/>
  <c r="AG49" i="16"/>
  <c r="AD50" i="16"/>
  <c r="AE50" i="16"/>
  <c r="AF50" i="16"/>
  <c r="AG50" i="16"/>
  <c r="AD51" i="16"/>
  <c r="AH51" i="16" s="1"/>
  <c r="AE51" i="16"/>
  <c r="AF51" i="16"/>
  <c r="AG51" i="16"/>
  <c r="AD52" i="16"/>
  <c r="AE52" i="16"/>
  <c r="AF52" i="16"/>
  <c r="AG52" i="16"/>
  <c r="AH52" i="16" s="1"/>
  <c r="AC42" i="16"/>
  <c r="AC43" i="16"/>
  <c r="AC44" i="16"/>
  <c r="AC45" i="16"/>
  <c r="AC46" i="16"/>
  <c r="AC47" i="16"/>
  <c r="AC48" i="16"/>
  <c r="AC49" i="16"/>
  <c r="AC50" i="16"/>
  <c r="AC51" i="16"/>
  <c r="AC52" i="16"/>
  <c r="AC41" i="16"/>
  <c r="Y61" i="16"/>
  <c r="Y60" i="16"/>
  <c r="X61" i="16"/>
  <c r="X60" i="16"/>
  <c r="W61" i="16"/>
  <c r="W60" i="16"/>
  <c r="V61" i="16"/>
  <c r="V60" i="16"/>
  <c r="U61" i="16"/>
  <c r="U60" i="16"/>
  <c r="Y41" i="16"/>
  <c r="Y40" i="16"/>
  <c r="X41" i="16"/>
  <c r="X40" i="16"/>
  <c r="W41" i="16"/>
  <c r="W40" i="16"/>
  <c r="V41" i="16"/>
  <c r="V40" i="16"/>
  <c r="U41" i="16"/>
  <c r="U40" i="16"/>
  <c r="U59" i="16"/>
  <c r="W58" i="16"/>
  <c r="V58" i="16"/>
  <c r="Z58" i="16" s="1"/>
  <c r="X57" i="16"/>
  <c r="W57" i="16"/>
  <c r="V57" i="16"/>
  <c r="Z57" i="16" s="1"/>
  <c r="Z56" i="16"/>
  <c r="X56" i="16"/>
  <c r="W56" i="16"/>
  <c r="Z55" i="16"/>
  <c r="W55" i="16"/>
  <c r="V55" i="16"/>
  <c r="Z54" i="16"/>
  <c r="X54" i="16"/>
  <c r="W54" i="16"/>
  <c r="V54" i="16"/>
  <c r="Y53" i="16"/>
  <c r="Z53" i="16" s="1"/>
  <c r="X53" i="16"/>
  <c r="W53" i="16"/>
  <c r="Z52" i="16"/>
  <c r="X52" i="16"/>
  <c r="W52" i="16"/>
  <c r="V52" i="16"/>
  <c r="X51" i="16"/>
  <c r="Z51" i="16" s="1"/>
  <c r="W51" i="16"/>
  <c r="X50" i="16"/>
  <c r="W50" i="16"/>
  <c r="V50" i="16"/>
  <c r="Z50" i="16" s="1"/>
  <c r="Y49" i="16"/>
  <c r="W49" i="16"/>
  <c r="Z49" i="16" s="1"/>
  <c r="Y48" i="16"/>
  <c r="Y59" i="16" s="1"/>
  <c r="W48" i="16"/>
  <c r="V48" i="16"/>
  <c r="Z48" i="16" s="1"/>
  <c r="Z47" i="16"/>
  <c r="X47" i="16"/>
  <c r="W47" i="16"/>
  <c r="W59" i="16" s="1"/>
  <c r="V47" i="16"/>
  <c r="V59" i="16" s="1"/>
  <c r="AH50" i="16"/>
  <c r="AD61" i="4"/>
  <c r="AD60" i="4"/>
  <c r="AD59" i="4"/>
  <c r="O18" i="20" l="1"/>
  <c r="O19" i="20"/>
  <c r="N18" i="20"/>
  <c r="N19" i="20"/>
  <c r="P18" i="20"/>
  <c r="P19" i="20"/>
  <c r="R17" i="20"/>
  <c r="M19" i="20"/>
  <c r="M18" i="20"/>
  <c r="R6" i="20"/>
  <c r="Q18" i="20"/>
  <c r="C35" i="20"/>
  <c r="N19" i="19"/>
  <c r="R19" i="19" s="1"/>
  <c r="O19" i="19"/>
  <c r="P19" i="19"/>
  <c r="C35" i="19"/>
  <c r="L18" i="18"/>
  <c r="L19" i="18"/>
  <c r="O18" i="18"/>
  <c r="O19" i="18"/>
  <c r="K19" i="18"/>
  <c r="K18" i="18"/>
  <c r="M18" i="18"/>
  <c r="M19" i="18"/>
  <c r="P10" i="18"/>
  <c r="P17" i="18" s="1"/>
  <c r="N17" i="18"/>
  <c r="O19" i="17"/>
  <c r="C35" i="17"/>
  <c r="R17" i="17"/>
  <c r="M19" i="17"/>
  <c r="R18" i="17"/>
  <c r="N19" i="17"/>
  <c r="P19" i="17"/>
  <c r="Q19" i="17"/>
  <c r="AF72" i="13"/>
  <c r="AF73" i="13"/>
  <c r="AO64" i="13"/>
  <c r="AR52" i="13"/>
  <c r="AJ71" i="13"/>
  <c r="AL69" i="13" s="1"/>
  <c r="AI73" i="13"/>
  <c r="AI72" i="13"/>
  <c r="AR62" i="13"/>
  <c r="AR53" i="13"/>
  <c r="AR64" i="13" s="1"/>
  <c r="AN62" i="13"/>
  <c r="AH71" i="13"/>
  <c r="AG71" i="13"/>
  <c r="AN53" i="13"/>
  <c r="AN64" i="13" s="1"/>
  <c r="AE73" i="13"/>
  <c r="AM64" i="13"/>
  <c r="AR58" i="13"/>
  <c r="AR61" i="13"/>
  <c r="AP64" i="13"/>
  <c r="AR54" i="13"/>
  <c r="AR57" i="13"/>
  <c r="AQ64" i="13"/>
  <c r="AQ65" i="13" s="1"/>
  <c r="AM66" i="13"/>
  <c r="AM65" i="13"/>
  <c r="AO65" i="13"/>
  <c r="AO66" i="13"/>
  <c r="AP65" i="13"/>
  <c r="AP66" i="13"/>
  <c r="AQ66" i="13"/>
  <c r="AF72" i="12"/>
  <c r="AF73" i="12"/>
  <c r="AR52" i="12"/>
  <c r="AG72" i="12"/>
  <c r="AG73" i="12"/>
  <c r="AO62" i="12"/>
  <c r="AJ60" i="12"/>
  <c r="AI71" i="12"/>
  <c r="AH71" i="12"/>
  <c r="AM64" i="12"/>
  <c r="AM65" i="12" s="1"/>
  <c r="AO53" i="12"/>
  <c r="AO64" i="12" s="1"/>
  <c r="AJ67" i="12"/>
  <c r="AN64" i="12"/>
  <c r="AR55" i="12"/>
  <c r="AR58" i="12"/>
  <c r="AJ65" i="12"/>
  <c r="AO61" i="12"/>
  <c r="AR61" i="12" s="1"/>
  <c r="AJ70" i="12"/>
  <c r="AR59" i="12"/>
  <c r="AP64" i="12"/>
  <c r="AP66" i="12" s="1"/>
  <c r="AP55" i="12"/>
  <c r="AR57" i="12"/>
  <c r="AJ59" i="12"/>
  <c r="AJ71" i="12" s="1"/>
  <c r="AL69" i="12" s="1"/>
  <c r="AR53" i="12"/>
  <c r="AR62" i="12"/>
  <c r="AQ64" i="12"/>
  <c r="AQ65" i="12" s="1"/>
  <c r="AR54" i="12"/>
  <c r="AM66" i="12"/>
  <c r="AN65" i="12"/>
  <c r="AN66" i="12"/>
  <c r="AP65" i="12"/>
  <c r="AR52" i="11"/>
  <c r="AR63" i="11"/>
  <c r="AJ64" i="11"/>
  <c r="AJ66" i="11"/>
  <c r="AG71" i="11"/>
  <c r="AI72" i="11"/>
  <c r="AN62" i="11"/>
  <c r="AR62" i="11" s="1"/>
  <c r="AJ62" i="11"/>
  <c r="AJ71" i="11" s="1"/>
  <c r="AL69" i="11" s="1"/>
  <c r="AH71" i="11"/>
  <c r="AM64" i="11"/>
  <c r="AM65" i="11" s="1"/>
  <c r="AR61" i="11"/>
  <c r="AJ67" i="11"/>
  <c r="AF73" i="11"/>
  <c r="AR58" i="11"/>
  <c r="AJ65" i="11"/>
  <c r="AN53" i="11"/>
  <c r="AR53" i="11" s="1"/>
  <c r="AR64" i="11" s="1"/>
  <c r="AO64" i="11"/>
  <c r="AP64" i="11"/>
  <c r="AR57" i="11"/>
  <c r="AM66" i="11"/>
  <c r="AQ65" i="11"/>
  <c r="AQ66" i="11"/>
  <c r="AO65" i="11"/>
  <c r="AO66" i="11"/>
  <c r="AP65" i="11"/>
  <c r="AP66" i="11"/>
  <c r="AI73" i="10"/>
  <c r="AI72" i="10"/>
  <c r="AR59" i="10"/>
  <c r="AF72" i="10"/>
  <c r="AF73" i="10"/>
  <c r="AG72" i="10"/>
  <c r="AG73" i="10"/>
  <c r="AR62" i="10"/>
  <c r="AR53" i="10"/>
  <c r="AR64" i="10" s="1"/>
  <c r="AJ62" i="10"/>
  <c r="AJ71" i="10" s="1"/>
  <c r="AL69" i="10" s="1"/>
  <c r="AH71" i="10"/>
  <c r="AJ60" i="10"/>
  <c r="AE73" i="10"/>
  <c r="AM64" i="10"/>
  <c r="AM65" i="10" s="1"/>
  <c r="AO53" i="10"/>
  <c r="AO64" i="10" s="1"/>
  <c r="AR61" i="10"/>
  <c r="AN64" i="10"/>
  <c r="AN65" i="10" s="1"/>
  <c r="AR58" i="10"/>
  <c r="AR55" i="10"/>
  <c r="AP64" i="10"/>
  <c r="AR54" i="10"/>
  <c r="AR57" i="10"/>
  <c r="AQ64" i="10"/>
  <c r="AQ65" i="10" s="1"/>
  <c r="AR63" i="10"/>
  <c r="AM66" i="10"/>
  <c r="AP65" i="10"/>
  <c r="AP66" i="10"/>
  <c r="AD63" i="9"/>
  <c r="AD62" i="9"/>
  <c r="AM52" i="9"/>
  <c r="AA62" i="9"/>
  <c r="AA63" i="9"/>
  <c r="AI43" i="9"/>
  <c r="AM43" i="9" s="1"/>
  <c r="AM46" i="9"/>
  <c r="AE52" i="9"/>
  <c r="AC61" i="9"/>
  <c r="AB61" i="9"/>
  <c r="AH54" i="9"/>
  <c r="AM45" i="9"/>
  <c r="AI42" i="9"/>
  <c r="AI54" i="9" s="1"/>
  <c r="AI56" i="9" s="1"/>
  <c r="AJ54" i="9"/>
  <c r="AJ55" i="9" s="1"/>
  <c r="AM51" i="9"/>
  <c r="AM53" i="9"/>
  <c r="AE60" i="9"/>
  <c r="AK54" i="9"/>
  <c r="AE49" i="9"/>
  <c r="AL54" i="9"/>
  <c r="AH56" i="9"/>
  <c r="AH55" i="9"/>
  <c r="AI55" i="9"/>
  <c r="AK55" i="9"/>
  <c r="AK56" i="9"/>
  <c r="AL55" i="9"/>
  <c r="AL56" i="9"/>
  <c r="AM42" i="9"/>
  <c r="V37" i="8"/>
  <c r="V38" i="8"/>
  <c r="X37" i="8"/>
  <c r="X38" i="8"/>
  <c r="W36" i="8"/>
  <c r="Y37" i="8"/>
  <c r="Z27" i="8"/>
  <c r="AH23" i="8"/>
  <c r="AH20" i="8"/>
  <c r="Z30" i="8"/>
  <c r="AC29" i="8"/>
  <c r="AC30" i="8" s="1"/>
  <c r="AH18" i="8"/>
  <c r="Z32" i="8"/>
  <c r="AH22" i="8"/>
  <c r="Z24" i="8"/>
  <c r="AE29" i="8"/>
  <c r="AE30" i="8" s="1"/>
  <c r="AH19" i="8"/>
  <c r="AD29" i="8"/>
  <c r="AD31" i="8" s="1"/>
  <c r="AF29" i="8"/>
  <c r="AF30" i="8" s="1"/>
  <c r="AH25" i="8"/>
  <c r="AG29" i="8"/>
  <c r="AG31" i="8" s="1"/>
  <c r="AH24" i="8"/>
  <c r="AH27" i="8"/>
  <c r="AH21" i="8"/>
  <c r="AH17" i="8"/>
  <c r="AO65" i="6"/>
  <c r="AO66" i="6"/>
  <c r="AM66" i="6"/>
  <c r="AM65" i="6"/>
  <c r="AN66" i="6"/>
  <c r="AN65" i="6"/>
  <c r="AQ65" i="6"/>
  <c r="AQ66" i="6"/>
  <c r="AR64" i="6"/>
  <c r="AP65" i="6"/>
  <c r="AP66" i="6"/>
  <c r="AG74" i="5"/>
  <c r="AG75" i="5" s="1"/>
  <c r="AJ74" i="5"/>
  <c r="AI74" i="5"/>
  <c r="AI75" i="5" s="1"/>
  <c r="AH72" i="6"/>
  <c r="AH73" i="6"/>
  <c r="AF72" i="6"/>
  <c r="AF73" i="6"/>
  <c r="AG71" i="6"/>
  <c r="AE73" i="6"/>
  <c r="AJ75" i="5"/>
  <c r="AJ76" i="5"/>
  <c r="AG76" i="5"/>
  <c r="AA83" i="5"/>
  <c r="AA82" i="5"/>
  <c r="AB82" i="5"/>
  <c r="AB83" i="5"/>
  <c r="Z82" i="5"/>
  <c r="Z83" i="5"/>
  <c r="AD70" i="5"/>
  <c r="AD81" i="5" s="1"/>
  <c r="Y82" i="5"/>
  <c r="AI76" i="15"/>
  <c r="AI70" i="15"/>
  <c r="AI69" i="15"/>
  <c r="AI68" i="15"/>
  <c r="AI73" i="15"/>
  <c r="AI65" i="15"/>
  <c r="AD74" i="15"/>
  <c r="AI62" i="15"/>
  <c r="Y81" i="15"/>
  <c r="X81" i="15"/>
  <c r="AA69" i="15"/>
  <c r="AA81" i="15" s="1"/>
  <c r="AH48" i="16"/>
  <c r="AH47" i="16"/>
  <c r="AH46" i="16"/>
  <c r="AH41" i="16"/>
  <c r="AH49" i="16"/>
  <c r="AH53" i="16"/>
  <c r="Z59" i="16"/>
  <c r="AE53" i="16"/>
  <c r="X59" i="16"/>
  <c r="AD53" i="16"/>
  <c r="AF53" i="16"/>
  <c r="AF55" i="16" s="1"/>
  <c r="AG53" i="16"/>
  <c r="AG54" i="16" s="1"/>
  <c r="AD55" i="16"/>
  <c r="AD54" i="16"/>
  <c r="AG55" i="16"/>
  <c r="AC53" i="16"/>
  <c r="Z62" i="4"/>
  <c r="Z61" i="4"/>
  <c r="Y62" i="4"/>
  <c r="Y61" i="4"/>
  <c r="X62" i="4"/>
  <c r="X61" i="4"/>
  <c r="W62" i="4"/>
  <c r="W61" i="4"/>
  <c r="V62" i="4"/>
  <c r="V61" i="4"/>
  <c r="Z54" i="4"/>
  <c r="Z50" i="4"/>
  <c r="Z49" i="4"/>
  <c r="Y53" i="4"/>
  <c r="Y52" i="4"/>
  <c r="Y58" i="4"/>
  <c r="Y57" i="4"/>
  <c r="Y51" i="4"/>
  <c r="Y54" i="4"/>
  <c r="Y55" i="4"/>
  <c r="Y48" i="4"/>
  <c r="X57" i="4"/>
  <c r="X56" i="4"/>
  <c r="X58" i="4"/>
  <c r="X55" i="4"/>
  <c r="X54" i="4"/>
  <c r="X52" i="4"/>
  <c r="X59" i="4"/>
  <c r="X51" i="4"/>
  <c r="X50" i="4"/>
  <c r="X49" i="4"/>
  <c r="X53" i="4"/>
  <c r="X48" i="4"/>
  <c r="W59" i="4"/>
  <c r="W58" i="4"/>
  <c r="W55" i="4"/>
  <c r="W56" i="4"/>
  <c r="W53" i="4"/>
  <c r="W51" i="4"/>
  <c r="W49" i="4"/>
  <c r="W48" i="4"/>
  <c r="R19" i="20" l="1"/>
  <c r="R18" i="20"/>
  <c r="N18" i="18"/>
  <c r="P18" i="18" s="1"/>
  <c r="N19" i="18"/>
  <c r="P19" i="18" s="1"/>
  <c r="R19" i="17"/>
  <c r="AJ72" i="13"/>
  <c r="AN65" i="13"/>
  <c r="AR65" i="13" s="1"/>
  <c r="AN66" i="13"/>
  <c r="AG72" i="13"/>
  <c r="AG73" i="13"/>
  <c r="AJ73" i="13" s="1"/>
  <c r="AH72" i="13"/>
  <c r="AH73" i="13"/>
  <c r="AR66" i="13"/>
  <c r="AR64" i="12"/>
  <c r="AO65" i="12"/>
  <c r="AO66" i="12"/>
  <c r="AR66" i="12" s="1"/>
  <c r="AI73" i="12"/>
  <c r="AJ73" i="12" s="1"/>
  <c r="AI72" i="12"/>
  <c r="AQ66" i="12"/>
  <c r="AH72" i="12"/>
  <c r="AH73" i="12"/>
  <c r="AJ72" i="12"/>
  <c r="AR65" i="12"/>
  <c r="AG72" i="11"/>
  <c r="AJ72" i="11" s="1"/>
  <c r="AG73" i="11"/>
  <c r="AH73" i="11"/>
  <c r="AJ73" i="11" s="1"/>
  <c r="AH72" i="11"/>
  <c r="AN64" i="11"/>
  <c r="AO65" i="10"/>
  <c r="AO66" i="10"/>
  <c r="AN66" i="10"/>
  <c r="AR66" i="10" s="1"/>
  <c r="AJ73" i="10"/>
  <c r="AQ66" i="10"/>
  <c r="AH72" i="10"/>
  <c r="AJ72" i="10" s="1"/>
  <c r="AH73" i="10"/>
  <c r="AR65" i="10"/>
  <c r="AE61" i="9"/>
  <c r="AG59" i="9" s="1"/>
  <c r="AJ56" i="9"/>
  <c r="AM56" i="9" s="1"/>
  <c r="AB62" i="9"/>
  <c r="AE62" i="9" s="1"/>
  <c r="AB63" i="9"/>
  <c r="AE63" i="9" s="1"/>
  <c r="AM54" i="9"/>
  <c r="AC62" i="9"/>
  <c r="AC63" i="9"/>
  <c r="AM55" i="9"/>
  <c r="AG30" i="8"/>
  <c r="AD30" i="8"/>
  <c r="AH30" i="8" s="1"/>
  <c r="W37" i="8"/>
  <c r="Z37" i="8" s="1"/>
  <c r="W38" i="8"/>
  <c r="Z38" i="8" s="1"/>
  <c r="AC31" i="8"/>
  <c r="AH29" i="8"/>
  <c r="Z36" i="8"/>
  <c r="AB34" i="8" s="1"/>
  <c r="AE31" i="8"/>
  <c r="AF31" i="8"/>
  <c r="AR65" i="6"/>
  <c r="AR66" i="6"/>
  <c r="AL74" i="5"/>
  <c r="AH74" i="5"/>
  <c r="AK74" i="5"/>
  <c r="AI76" i="5"/>
  <c r="AJ72" i="6"/>
  <c r="AJ73" i="6"/>
  <c r="AG72" i="6"/>
  <c r="AG73" i="6"/>
  <c r="AD83" i="5"/>
  <c r="AD82" i="5"/>
  <c r="AI75" i="15"/>
  <c r="AI74" i="15"/>
  <c r="AA82" i="15"/>
  <c r="AE54" i="16"/>
  <c r="AE55" i="16"/>
  <c r="Z60" i="16"/>
  <c r="AF54" i="16"/>
  <c r="Z61" i="16"/>
  <c r="AC54" i="16"/>
  <c r="AC55" i="16"/>
  <c r="AI53" i="4"/>
  <c r="AH53" i="4"/>
  <c r="AG53" i="4"/>
  <c r="AF53" i="4"/>
  <c r="AE53" i="4"/>
  <c r="AI52" i="4"/>
  <c r="AH52" i="4"/>
  <c r="AG52" i="4"/>
  <c r="AF52" i="4"/>
  <c r="AE52" i="4"/>
  <c r="AI51" i="4"/>
  <c r="AH51" i="4"/>
  <c r="AG51" i="4"/>
  <c r="AF51" i="4"/>
  <c r="AE51" i="4"/>
  <c r="AI50" i="4"/>
  <c r="AH50" i="4"/>
  <c r="AG50" i="4"/>
  <c r="AF50" i="4"/>
  <c r="AE50" i="4"/>
  <c r="AI49" i="4"/>
  <c r="AH49" i="4"/>
  <c r="AG49" i="4"/>
  <c r="AF49" i="4"/>
  <c r="AE49" i="4"/>
  <c r="AI48" i="4"/>
  <c r="AH48" i="4"/>
  <c r="AG48" i="4"/>
  <c r="AF48" i="4"/>
  <c r="AE48" i="4"/>
  <c r="AI47" i="4"/>
  <c r="AH47" i="4"/>
  <c r="AG47" i="4"/>
  <c r="AF47" i="4"/>
  <c r="AE47" i="4"/>
  <c r="AI46" i="4"/>
  <c r="AH46" i="4"/>
  <c r="AG46" i="4"/>
  <c r="AF46" i="4"/>
  <c r="AE46" i="4"/>
  <c r="AI45" i="4"/>
  <c r="AH45" i="4"/>
  <c r="AG45" i="4"/>
  <c r="AF45" i="4"/>
  <c r="AE45" i="4"/>
  <c r="AI44" i="4"/>
  <c r="AH44" i="4"/>
  <c r="AG44" i="4"/>
  <c r="AF44" i="4"/>
  <c r="AE44" i="4"/>
  <c r="AI43" i="4"/>
  <c r="AH43" i="4"/>
  <c r="AG43" i="4"/>
  <c r="AF43" i="4"/>
  <c r="AE43" i="4"/>
  <c r="AI42" i="4"/>
  <c r="AH42" i="4"/>
  <c r="AG42" i="4"/>
  <c r="AF42" i="4"/>
  <c r="AE42" i="4"/>
  <c r="V60" i="4"/>
  <c r="AA59" i="4"/>
  <c r="AA58" i="4"/>
  <c r="AA57" i="4"/>
  <c r="AA56" i="4"/>
  <c r="AA55" i="4"/>
  <c r="AA54" i="4"/>
  <c r="AA53" i="4"/>
  <c r="AA52" i="4"/>
  <c r="AA51" i="4"/>
  <c r="AA50" i="4"/>
  <c r="Z60" i="4"/>
  <c r="X60" i="4"/>
  <c r="W60" i="4"/>
  <c r="AA48" i="4"/>
  <c r="AN65" i="11" l="1"/>
  <c r="AR65" i="11" s="1"/>
  <c r="AN66" i="11"/>
  <c r="AR66" i="11" s="1"/>
  <c r="AH31" i="8"/>
  <c r="AK75" i="5"/>
  <c r="AK76" i="5"/>
  <c r="AH76" i="5"/>
  <c r="AH75" i="5"/>
  <c r="AA83" i="15"/>
  <c r="AH55" i="16"/>
  <c r="AH54" i="16"/>
  <c r="AJ45" i="4"/>
  <c r="AJ52" i="4"/>
  <c r="AJ48" i="4"/>
  <c r="AJ44" i="4"/>
  <c r="AJ47" i="4"/>
  <c r="AJ53" i="4"/>
  <c r="AJ43" i="4"/>
  <c r="AF54" i="4"/>
  <c r="AF56" i="4" s="1"/>
  <c r="AJ51" i="4"/>
  <c r="AE54" i="4"/>
  <c r="AE56" i="4" s="1"/>
  <c r="AG54" i="4"/>
  <c r="AG55" i="4" s="1"/>
  <c r="AH54" i="4"/>
  <c r="AH55" i="4" s="1"/>
  <c r="AJ50" i="4"/>
  <c r="AI54" i="4"/>
  <c r="AI56" i="4" s="1"/>
  <c r="AJ49" i="4"/>
  <c r="AJ46" i="4"/>
  <c r="AF55" i="4"/>
  <c r="AJ42" i="4"/>
  <c r="Y60" i="4"/>
  <c r="AA49" i="4"/>
  <c r="AA60" i="4" s="1"/>
  <c r="AL75" i="5" l="1"/>
  <c r="AL76" i="5"/>
  <c r="AI55" i="4"/>
  <c r="AG56" i="4"/>
  <c r="AH56" i="4"/>
  <c r="AE55" i="4"/>
  <c r="AJ54" i="4"/>
  <c r="AA61" i="4"/>
  <c r="AA62" i="4"/>
  <c r="AJ55" i="4" l="1"/>
  <c r="AJ56" i="4"/>
  <c r="G15" i="19"/>
  <c r="Y39" i="16"/>
  <c r="X39" i="16"/>
  <c r="W39" i="16"/>
  <c r="V39" i="16"/>
  <c r="U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N56" i="16"/>
  <c r="H56" i="16"/>
  <c r="E56" i="16"/>
  <c r="N55" i="16"/>
  <c r="H55" i="16"/>
  <c r="E55" i="16"/>
  <c r="N54" i="16"/>
  <c r="H54" i="16"/>
  <c r="I54" i="16" s="1"/>
  <c r="J54" i="16" s="1"/>
  <c r="K54" i="16" s="1"/>
  <c r="E54" i="16"/>
  <c r="N53" i="16"/>
  <c r="H53" i="16"/>
  <c r="I53" i="16" s="1"/>
  <c r="E53" i="16"/>
  <c r="N52" i="16"/>
  <c r="H52" i="16"/>
  <c r="E52" i="16"/>
  <c r="N51" i="16"/>
  <c r="H51" i="16"/>
  <c r="E51" i="16"/>
  <c r="N50" i="16"/>
  <c r="H50" i="16"/>
  <c r="I50" i="16" s="1"/>
  <c r="J50" i="16" s="1"/>
  <c r="K50" i="16" s="1"/>
  <c r="E50" i="16"/>
  <c r="N49" i="16"/>
  <c r="H49" i="16"/>
  <c r="I49" i="16" s="1"/>
  <c r="J49" i="16" s="1"/>
  <c r="K49" i="16" s="1"/>
  <c r="E49" i="16"/>
  <c r="N48" i="16"/>
  <c r="I48" i="16"/>
  <c r="J48" i="16" s="1"/>
  <c r="K48" i="16" s="1"/>
  <c r="H48" i="16"/>
  <c r="E48" i="16"/>
  <c r="N47" i="16"/>
  <c r="H47" i="16"/>
  <c r="I47" i="16" s="1"/>
  <c r="J47" i="16" s="1"/>
  <c r="K47" i="16" s="1"/>
  <c r="E47" i="16"/>
  <c r="N46" i="16"/>
  <c r="H46" i="16"/>
  <c r="I46" i="16" s="1"/>
  <c r="J46" i="16" s="1"/>
  <c r="K46" i="16" s="1"/>
  <c r="E46" i="16"/>
  <c r="N45" i="16"/>
  <c r="H45" i="16"/>
  <c r="E45" i="16"/>
  <c r="N44" i="16"/>
  <c r="H44" i="16"/>
  <c r="E44" i="16"/>
  <c r="N43" i="16"/>
  <c r="H43" i="16"/>
  <c r="E43" i="16"/>
  <c r="N42" i="16"/>
  <c r="H42" i="16"/>
  <c r="E42" i="16"/>
  <c r="N41" i="16"/>
  <c r="I41" i="16"/>
  <c r="J41" i="16" s="1"/>
  <c r="K41" i="16" s="1"/>
  <c r="H41" i="16"/>
  <c r="E41" i="16"/>
  <c r="N40" i="16"/>
  <c r="H40" i="16"/>
  <c r="E40" i="16"/>
  <c r="N39" i="16"/>
  <c r="H39" i="16"/>
  <c r="E39" i="16"/>
  <c r="N38" i="16"/>
  <c r="H38" i="16"/>
  <c r="E38" i="16"/>
  <c r="N37" i="16"/>
  <c r="H37" i="16"/>
  <c r="E37" i="16"/>
  <c r="N36" i="16"/>
  <c r="H36" i="16"/>
  <c r="E36" i="16"/>
  <c r="N35" i="16"/>
  <c r="H35" i="16"/>
  <c r="I35" i="16" s="1"/>
  <c r="J35" i="16" s="1"/>
  <c r="K35" i="16" s="1"/>
  <c r="E35" i="16"/>
  <c r="N34" i="16"/>
  <c r="H34" i="16"/>
  <c r="E34" i="16"/>
  <c r="N33" i="16"/>
  <c r="H33" i="16"/>
  <c r="E33" i="16"/>
  <c r="N32" i="16"/>
  <c r="H32" i="16"/>
  <c r="E32" i="16"/>
  <c r="N31" i="16"/>
  <c r="H31" i="16"/>
  <c r="E31" i="16"/>
  <c r="N30" i="16"/>
  <c r="H30" i="16"/>
  <c r="E30" i="16"/>
  <c r="N29" i="16"/>
  <c r="H29" i="16"/>
  <c r="E29" i="16"/>
  <c r="I29" i="16" s="1"/>
  <c r="J29" i="16" s="1"/>
  <c r="K29" i="16" s="1"/>
  <c r="N28" i="16"/>
  <c r="H28" i="16"/>
  <c r="E28" i="16"/>
  <c r="N27" i="16"/>
  <c r="H27" i="16"/>
  <c r="E27" i="16"/>
  <c r="N26" i="16"/>
  <c r="H26" i="16"/>
  <c r="I26" i="16" s="1"/>
  <c r="J26" i="16" s="1"/>
  <c r="K26" i="16" s="1"/>
  <c r="E26" i="16"/>
  <c r="N25" i="16"/>
  <c r="H25" i="16"/>
  <c r="E25" i="16"/>
  <c r="N24" i="16"/>
  <c r="H24" i="16"/>
  <c r="E24" i="16"/>
  <c r="I24" i="16" s="1"/>
  <c r="N23" i="16"/>
  <c r="H23" i="16"/>
  <c r="E23" i="16"/>
  <c r="N22" i="16"/>
  <c r="H22" i="16"/>
  <c r="I22" i="16" s="1"/>
  <c r="J22" i="16" s="1"/>
  <c r="K22" i="16" s="1"/>
  <c r="E22" i="16"/>
  <c r="N21" i="16"/>
  <c r="H21" i="16"/>
  <c r="E21" i="16"/>
  <c r="U20" i="16"/>
  <c r="U21" i="16" s="1"/>
  <c r="N20" i="16"/>
  <c r="I20" i="16"/>
  <c r="J20" i="16" s="1"/>
  <c r="K20" i="16" s="1"/>
  <c r="H20" i="16"/>
  <c r="E20" i="16"/>
  <c r="V19" i="16"/>
  <c r="N19" i="16"/>
  <c r="H19" i="16"/>
  <c r="I19" i="16" s="1"/>
  <c r="E19" i="16"/>
  <c r="V18" i="16"/>
  <c r="N18" i="16"/>
  <c r="H18" i="16"/>
  <c r="E18" i="16"/>
  <c r="V17" i="16"/>
  <c r="N17" i="16"/>
  <c r="H17" i="16"/>
  <c r="E17" i="16"/>
  <c r="V16" i="16"/>
  <c r="N16" i="16"/>
  <c r="H16" i="16"/>
  <c r="I16" i="16" s="1"/>
  <c r="J16" i="16" s="1"/>
  <c r="K16" i="16" s="1"/>
  <c r="E16" i="16"/>
  <c r="V15" i="16"/>
  <c r="N15" i="16"/>
  <c r="H15" i="16"/>
  <c r="I15" i="16" s="1"/>
  <c r="E15" i="16"/>
  <c r="V14" i="16"/>
  <c r="N14" i="16"/>
  <c r="H14" i="16"/>
  <c r="I14" i="16" s="1"/>
  <c r="E14" i="16"/>
  <c r="V13" i="16"/>
  <c r="N13" i="16"/>
  <c r="I13" i="16"/>
  <c r="O13" i="16" s="1"/>
  <c r="P13" i="16" s="1"/>
  <c r="H13" i="16"/>
  <c r="E13" i="16"/>
  <c r="V12" i="16"/>
  <c r="N12" i="16"/>
  <c r="H12" i="16"/>
  <c r="E12" i="16"/>
  <c r="V11" i="16"/>
  <c r="N11" i="16"/>
  <c r="H11" i="16"/>
  <c r="E11" i="16"/>
  <c r="V10" i="16"/>
  <c r="N10" i="16"/>
  <c r="H10" i="16"/>
  <c r="I10" i="16" s="1"/>
  <c r="J10" i="16" s="1"/>
  <c r="K10" i="16" s="1"/>
  <c r="E10" i="16"/>
  <c r="V9" i="16"/>
  <c r="N9" i="16"/>
  <c r="H9" i="16"/>
  <c r="E9" i="16"/>
  <c r="V8" i="16"/>
  <c r="N8" i="16"/>
  <c r="H8" i="16"/>
  <c r="I8" i="16" s="1"/>
  <c r="J8" i="16" s="1"/>
  <c r="K8" i="16" s="1"/>
  <c r="E8" i="16"/>
  <c r="V7" i="16"/>
  <c r="N7" i="16"/>
  <c r="H7" i="16"/>
  <c r="I7" i="16" s="1"/>
  <c r="J7" i="16" s="1"/>
  <c r="K7" i="16" s="1"/>
  <c r="E7" i="16"/>
  <c r="V6" i="16"/>
  <c r="N6" i="16"/>
  <c r="H6" i="16"/>
  <c r="I6" i="16" s="1"/>
  <c r="E6" i="16"/>
  <c r="V5" i="16"/>
  <c r="N5" i="16"/>
  <c r="H5" i="16"/>
  <c r="E5" i="16"/>
  <c r="V4" i="16"/>
  <c r="N4" i="16"/>
  <c r="H4" i="16"/>
  <c r="E4" i="16"/>
  <c r="N3" i="16"/>
  <c r="H3" i="16"/>
  <c r="E3" i="16"/>
  <c r="Z62" i="15"/>
  <c r="Z61" i="15"/>
  <c r="Z63" i="15" s="1"/>
  <c r="Y61" i="15"/>
  <c r="Y62" i="15" s="1"/>
  <c r="X61" i="15"/>
  <c r="X62" i="15" s="1"/>
  <c r="W61" i="15"/>
  <c r="W63" i="15" s="1"/>
  <c r="V61" i="15"/>
  <c r="V63" i="15" s="1"/>
  <c r="AA60" i="15"/>
  <c r="AA59" i="15"/>
  <c r="AA58" i="15"/>
  <c r="AA57" i="15"/>
  <c r="AA56" i="15"/>
  <c r="N56" i="15"/>
  <c r="H56" i="15"/>
  <c r="I56" i="15" s="1"/>
  <c r="J56" i="15" s="1"/>
  <c r="K56" i="15" s="1"/>
  <c r="E56" i="15"/>
  <c r="AA55" i="15"/>
  <c r="N55" i="15"/>
  <c r="I55" i="15"/>
  <c r="J55" i="15" s="1"/>
  <c r="K55" i="15" s="1"/>
  <c r="H55" i="15"/>
  <c r="E55" i="15"/>
  <c r="AA54" i="15"/>
  <c r="N54" i="15"/>
  <c r="H54" i="15"/>
  <c r="E54" i="15"/>
  <c r="AA53" i="15"/>
  <c r="N53" i="15"/>
  <c r="H53" i="15"/>
  <c r="E53" i="15"/>
  <c r="AA52" i="15"/>
  <c r="N52" i="15"/>
  <c r="H52" i="15"/>
  <c r="E52" i="15"/>
  <c r="AA51" i="15"/>
  <c r="N51" i="15"/>
  <c r="H51" i="15"/>
  <c r="E51" i="15"/>
  <c r="AA50" i="15"/>
  <c r="N50" i="15"/>
  <c r="H50" i="15"/>
  <c r="E50" i="15"/>
  <c r="I50" i="15" s="1"/>
  <c r="J50" i="15" s="1"/>
  <c r="K50" i="15" s="1"/>
  <c r="AA49" i="15"/>
  <c r="N49" i="15"/>
  <c r="H49" i="15"/>
  <c r="E49" i="15"/>
  <c r="N48" i="15"/>
  <c r="H48" i="15"/>
  <c r="E48" i="15"/>
  <c r="N47" i="15"/>
  <c r="H47" i="15"/>
  <c r="E47" i="15"/>
  <c r="N46" i="15"/>
  <c r="H46" i="15"/>
  <c r="E46" i="15"/>
  <c r="N45" i="15"/>
  <c r="H45" i="15"/>
  <c r="E45" i="15"/>
  <c r="N44" i="15"/>
  <c r="H44" i="15"/>
  <c r="E44" i="15"/>
  <c r="N43" i="15"/>
  <c r="H43" i="15"/>
  <c r="E43" i="15"/>
  <c r="N42" i="15"/>
  <c r="H42" i="15"/>
  <c r="E42" i="15"/>
  <c r="V41" i="15"/>
  <c r="V42" i="15" s="1"/>
  <c r="N41" i="15"/>
  <c r="H41" i="15"/>
  <c r="E41" i="15"/>
  <c r="W40" i="15"/>
  <c r="N40" i="15"/>
  <c r="H40" i="15"/>
  <c r="I40" i="15" s="1"/>
  <c r="E40" i="15"/>
  <c r="W39" i="15"/>
  <c r="N39" i="15"/>
  <c r="H39" i="15"/>
  <c r="I39" i="15" s="1"/>
  <c r="J39" i="15" s="1"/>
  <c r="K39" i="15" s="1"/>
  <c r="E39" i="15"/>
  <c r="W38" i="15"/>
  <c r="N38" i="15"/>
  <c r="H38" i="15"/>
  <c r="E38" i="15"/>
  <c r="W37" i="15"/>
  <c r="N37" i="15"/>
  <c r="H37" i="15"/>
  <c r="E37" i="15"/>
  <c r="W36" i="15"/>
  <c r="N36" i="15"/>
  <c r="H36" i="15"/>
  <c r="E36" i="15"/>
  <c r="W35" i="15"/>
  <c r="N35" i="15"/>
  <c r="H35" i="15"/>
  <c r="E35" i="15"/>
  <c r="W34" i="15"/>
  <c r="N34" i="15"/>
  <c r="H34" i="15"/>
  <c r="I34" i="15" s="1"/>
  <c r="E34" i="15"/>
  <c r="N33" i="15"/>
  <c r="H33" i="15"/>
  <c r="E33" i="15"/>
  <c r="N32" i="15"/>
  <c r="H32" i="15"/>
  <c r="E32" i="15"/>
  <c r="N31" i="15"/>
  <c r="H31" i="15"/>
  <c r="E31" i="15"/>
  <c r="N30" i="15"/>
  <c r="H30" i="15"/>
  <c r="E30" i="15"/>
  <c r="N29" i="15"/>
  <c r="H29" i="15"/>
  <c r="E29" i="15"/>
  <c r="I29" i="15" s="1"/>
  <c r="J29" i="15" s="1"/>
  <c r="K29" i="15" s="1"/>
  <c r="N28" i="15"/>
  <c r="O28" i="15" s="1"/>
  <c r="Q28" i="15" s="1"/>
  <c r="I28" i="15"/>
  <c r="J28" i="15" s="1"/>
  <c r="K28" i="15" s="1"/>
  <c r="H28" i="15"/>
  <c r="E28" i="15"/>
  <c r="N27" i="15"/>
  <c r="I27" i="15"/>
  <c r="O27" i="15" s="1"/>
  <c r="P27" i="15" s="1"/>
  <c r="H27" i="15"/>
  <c r="E27" i="15"/>
  <c r="N26" i="15"/>
  <c r="H26" i="15"/>
  <c r="I26" i="15" s="1"/>
  <c r="J26" i="15" s="1"/>
  <c r="K26" i="15" s="1"/>
  <c r="E26" i="15"/>
  <c r="N25" i="15"/>
  <c r="H25" i="15"/>
  <c r="I25" i="15" s="1"/>
  <c r="J25" i="15" s="1"/>
  <c r="E25" i="15"/>
  <c r="N24" i="15"/>
  <c r="H24" i="15"/>
  <c r="I24" i="15" s="1"/>
  <c r="J24" i="15" s="1"/>
  <c r="K24" i="15" s="1"/>
  <c r="E24" i="15"/>
  <c r="N23" i="15"/>
  <c r="H23" i="15"/>
  <c r="E23" i="15"/>
  <c r="N22" i="15"/>
  <c r="H22" i="15"/>
  <c r="E22" i="15"/>
  <c r="N21" i="15"/>
  <c r="H21" i="15"/>
  <c r="E21" i="15"/>
  <c r="I21" i="15" s="1"/>
  <c r="J21" i="15" s="1"/>
  <c r="K21" i="15" s="1"/>
  <c r="N20" i="15"/>
  <c r="H20" i="15"/>
  <c r="E20" i="15"/>
  <c r="N19" i="15"/>
  <c r="H19" i="15"/>
  <c r="E19" i="15"/>
  <c r="N18" i="15"/>
  <c r="I18" i="15"/>
  <c r="J18" i="15" s="1"/>
  <c r="K18" i="15" s="1"/>
  <c r="H18" i="15"/>
  <c r="E18" i="15"/>
  <c r="N17" i="15"/>
  <c r="H17" i="15"/>
  <c r="E17" i="15"/>
  <c r="N16" i="15"/>
  <c r="H16" i="15"/>
  <c r="E16" i="15"/>
  <c r="N15" i="15"/>
  <c r="H15" i="15"/>
  <c r="E15" i="15"/>
  <c r="N14" i="15"/>
  <c r="H14" i="15"/>
  <c r="I14" i="15" s="1"/>
  <c r="J14" i="15" s="1"/>
  <c r="E14" i="15"/>
  <c r="N13" i="15"/>
  <c r="H13" i="15"/>
  <c r="E13" i="15"/>
  <c r="N12" i="15"/>
  <c r="H12" i="15"/>
  <c r="I12" i="15" s="1"/>
  <c r="J12" i="15" s="1"/>
  <c r="K12" i="15" s="1"/>
  <c r="E12" i="15"/>
  <c r="N11" i="15"/>
  <c r="H11" i="15"/>
  <c r="E11" i="15"/>
  <c r="N10" i="15"/>
  <c r="H10" i="15"/>
  <c r="E10" i="15"/>
  <c r="N9" i="15"/>
  <c r="H9" i="15"/>
  <c r="E9" i="15"/>
  <c r="N8" i="15"/>
  <c r="H8" i="15"/>
  <c r="E8" i="15"/>
  <c r="N7" i="15"/>
  <c r="H7" i="15"/>
  <c r="E7" i="15"/>
  <c r="N6" i="15"/>
  <c r="H6" i="15"/>
  <c r="I6" i="15" s="1"/>
  <c r="J6" i="15" s="1"/>
  <c r="K6" i="15" s="1"/>
  <c r="E6" i="15"/>
  <c r="N5" i="15"/>
  <c r="H5" i="15"/>
  <c r="E5" i="15"/>
  <c r="N4" i="15"/>
  <c r="H4" i="15"/>
  <c r="E4" i="15"/>
  <c r="N3" i="15"/>
  <c r="H3" i="15"/>
  <c r="E3" i="15"/>
  <c r="Z39" i="16" l="1"/>
  <c r="I21" i="16"/>
  <c r="J21" i="16" s="1"/>
  <c r="K21" i="16" s="1"/>
  <c r="I42" i="16"/>
  <c r="J42" i="16" s="1"/>
  <c r="K42" i="16" s="1"/>
  <c r="I23" i="15"/>
  <c r="J23" i="15" s="1"/>
  <c r="K23" i="15" s="1"/>
  <c r="I32" i="16"/>
  <c r="J32" i="16" s="1"/>
  <c r="K32" i="16" s="1"/>
  <c r="I52" i="16"/>
  <c r="J52" i="16" s="1"/>
  <c r="K52" i="16" s="1"/>
  <c r="I5" i="15"/>
  <c r="J5" i="15" s="1"/>
  <c r="K5" i="15" s="1"/>
  <c r="I33" i="15"/>
  <c r="O33" i="15" s="1"/>
  <c r="P33" i="15" s="1"/>
  <c r="I51" i="15"/>
  <c r="J51" i="15" s="1"/>
  <c r="K51" i="15" s="1"/>
  <c r="I30" i="16"/>
  <c r="J30" i="16" s="1"/>
  <c r="K30" i="16" s="1"/>
  <c r="I3" i="15"/>
  <c r="O3" i="15" s="1"/>
  <c r="P3" i="15" s="1"/>
  <c r="I8" i="15"/>
  <c r="J8" i="15" s="1"/>
  <c r="K8" i="15" s="1"/>
  <c r="I11" i="15"/>
  <c r="O11" i="15" s="1"/>
  <c r="P11" i="15" s="1"/>
  <c r="I16" i="15"/>
  <c r="J16" i="15" s="1"/>
  <c r="K16" i="15" s="1"/>
  <c r="V62" i="15"/>
  <c r="O14" i="16"/>
  <c r="I25" i="16"/>
  <c r="J25" i="16" s="1"/>
  <c r="I38" i="15"/>
  <c r="J38" i="15" s="1"/>
  <c r="K38" i="15" s="1"/>
  <c r="I4" i="15"/>
  <c r="J4" i="15" s="1"/>
  <c r="K4" i="15" s="1"/>
  <c r="I17" i="15"/>
  <c r="O17" i="15" s="1"/>
  <c r="P17" i="15" s="1"/>
  <c r="I54" i="15"/>
  <c r="O54" i="15" s="1"/>
  <c r="P54" i="15" s="1"/>
  <c r="I9" i="16"/>
  <c r="O9" i="16" s="1"/>
  <c r="P9" i="16" s="1"/>
  <c r="I51" i="16"/>
  <c r="J51" i="16" s="1"/>
  <c r="K51" i="16" s="1"/>
  <c r="O6" i="16"/>
  <c r="P6" i="16" s="1"/>
  <c r="J6" i="16"/>
  <c r="K6" i="16" s="1"/>
  <c r="O15" i="16"/>
  <c r="P15" i="16" s="1"/>
  <c r="J15" i="16"/>
  <c r="K15" i="16" s="1"/>
  <c r="O19" i="16"/>
  <c r="P19" i="16" s="1"/>
  <c r="J19" i="16"/>
  <c r="K19" i="16" s="1"/>
  <c r="O53" i="16"/>
  <c r="P53" i="16" s="1"/>
  <c r="J53" i="16"/>
  <c r="K53" i="16" s="1"/>
  <c r="I3" i="16"/>
  <c r="J3" i="16" s="1"/>
  <c r="K3" i="16" s="1"/>
  <c r="I28" i="16"/>
  <c r="J28" i="16" s="1"/>
  <c r="K28" i="16" s="1"/>
  <c r="I34" i="16"/>
  <c r="J34" i="16" s="1"/>
  <c r="K34" i="16" s="1"/>
  <c r="I44" i="16"/>
  <c r="J44" i="16" s="1"/>
  <c r="K44" i="16" s="1"/>
  <c r="I11" i="16"/>
  <c r="J11" i="16" s="1"/>
  <c r="K11" i="16" s="1"/>
  <c r="I12" i="16"/>
  <c r="J12" i="16" s="1"/>
  <c r="K12" i="16" s="1"/>
  <c r="I23" i="16"/>
  <c r="J23" i="16" s="1"/>
  <c r="K23" i="16" s="1"/>
  <c r="I27" i="16"/>
  <c r="J27" i="16" s="1"/>
  <c r="K27" i="16" s="1"/>
  <c r="I33" i="16"/>
  <c r="J33" i="16" s="1"/>
  <c r="K33" i="16" s="1"/>
  <c r="I36" i="16"/>
  <c r="J36" i="16" s="1"/>
  <c r="K36" i="16" s="1"/>
  <c r="I37" i="16"/>
  <c r="J37" i="16" s="1"/>
  <c r="K37" i="16" s="1"/>
  <c r="I38" i="16"/>
  <c r="J38" i="16" s="1"/>
  <c r="K38" i="16" s="1"/>
  <c r="I39" i="16"/>
  <c r="J39" i="16" s="1"/>
  <c r="K39" i="16" s="1"/>
  <c r="I40" i="16"/>
  <c r="J40" i="16" s="1"/>
  <c r="K40" i="16" s="1"/>
  <c r="I43" i="16"/>
  <c r="J43" i="16" s="1"/>
  <c r="K43" i="16" s="1"/>
  <c r="I55" i="16"/>
  <c r="J55" i="16" s="1"/>
  <c r="K55" i="16" s="1"/>
  <c r="I56" i="16"/>
  <c r="J56" i="16" s="1"/>
  <c r="K56" i="16" s="1"/>
  <c r="O27" i="16"/>
  <c r="P27" i="16" s="1"/>
  <c r="O33" i="16"/>
  <c r="P33" i="16" s="1"/>
  <c r="O36" i="16"/>
  <c r="P36" i="16" s="1"/>
  <c r="O55" i="16"/>
  <c r="P55" i="16" s="1"/>
  <c r="O56" i="16"/>
  <c r="P56" i="16" s="1"/>
  <c r="I4" i="16"/>
  <c r="J4" i="16" s="1"/>
  <c r="K4" i="16" s="1"/>
  <c r="I5" i="16"/>
  <c r="J5" i="16" s="1"/>
  <c r="K5" i="16" s="1"/>
  <c r="J13" i="16"/>
  <c r="K13" i="16" s="1"/>
  <c r="I17" i="16"/>
  <c r="J17" i="16" s="1"/>
  <c r="K17" i="16" s="1"/>
  <c r="I18" i="16"/>
  <c r="J18" i="16" s="1"/>
  <c r="K18" i="16" s="1"/>
  <c r="I31" i="16"/>
  <c r="J31" i="16" s="1"/>
  <c r="K31" i="16" s="1"/>
  <c r="I45" i="16"/>
  <c r="J45" i="16" s="1"/>
  <c r="K45" i="16" s="1"/>
  <c r="O3" i="16"/>
  <c r="P3" i="16" s="1"/>
  <c r="O28" i="16"/>
  <c r="O34" i="16"/>
  <c r="P34" i="16" s="1"/>
  <c r="O8" i="16"/>
  <c r="P8" i="16" s="1"/>
  <c r="O21" i="16"/>
  <c r="P21" i="16" s="1"/>
  <c r="O22" i="16"/>
  <c r="P22" i="16" s="1"/>
  <c r="J24" i="16"/>
  <c r="K24" i="16" s="1"/>
  <c r="O24" i="16"/>
  <c r="P24" i="16" s="1"/>
  <c r="O26" i="16"/>
  <c r="O32" i="16"/>
  <c r="O42" i="16"/>
  <c r="P42" i="16" s="1"/>
  <c r="O46" i="16"/>
  <c r="P46" i="16" s="1"/>
  <c r="O50" i="16"/>
  <c r="P50" i="16" s="1"/>
  <c r="O52" i="16"/>
  <c r="P52" i="16" s="1"/>
  <c r="O7" i="16"/>
  <c r="O10" i="16"/>
  <c r="P10" i="16" s="1"/>
  <c r="O16" i="16"/>
  <c r="P16" i="16" s="1"/>
  <c r="O20" i="16"/>
  <c r="P20" i="16" s="1"/>
  <c r="O47" i="16"/>
  <c r="P47" i="16" s="1"/>
  <c r="O48" i="16"/>
  <c r="P48" i="16" s="1"/>
  <c r="O49" i="16"/>
  <c r="P49" i="16" s="1"/>
  <c r="J14" i="16"/>
  <c r="O54" i="16"/>
  <c r="P54" i="16" s="1"/>
  <c r="O29" i="16"/>
  <c r="P29" i="16" s="1"/>
  <c r="O30" i="16"/>
  <c r="O35" i="16"/>
  <c r="P35" i="16" s="1"/>
  <c r="O41" i="16"/>
  <c r="P41" i="16" s="1"/>
  <c r="O38" i="15"/>
  <c r="P38" i="15" s="1"/>
  <c r="O4" i="15"/>
  <c r="P4" i="15" s="1"/>
  <c r="O12" i="15"/>
  <c r="P12" i="15" s="1"/>
  <c r="O50" i="15"/>
  <c r="P50" i="15" s="1"/>
  <c r="J34" i="15"/>
  <c r="K34" i="15" s="1"/>
  <c r="O34" i="15"/>
  <c r="P34" i="15" s="1"/>
  <c r="O40" i="15"/>
  <c r="P40" i="15" s="1"/>
  <c r="J40" i="15"/>
  <c r="K40" i="15" s="1"/>
  <c r="I20" i="15"/>
  <c r="J20" i="15" s="1"/>
  <c r="K20" i="15" s="1"/>
  <c r="I22" i="15"/>
  <c r="J22" i="15" s="1"/>
  <c r="K22" i="15" s="1"/>
  <c r="I30" i="15"/>
  <c r="J30" i="15" s="1"/>
  <c r="K30" i="15" s="1"/>
  <c r="I35" i="15"/>
  <c r="J35" i="15" s="1"/>
  <c r="K35" i="15" s="1"/>
  <c r="I36" i="15"/>
  <c r="J36" i="15" s="1"/>
  <c r="K36" i="15" s="1"/>
  <c r="O39" i="15"/>
  <c r="P39" i="15" s="1"/>
  <c r="O18" i="15"/>
  <c r="P18" i="15" s="1"/>
  <c r="O22" i="15"/>
  <c r="P22" i="15" s="1"/>
  <c r="O25" i="15"/>
  <c r="O6" i="15"/>
  <c r="P6" i="15" s="1"/>
  <c r="I10" i="15"/>
  <c r="J10" i="15" s="1"/>
  <c r="K10" i="15" s="1"/>
  <c r="I32" i="15"/>
  <c r="J32" i="15" s="1"/>
  <c r="K32" i="15" s="1"/>
  <c r="I41" i="15"/>
  <c r="J41" i="15" s="1"/>
  <c r="K41" i="15" s="1"/>
  <c r="I42" i="15"/>
  <c r="J42" i="15" s="1"/>
  <c r="K42" i="15" s="1"/>
  <c r="AA61" i="15"/>
  <c r="I53" i="15"/>
  <c r="O53" i="15" s="1"/>
  <c r="P53" i="15" s="1"/>
  <c r="W62" i="15"/>
  <c r="AA62" i="15" s="1"/>
  <c r="O42" i="15"/>
  <c r="P42" i="15" s="1"/>
  <c r="O24" i="15"/>
  <c r="P24" i="15" s="1"/>
  <c r="O5" i="15"/>
  <c r="P5" i="15" s="1"/>
  <c r="O14" i="15"/>
  <c r="O29" i="15"/>
  <c r="P29" i="15" s="1"/>
  <c r="J3" i="15"/>
  <c r="K3" i="15" s="1"/>
  <c r="I7" i="15"/>
  <c r="J7" i="15" s="1"/>
  <c r="K7" i="15" s="1"/>
  <c r="J11" i="15"/>
  <c r="K11" i="15" s="1"/>
  <c r="I13" i="15"/>
  <c r="J13" i="15" s="1"/>
  <c r="K13" i="15" s="1"/>
  <c r="J17" i="15"/>
  <c r="K17" i="15" s="1"/>
  <c r="I19" i="15"/>
  <c r="J19" i="15" s="1"/>
  <c r="K19" i="15" s="1"/>
  <c r="O21" i="15"/>
  <c r="P21" i="15" s="1"/>
  <c r="J27" i="15"/>
  <c r="K27" i="15" s="1"/>
  <c r="J33" i="15"/>
  <c r="K33" i="15" s="1"/>
  <c r="I37" i="15"/>
  <c r="J37" i="15" s="1"/>
  <c r="K37" i="15" s="1"/>
  <c r="I43" i="15"/>
  <c r="J43" i="15" s="1"/>
  <c r="K43" i="15" s="1"/>
  <c r="I45" i="15"/>
  <c r="J45" i="15" s="1"/>
  <c r="K45" i="15" s="1"/>
  <c r="I47" i="15"/>
  <c r="J47" i="15" s="1"/>
  <c r="K47" i="15" s="1"/>
  <c r="I49" i="15"/>
  <c r="J49" i="15" s="1"/>
  <c r="K49" i="15" s="1"/>
  <c r="I52" i="15"/>
  <c r="J52" i="15" s="1"/>
  <c r="K52" i="15" s="1"/>
  <c r="I9" i="15"/>
  <c r="J9" i="15" s="1"/>
  <c r="K9" i="15" s="1"/>
  <c r="I15" i="15"/>
  <c r="J15" i="15" s="1"/>
  <c r="K15" i="15" s="1"/>
  <c r="O16" i="15"/>
  <c r="P16" i="15" s="1"/>
  <c r="O19" i="15"/>
  <c r="P19" i="15" s="1"/>
  <c r="O26" i="15"/>
  <c r="P28" i="15"/>
  <c r="I31" i="15"/>
  <c r="J31" i="15" s="1"/>
  <c r="K31" i="15" s="1"/>
  <c r="I44" i="15"/>
  <c r="J44" i="15" s="1"/>
  <c r="K44" i="15" s="1"/>
  <c r="I46" i="15"/>
  <c r="J46" i="15" s="1"/>
  <c r="K46" i="15" s="1"/>
  <c r="I48" i="15"/>
  <c r="J48" i="15" s="1"/>
  <c r="K48" i="15" s="1"/>
  <c r="J53" i="15"/>
  <c r="K53" i="15" s="1"/>
  <c r="O56" i="15"/>
  <c r="P56" i="15" s="1"/>
  <c r="O8" i="15"/>
  <c r="P8" i="15" s="1"/>
  <c r="O23" i="15"/>
  <c r="P23" i="15" s="1"/>
  <c r="Q38" i="15"/>
  <c r="O49" i="15"/>
  <c r="P49" i="15" s="1"/>
  <c r="J54" i="15"/>
  <c r="K54" i="15" s="1"/>
  <c r="X63" i="15"/>
  <c r="Y63" i="15"/>
  <c r="O55" i="15"/>
  <c r="P55" i="15" s="1"/>
  <c r="U78" i="8"/>
  <c r="O43" i="16" l="1"/>
  <c r="P43" i="16" s="1"/>
  <c r="O23" i="16"/>
  <c r="P23" i="16" s="1"/>
  <c r="O45" i="15"/>
  <c r="P45" i="15" s="1"/>
  <c r="O35" i="15"/>
  <c r="P35" i="15" s="1"/>
  <c r="O44" i="16"/>
  <c r="P44" i="16" s="1"/>
  <c r="O40" i="16"/>
  <c r="P40" i="16" s="1"/>
  <c r="O12" i="16"/>
  <c r="P12" i="16" s="1"/>
  <c r="O47" i="15"/>
  <c r="P47" i="15" s="1"/>
  <c r="Q39" i="15"/>
  <c r="O10" i="15"/>
  <c r="P10" i="15" s="1"/>
  <c r="O39" i="16"/>
  <c r="P39" i="16" s="1"/>
  <c r="O38" i="16"/>
  <c r="P38" i="16" s="1"/>
  <c r="O25" i="16"/>
  <c r="J9" i="16"/>
  <c r="K9" i="16" s="1"/>
  <c r="O32" i="15"/>
  <c r="O51" i="15"/>
  <c r="P51" i="15" s="1"/>
  <c r="O51" i="16"/>
  <c r="P51" i="16" s="1"/>
  <c r="O11" i="16"/>
  <c r="P11" i="16" s="1"/>
  <c r="O37" i="16"/>
  <c r="P37" i="16" s="1"/>
  <c r="Z41" i="16"/>
  <c r="O45" i="16"/>
  <c r="P45" i="16" s="1"/>
  <c r="O5" i="16"/>
  <c r="P5" i="16" s="1"/>
  <c r="Z40" i="16"/>
  <c r="O4" i="16"/>
  <c r="P4" i="16" s="1"/>
  <c r="O18" i="16"/>
  <c r="P18" i="16" s="1"/>
  <c r="O31" i="16"/>
  <c r="P31" i="16" s="1"/>
  <c r="O17" i="16"/>
  <c r="P17" i="16" s="1"/>
  <c r="P28" i="16"/>
  <c r="P30" i="16"/>
  <c r="P32" i="16"/>
  <c r="P7" i="16"/>
  <c r="P26" i="16"/>
  <c r="AA63" i="15"/>
  <c r="O20" i="15"/>
  <c r="P20" i="15" s="1"/>
  <c r="O30" i="15"/>
  <c r="O52" i="15"/>
  <c r="P52" i="15" s="1"/>
  <c r="O13" i="15"/>
  <c r="P13" i="15" s="1"/>
  <c r="O41" i="15"/>
  <c r="P41" i="15" s="1"/>
  <c r="O36" i="15"/>
  <c r="P36" i="15" s="1"/>
  <c r="O46" i="15"/>
  <c r="P46" i="15" s="1"/>
  <c r="O9" i="15"/>
  <c r="P9" i="15" s="1"/>
  <c r="O37" i="15"/>
  <c r="P37" i="15" s="1"/>
  <c r="P26" i="15"/>
  <c r="Q26" i="15"/>
  <c r="O44" i="15"/>
  <c r="P44" i="15" s="1"/>
  <c r="O15" i="15"/>
  <c r="P15" i="15" s="1"/>
  <c r="P32" i="15"/>
  <c r="Q32" i="15"/>
  <c r="O48" i="15"/>
  <c r="P48" i="15" s="1"/>
  <c r="O31" i="15"/>
  <c r="O43" i="15"/>
  <c r="P43" i="15" s="1"/>
  <c r="O7" i="15"/>
  <c r="P30" i="15" l="1"/>
  <c r="Q30" i="15"/>
  <c r="P31" i="15"/>
  <c r="Q31" i="15"/>
  <c r="Q7" i="15"/>
  <c r="P7" i="15"/>
  <c r="Z40" i="4"/>
  <c r="Z42" i="4" s="1"/>
  <c r="Y40" i="4"/>
  <c r="Y42" i="4" s="1"/>
  <c r="X40" i="4"/>
  <c r="X41" i="4" s="1"/>
  <c r="W40" i="4"/>
  <c r="W42" i="4" s="1"/>
  <c r="V40" i="4"/>
  <c r="V42" i="4" s="1"/>
  <c r="AA39" i="4"/>
  <c r="AA38" i="4"/>
  <c r="AA37" i="4"/>
  <c r="AA36" i="4"/>
  <c r="AA35" i="4"/>
  <c r="AA34" i="4"/>
  <c r="AA33" i="4"/>
  <c r="AA32" i="4"/>
  <c r="AA31" i="4"/>
  <c r="AA30" i="4"/>
  <c r="AA29" i="4"/>
  <c r="AA28" i="4"/>
  <c r="Y41" i="4" l="1"/>
  <c r="W41" i="4"/>
  <c r="X42" i="4"/>
  <c r="V41" i="4"/>
  <c r="Z41" i="4"/>
  <c r="AA40" i="4"/>
  <c r="AA41" i="4" l="1"/>
  <c r="AA42" i="4"/>
  <c r="N56" i="13" l="1"/>
  <c r="P56" i="13" s="1"/>
  <c r="Q56" i="13" s="1"/>
  <c r="R56" i="13" s="1"/>
  <c r="H56" i="13"/>
  <c r="J56" i="13" s="1"/>
  <c r="E56" i="13"/>
  <c r="I56" i="13" s="1"/>
  <c r="N55" i="13"/>
  <c r="P55" i="13" s="1"/>
  <c r="Q55" i="13" s="1"/>
  <c r="R55" i="13" s="1"/>
  <c r="H55" i="13"/>
  <c r="E55" i="13"/>
  <c r="I55" i="13" s="1"/>
  <c r="N54" i="13"/>
  <c r="P54" i="13" s="1"/>
  <c r="Q54" i="13" s="1"/>
  <c r="R54" i="13" s="1"/>
  <c r="I54" i="13"/>
  <c r="H54" i="13"/>
  <c r="J54" i="13" s="1"/>
  <c r="N53" i="13"/>
  <c r="P53" i="13" s="1"/>
  <c r="Q53" i="13" s="1"/>
  <c r="R53" i="13" s="1"/>
  <c r="H53" i="13"/>
  <c r="J53" i="13" s="1"/>
  <c r="E53" i="13"/>
  <c r="I53" i="13" s="1"/>
  <c r="N52" i="13"/>
  <c r="P52" i="13" s="1"/>
  <c r="Q52" i="13" s="1"/>
  <c r="R52" i="13" s="1"/>
  <c r="I52" i="13"/>
  <c r="H52" i="13"/>
  <c r="J52" i="13" s="1"/>
  <c r="AI51" i="13"/>
  <c r="AI52" i="13" s="1"/>
  <c r="AH51" i="13"/>
  <c r="AH52" i="13" s="1"/>
  <c r="AG51" i="13"/>
  <c r="AG53" i="13" s="1"/>
  <c r="AF51" i="13"/>
  <c r="AF53" i="13" s="1"/>
  <c r="AE51" i="13"/>
  <c r="AE52" i="13" s="1"/>
  <c r="P51" i="13"/>
  <c r="Q51" i="13" s="1"/>
  <c r="R51" i="13" s="1"/>
  <c r="N51" i="13"/>
  <c r="H51" i="13"/>
  <c r="AJ50" i="13"/>
  <c r="N50" i="13"/>
  <c r="P50" i="13" s="1"/>
  <c r="Q50" i="13" s="1"/>
  <c r="R50" i="13" s="1"/>
  <c r="H50" i="13"/>
  <c r="J50" i="13" s="1"/>
  <c r="E50" i="13"/>
  <c r="E51" i="13" s="1"/>
  <c r="AJ49" i="13"/>
  <c r="P49" i="13"/>
  <c r="Q49" i="13" s="1"/>
  <c r="R49" i="13" s="1"/>
  <c r="N49" i="13"/>
  <c r="H49" i="13"/>
  <c r="J49" i="13" s="1"/>
  <c r="E49" i="13"/>
  <c r="I49" i="13" s="1"/>
  <c r="AJ48" i="13"/>
  <c r="N48" i="13"/>
  <c r="P48" i="13" s="1"/>
  <c r="Q48" i="13" s="1"/>
  <c r="R48" i="13" s="1"/>
  <c r="I48" i="13"/>
  <c r="H48" i="13"/>
  <c r="J48" i="13" s="1"/>
  <c r="AJ47" i="13"/>
  <c r="N47" i="13"/>
  <c r="P47" i="13" s="1"/>
  <c r="Q47" i="13" s="1"/>
  <c r="R47" i="13" s="1"/>
  <c r="I47" i="13"/>
  <c r="H47" i="13"/>
  <c r="J47" i="13" s="1"/>
  <c r="AJ46" i="13"/>
  <c r="N46" i="13"/>
  <c r="P46" i="13" s="1"/>
  <c r="Q46" i="13" s="1"/>
  <c r="R46" i="13" s="1"/>
  <c r="I46" i="13"/>
  <c r="H46" i="13"/>
  <c r="J46" i="13" s="1"/>
  <c r="AJ45" i="13"/>
  <c r="N45" i="13"/>
  <c r="P45" i="13" s="1"/>
  <c r="Q45" i="13" s="1"/>
  <c r="R45" i="13" s="1"/>
  <c r="I45" i="13"/>
  <c r="H45" i="13"/>
  <c r="J45" i="13" s="1"/>
  <c r="AJ44" i="13"/>
  <c r="N44" i="13"/>
  <c r="P44" i="13" s="1"/>
  <c r="Q44" i="13" s="1"/>
  <c r="R44" i="13" s="1"/>
  <c r="I44" i="13"/>
  <c r="H44" i="13"/>
  <c r="J44" i="13" s="1"/>
  <c r="AJ43" i="13"/>
  <c r="N43" i="13"/>
  <c r="P43" i="13" s="1"/>
  <c r="Q43" i="13" s="1"/>
  <c r="R43" i="13" s="1"/>
  <c r="I43" i="13"/>
  <c r="H43" i="13"/>
  <c r="J43" i="13" s="1"/>
  <c r="AJ42" i="13"/>
  <c r="N42" i="13"/>
  <c r="P42" i="13" s="1"/>
  <c r="Q42" i="13" s="1"/>
  <c r="R42" i="13" s="1"/>
  <c r="H42" i="13"/>
  <c r="E42" i="13"/>
  <c r="I42" i="13" s="1"/>
  <c r="AJ41" i="13"/>
  <c r="P41" i="13"/>
  <c r="Q41" i="13" s="1"/>
  <c r="R41" i="13" s="1"/>
  <c r="N41" i="13"/>
  <c r="H41" i="13"/>
  <c r="AJ40" i="13"/>
  <c r="N40" i="13"/>
  <c r="P40" i="13" s="1"/>
  <c r="Q40" i="13" s="1"/>
  <c r="R40" i="13" s="1"/>
  <c r="I40" i="13"/>
  <c r="H40" i="13"/>
  <c r="J40" i="13" s="1"/>
  <c r="AJ39" i="13"/>
  <c r="N39" i="13"/>
  <c r="P39" i="13" s="1"/>
  <c r="Q39" i="13" s="1"/>
  <c r="R39" i="13" s="1"/>
  <c r="J39" i="13"/>
  <c r="I39" i="13"/>
  <c r="H39" i="13"/>
  <c r="N38" i="13"/>
  <c r="P38" i="13" s="1"/>
  <c r="Q38" i="13" s="1"/>
  <c r="R38" i="13" s="1"/>
  <c r="I38" i="13"/>
  <c r="H38" i="13"/>
  <c r="J38" i="13" s="1"/>
  <c r="N37" i="13"/>
  <c r="P37" i="13" s="1"/>
  <c r="Q37" i="13" s="1"/>
  <c r="R37" i="13" s="1"/>
  <c r="I37" i="13"/>
  <c r="H37" i="13"/>
  <c r="J37" i="13" s="1"/>
  <c r="N36" i="13"/>
  <c r="P36" i="13" s="1"/>
  <c r="Q36" i="13" s="1"/>
  <c r="R36" i="13" s="1"/>
  <c r="H36" i="13"/>
  <c r="E36" i="13"/>
  <c r="I36" i="13" s="1"/>
  <c r="P35" i="13"/>
  <c r="Q35" i="13" s="1"/>
  <c r="R35" i="13" s="1"/>
  <c r="N35" i="13"/>
  <c r="I35" i="13"/>
  <c r="H35" i="13"/>
  <c r="J35" i="13" s="1"/>
  <c r="N34" i="13"/>
  <c r="P34" i="13" s="1"/>
  <c r="Q34" i="13" s="1"/>
  <c r="R34" i="13" s="1"/>
  <c r="H34" i="13"/>
  <c r="E34" i="13"/>
  <c r="J34" i="13" s="1"/>
  <c r="P33" i="13"/>
  <c r="Q33" i="13" s="1"/>
  <c r="R33" i="13" s="1"/>
  <c r="N33" i="13"/>
  <c r="H33" i="13"/>
  <c r="J33" i="13" s="1"/>
  <c r="E33" i="13"/>
  <c r="I33" i="13" s="1"/>
  <c r="W32" i="13"/>
  <c r="N32" i="13"/>
  <c r="P32" i="13" s="1"/>
  <c r="Q32" i="13" s="1"/>
  <c r="R32" i="13" s="1"/>
  <c r="I32" i="13"/>
  <c r="H32" i="13"/>
  <c r="J32" i="13" s="1"/>
  <c r="P31" i="13"/>
  <c r="Q31" i="13" s="1"/>
  <c r="R31" i="13" s="1"/>
  <c r="N31" i="13"/>
  <c r="H31" i="13"/>
  <c r="J31" i="13" s="1"/>
  <c r="E31" i="13"/>
  <c r="I31" i="13" s="1"/>
  <c r="N30" i="13"/>
  <c r="P30" i="13" s="1"/>
  <c r="Q30" i="13" s="1"/>
  <c r="R30" i="13" s="1"/>
  <c r="H30" i="13"/>
  <c r="E30" i="13"/>
  <c r="I30" i="13" s="1"/>
  <c r="P29" i="13"/>
  <c r="Q29" i="13" s="1"/>
  <c r="R29" i="13" s="1"/>
  <c r="N29" i="13"/>
  <c r="H29" i="13"/>
  <c r="J29" i="13" s="1"/>
  <c r="E29" i="13"/>
  <c r="I29" i="13" s="1"/>
  <c r="X28" i="13"/>
  <c r="N28" i="13"/>
  <c r="P28" i="13" s="1"/>
  <c r="Q28" i="13" s="1"/>
  <c r="R28" i="13" s="1"/>
  <c r="H28" i="13"/>
  <c r="E28" i="13"/>
  <c r="I28" i="13" s="1"/>
  <c r="X27" i="13"/>
  <c r="P27" i="13"/>
  <c r="Q27" i="13" s="1"/>
  <c r="R27" i="13" s="1"/>
  <c r="N27" i="13"/>
  <c r="I27" i="13"/>
  <c r="H27" i="13"/>
  <c r="J27" i="13" s="1"/>
  <c r="N26" i="13"/>
  <c r="P26" i="13" s="1"/>
  <c r="Q26" i="13" s="1"/>
  <c r="R26" i="13" s="1"/>
  <c r="I26" i="13"/>
  <c r="H26" i="13"/>
  <c r="J26" i="13" s="1"/>
  <c r="P25" i="13"/>
  <c r="H25" i="13"/>
  <c r="N24" i="13"/>
  <c r="P24" i="13" s="1"/>
  <c r="Q24" i="13" s="1"/>
  <c r="R24" i="13" s="1"/>
  <c r="H24" i="13"/>
  <c r="J24" i="13" s="1"/>
  <c r="E24" i="13"/>
  <c r="I24" i="13" s="1"/>
  <c r="P23" i="13"/>
  <c r="Q23" i="13" s="1"/>
  <c r="R23" i="13" s="1"/>
  <c r="N23" i="13"/>
  <c r="I23" i="13"/>
  <c r="H23" i="13"/>
  <c r="J23" i="13" s="1"/>
  <c r="N22" i="13"/>
  <c r="P22" i="13" s="1"/>
  <c r="Q22" i="13" s="1"/>
  <c r="R22" i="13" s="1"/>
  <c r="I22" i="13"/>
  <c r="H22" i="13"/>
  <c r="E22" i="13"/>
  <c r="E41" i="13" s="1"/>
  <c r="N21" i="13"/>
  <c r="P21" i="13" s="1"/>
  <c r="Q21" i="13" s="1"/>
  <c r="R21" i="13" s="1"/>
  <c r="H21" i="13"/>
  <c r="J21" i="13" s="1"/>
  <c r="E21" i="13"/>
  <c r="I21" i="13" s="1"/>
  <c r="N20" i="13"/>
  <c r="P20" i="13" s="1"/>
  <c r="Q20" i="13" s="1"/>
  <c r="R20" i="13" s="1"/>
  <c r="I20" i="13"/>
  <c r="H20" i="13"/>
  <c r="E20" i="13"/>
  <c r="N19" i="13"/>
  <c r="P19" i="13" s="1"/>
  <c r="Q19" i="13" s="1"/>
  <c r="R19" i="13" s="1"/>
  <c r="I19" i="13"/>
  <c r="H19" i="13"/>
  <c r="J19" i="13" s="1"/>
  <c r="N18" i="13"/>
  <c r="P18" i="13" s="1"/>
  <c r="Q18" i="13" s="1"/>
  <c r="R18" i="13" s="1"/>
  <c r="I18" i="13"/>
  <c r="H18" i="13"/>
  <c r="J18" i="13" s="1"/>
  <c r="N17" i="13"/>
  <c r="P17" i="13" s="1"/>
  <c r="Q17" i="13" s="1"/>
  <c r="R17" i="13" s="1"/>
  <c r="J17" i="13"/>
  <c r="I17" i="13"/>
  <c r="H17" i="13"/>
  <c r="N16" i="13"/>
  <c r="P16" i="13" s="1"/>
  <c r="Q16" i="13" s="1"/>
  <c r="R16" i="13" s="1"/>
  <c r="J16" i="13"/>
  <c r="I16" i="13"/>
  <c r="H16" i="13"/>
  <c r="N15" i="13"/>
  <c r="P15" i="13" s="1"/>
  <c r="Q15" i="13" s="1"/>
  <c r="R15" i="13" s="1"/>
  <c r="I15" i="13"/>
  <c r="H15" i="13"/>
  <c r="J15" i="13" s="1"/>
  <c r="P14" i="13"/>
  <c r="H14" i="13"/>
  <c r="P13" i="13"/>
  <c r="Q13" i="13" s="1"/>
  <c r="R13" i="13" s="1"/>
  <c r="N13" i="13"/>
  <c r="J13" i="13"/>
  <c r="I13" i="13"/>
  <c r="H13" i="13"/>
  <c r="N12" i="13"/>
  <c r="P12" i="13" s="1"/>
  <c r="Q12" i="13" s="1"/>
  <c r="R12" i="13" s="1"/>
  <c r="I12" i="13"/>
  <c r="H12" i="13"/>
  <c r="J12" i="13" s="1"/>
  <c r="P11" i="13"/>
  <c r="Q11" i="13" s="1"/>
  <c r="R11" i="13" s="1"/>
  <c r="N11" i="13"/>
  <c r="I11" i="13"/>
  <c r="H11" i="13"/>
  <c r="J11" i="13" s="1"/>
  <c r="N10" i="13"/>
  <c r="P10" i="13" s="1"/>
  <c r="Q10" i="13" s="1"/>
  <c r="I10" i="13"/>
  <c r="H10" i="13"/>
  <c r="J10" i="13" s="1"/>
  <c r="N9" i="13"/>
  <c r="P9" i="13" s="1"/>
  <c r="Q9" i="13" s="1"/>
  <c r="R9" i="13" s="1"/>
  <c r="I9" i="13"/>
  <c r="H9" i="13"/>
  <c r="J9" i="13" s="1"/>
  <c r="N8" i="13"/>
  <c r="P8" i="13" s="1"/>
  <c r="Q8" i="13" s="1"/>
  <c r="R8" i="13" s="1"/>
  <c r="I8" i="13"/>
  <c r="H8" i="13"/>
  <c r="J8" i="13" s="1"/>
  <c r="N7" i="13"/>
  <c r="P7" i="13" s="1"/>
  <c r="Q7" i="13" s="1"/>
  <c r="R7" i="13" s="1"/>
  <c r="J7" i="13"/>
  <c r="I7" i="13"/>
  <c r="H7" i="13"/>
  <c r="N6" i="13"/>
  <c r="P6" i="13" s="1"/>
  <c r="Q6" i="13" s="1"/>
  <c r="R6" i="13" s="1"/>
  <c r="I6" i="13"/>
  <c r="H6" i="13"/>
  <c r="J6" i="13" s="1"/>
  <c r="N5" i="13"/>
  <c r="P5" i="13" s="1"/>
  <c r="Q5" i="13" s="1"/>
  <c r="R5" i="13" s="1"/>
  <c r="I5" i="13"/>
  <c r="H5" i="13"/>
  <c r="J5" i="13" s="1"/>
  <c r="N4" i="13"/>
  <c r="P4" i="13" s="1"/>
  <c r="Q4" i="13" s="1"/>
  <c r="R4" i="13" s="1"/>
  <c r="I4" i="13"/>
  <c r="H4" i="13"/>
  <c r="J4" i="13" s="1"/>
  <c r="N3" i="13"/>
  <c r="P3" i="13" s="1"/>
  <c r="Q3" i="13" s="1"/>
  <c r="R3" i="13" s="1"/>
  <c r="J3" i="13"/>
  <c r="I3" i="13"/>
  <c r="H3" i="13"/>
  <c r="N56" i="12"/>
  <c r="P56" i="12" s="1"/>
  <c r="Q56" i="12" s="1"/>
  <c r="R56" i="12" s="1"/>
  <c r="H56" i="12"/>
  <c r="J56" i="12" s="1"/>
  <c r="E56" i="12"/>
  <c r="I56" i="12" s="1"/>
  <c r="N55" i="12"/>
  <c r="P55" i="12" s="1"/>
  <c r="Q55" i="12" s="1"/>
  <c r="R55" i="12" s="1"/>
  <c r="H55" i="12"/>
  <c r="J55" i="12" s="1"/>
  <c r="E55" i="12"/>
  <c r="I55" i="12" s="1"/>
  <c r="N54" i="12"/>
  <c r="P54" i="12" s="1"/>
  <c r="Q54" i="12" s="1"/>
  <c r="R54" i="12" s="1"/>
  <c r="I54" i="12"/>
  <c r="H54" i="12"/>
  <c r="J54" i="12" s="1"/>
  <c r="N53" i="12"/>
  <c r="P53" i="12" s="1"/>
  <c r="Q53" i="12" s="1"/>
  <c r="R53" i="12" s="1"/>
  <c r="I53" i="12"/>
  <c r="H53" i="12"/>
  <c r="E53" i="12"/>
  <c r="N52" i="12"/>
  <c r="P52" i="12" s="1"/>
  <c r="Q52" i="12" s="1"/>
  <c r="R52" i="12" s="1"/>
  <c r="I52" i="12"/>
  <c r="H52" i="12"/>
  <c r="J52" i="12" s="1"/>
  <c r="AI51" i="12"/>
  <c r="AI53" i="12" s="1"/>
  <c r="AH51" i="12"/>
  <c r="AH52" i="12" s="1"/>
  <c r="AG51" i="12"/>
  <c r="AG52" i="12" s="1"/>
  <c r="AF51" i="12"/>
  <c r="AF52" i="12" s="1"/>
  <c r="AE51" i="12"/>
  <c r="AE53" i="12" s="1"/>
  <c r="N51" i="12"/>
  <c r="P51" i="12" s="1"/>
  <c r="Q51" i="12" s="1"/>
  <c r="R51" i="12" s="1"/>
  <c r="H51" i="12"/>
  <c r="E51" i="12"/>
  <c r="I51" i="12" s="1"/>
  <c r="AJ50" i="12"/>
  <c r="N50" i="12"/>
  <c r="P50" i="12" s="1"/>
  <c r="Q50" i="12" s="1"/>
  <c r="R50" i="12" s="1"/>
  <c r="H50" i="12"/>
  <c r="J50" i="12" s="1"/>
  <c r="E50" i="12"/>
  <c r="I50" i="12" s="1"/>
  <c r="AJ49" i="12"/>
  <c r="N49" i="12"/>
  <c r="P49" i="12" s="1"/>
  <c r="Q49" i="12" s="1"/>
  <c r="R49" i="12" s="1"/>
  <c r="H49" i="12"/>
  <c r="E49" i="12"/>
  <c r="I49" i="12" s="1"/>
  <c r="AJ48" i="12"/>
  <c r="P48" i="12"/>
  <c r="Q48" i="12" s="1"/>
  <c r="R48" i="12" s="1"/>
  <c r="N48" i="12"/>
  <c r="I48" i="12"/>
  <c r="H48" i="12"/>
  <c r="J48" i="12" s="1"/>
  <c r="AJ47" i="12"/>
  <c r="N47" i="12"/>
  <c r="P47" i="12" s="1"/>
  <c r="Q47" i="12" s="1"/>
  <c r="R47" i="12" s="1"/>
  <c r="I47" i="12"/>
  <c r="H47" i="12"/>
  <c r="J47" i="12" s="1"/>
  <c r="AJ46" i="12"/>
  <c r="N46" i="12"/>
  <c r="P46" i="12" s="1"/>
  <c r="Q46" i="12" s="1"/>
  <c r="R46" i="12" s="1"/>
  <c r="I46" i="12"/>
  <c r="H46" i="12"/>
  <c r="J46" i="12" s="1"/>
  <c r="AJ45" i="12"/>
  <c r="N45" i="12"/>
  <c r="P45" i="12" s="1"/>
  <c r="Q45" i="12" s="1"/>
  <c r="R45" i="12" s="1"/>
  <c r="I45" i="12"/>
  <c r="H45" i="12"/>
  <c r="J45" i="12" s="1"/>
  <c r="AJ44" i="12"/>
  <c r="N44" i="12"/>
  <c r="P44" i="12" s="1"/>
  <c r="Q44" i="12" s="1"/>
  <c r="R44" i="12" s="1"/>
  <c r="I44" i="12"/>
  <c r="H44" i="12"/>
  <c r="J44" i="12" s="1"/>
  <c r="AJ43" i="12"/>
  <c r="P43" i="12"/>
  <c r="Q43" i="12" s="1"/>
  <c r="R43" i="12" s="1"/>
  <c r="N43" i="12"/>
  <c r="I43" i="12"/>
  <c r="H43" i="12"/>
  <c r="J43" i="12" s="1"/>
  <c r="AJ42" i="12"/>
  <c r="P42" i="12"/>
  <c r="Q42" i="12" s="1"/>
  <c r="R42" i="12" s="1"/>
  <c r="N42" i="12"/>
  <c r="H42" i="12"/>
  <c r="J42" i="12" s="1"/>
  <c r="E42" i="12"/>
  <c r="I42" i="12" s="1"/>
  <c r="AJ41" i="12"/>
  <c r="N41" i="12"/>
  <c r="P41" i="12" s="1"/>
  <c r="Q41" i="12" s="1"/>
  <c r="R41" i="12" s="1"/>
  <c r="H41" i="12"/>
  <c r="E41" i="12"/>
  <c r="I41" i="12" s="1"/>
  <c r="AJ40" i="12"/>
  <c r="P40" i="12"/>
  <c r="Q40" i="12" s="1"/>
  <c r="R40" i="12" s="1"/>
  <c r="N40" i="12"/>
  <c r="J40" i="12"/>
  <c r="I40" i="12"/>
  <c r="H40" i="12"/>
  <c r="AJ39" i="12"/>
  <c r="P39" i="12"/>
  <c r="Q39" i="12" s="1"/>
  <c r="R39" i="12" s="1"/>
  <c r="N39" i="12"/>
  <c r="J39" i="12"/>
  <c r="I39" i="12"/>
  <c r="H39" i="12"/>
  <c r="N38" i="12"/>
  <c r="P38" i="12" s="1"/>
  <c r="Q38" i="12" s="1"/>
  <c r="R38" i="12" s="1"/>
  <c r="I38" i="12"/>
  <c r="H38" i="12"/>
  <c r="J38" i="12" s="1"/>
  <c r="P37" i="12"/>
  <c r="Q37" i="12" s="1"/>
  <c r="R37" i="12" s="1"/>
  <c r="N37" i="12"/>
  <c r="I37" i="12"/>
  <c r="H37" i="12"/>
  <c r="J37" i="12" s="1"/>
  <c r="N36" i="12"/>
  <c r="P36" i="12" s="1"/>
  <c r="Q36" i="12" s="1"/>
  <c r="R36" i="12" s="1"/>
  <c r="H36" i="12"/>
  <c r="J36" i="12" s="1"/>
  <c r="E36" i="12"/>
  <c r="I36" i="12" s="1"/>
  <c r="N35" i="12"/>
  <c r="P35" i="12" s="1"/>
  <c r="Q35" i="12" s="1"/>
  <c r="R35" i="12" s="1"/>
  <c r="I35" i="12"/>
  <c r="H35" i="12"/>
  <c r="J35" i="12" s="1"/>
  <c r="P34" i="12"/>
  <c r="Q34" i="12" s="1"/>
  <c r="R34" i="12" s="1"/>
  <c r="N34" i="12"/>
  <c r="H34" i="12"/>
  <c r="J34" i="12" s="1"/>
  <c r="E34" i="12"/>
  <c r="I34" i="12" s="1"/>
  <c r="N33" i="12"/>
  <c r="P33" i="12" s="1"/>
  <c r="Q33" i="12" s="1"/>
  <c r="R33" i="12" s="1"/>
  <c r="H33" i="12"/>
  <c r="J33" i="12" s="1"/>
  <c r="E33" i="12"/>
  <c r="I33" i="12" s="1"/>
  <c r="W32" i="12"/>
  <c r="P32" i="12"/>
  <c r="Q32" i="12" s="1"/>
  <c r="R32" i="12" s="1"/>
  <c r="N32" i="12"/>
  <c r="I32" i="12"/>
  <c r="H32" i="12"/>
  <c r="J32" i="12" s="1"/>
  <c r="N31" i="12"/>
  <c r="P31" i="12" s="1"/>
  <c r="Q31" i="12" s="1"/>
  <c r="R31" i="12" s="1"/>
  <c r="H31" i="12"/>
  <c r="J31" i="12" s="1"/>
  <c r="E31" i="12"/>
  <c r="I31" i="12" s="1"/>
  <c r="N30" i="12"/>
  <c r="P30" i="12" s="1"/>
  <c r="Q30" i="12" s="1"/>
  <c r="R30" i="12" s="1"/>
  <c r="H30" i="12"/>
  <c r="J30" i="12" s="1"/>
  <c r="E30" i="12"/>
  <c r="I30" i="12" s="1"/>
  <c r="N29" i="12"/>
  <c r="P29" i="12" s="1"/>
  <c r="Q29" i="12" s="1"/>
  <c r="R29" i="12" s="1"/>
  <c r="H29" i="12"/>
  <c r="E29" i="12"/>
  <c r="I29" i="12" s="1"/>
  <c r="X28" i="12"/>
  <c r="N28" i="12"/>
  <c r="P28" i="12" s="1"/>
  <c r="Q28" i="12" s="1"/>
  <c r="R28" i="12" s="1"/>
  <c r="H28" i="12"/>
  <c r="J28" i="12" s="1"/>
  <c r="E28" i="12"/>
  <c r="I28" i="12" s="1"/>
  <c r="X27" i="12"/>
  <c r="N27" i="12"/>
  <c r="P27" i="12" s="1"/>
  <c r="Q27" i="12" s="1"/>
  <c r="R27" i="12" s="1"/>
  <c r="I27" i="12"/>
  <c r="H27" i="12"/>
  <c r="J27" i="12" s="1"/>
  <c r="N26" i="12"/>
  <c r="P26" i="12" s="1"/>
  <c r="Q26" i="12" s="1"/>
  <c r="R26" i="12" s="1"/>
  <c r="I26" i="12"/>
  <c r="H26" i="12"/>
  <c r="J26" i="12" s="1"/>
  <c r="P25" i="12"/>
  <c r="H25" i="12"/>
  <c r="N24" i="12"/>
  <c r="P24" i="12" s="1"/>
  <c r="Q24" i="12" s="1"/>
  <c r="R24" i="12" s="1"/>
  <c r="I24" i="12"/>
  <c r="H24" i="12"/>
  <c r="E24" i="12"/>
  <c r="N23" i="12"/>
  <c r="P23" i="12" s="1"/>
  <c r="Q23" i="12" s="1"/>
  <c r="R23" i="12" s="1"/>
  <c r="I23" i="12"/>
  <c r="H23" i="12"/>
  <c r="J23" i="12" s="1"/>
  <c r="N22" i="12"/>
  <c r="P22" i="12" s="1"/>
  <c r="Q22" i="12" s="1"/>
  <c r="R22" i="12" s="1"/>
  <c r="H22" i="12"/>
  <c r="J22" i="12" s="1"/>
  <c r="E22" i="12"/>
  <c r="I22" i="12" s="1"/>
  <c r="P21" i="12"/>
  <c r="Q21" i="12" s="1"/>
  <c r="R21" i="12" s="1"/>
  <c r="N21" i="12"/>
  <c r="H21" i="12"/>
  <c r="E21" i="12"/>
  <c r="I21" i="12" s="1"/>
  <c r="N20" i="12"/>
  <c r="P20" i="12" s="1"/>
  <c r="Q20" i="12" s="1"/>
  <c r="R20" i="12" s="1"/>
  <c r="H20" i="12"/>
  <c r="J20" i="12" s="1"/>
  <c r="E20" i="12"/>
  <c r="P19" i="12"/>
  <c r="Q19" i="12" s="1"/>
  <c r="R19" i="12" s="1"/>
  <c r="N19" i="12"/>
  <c r="I19" i="12"/>
  <c r="H19" i="12"/>
  <c r="J19" i="12" s="1"/>
  <c r="N18" i="12"/>
  <c r="P18" i="12" s="1"/>
  <c r="Q18" i="12" s="1"/>
  <c r="R18" i="12" s="1"/>
  <c r="I18" i="12"/>
  <c r="H18" i="12"/>
  <c r="J18" i="12" s="1"/>
  <c r="N17" i="12"/>
  <c r="P17" i="12" s="1"/>
  <c r="Q17" i="12" s="1"/>
  <c r="R17" i="12" s="1"/>
  <c r="J17" i="12"/>
  <c r="I17" i="12"/>
  <c r="H17" i="12"/>
  <c r="N16" i="12"/>
  <c r="P16" i="12" s="1"/>
  <c r="Q16" i="12" s="1"/>
  <c r="R16" i="12" s="1"/>
  <c r="I16" i="12"/>
  <c r="H16" i="12"/>
  <c r="J16" i="12" s="1"/>
  <c r="N15" i="12"/>
  <c r="P15" i="12" s="1"/>
  <c r="Q15" i="12" s="1"/>
  <c r="R15" i="12" s="1"/>
  <c r="I15" i="12"/>
  <c r="H15" i="12"/>
  <c r="J15" i="12" s="1"/>
  <c r="P14" i="12"/>
  <c r="H14" i="12"/>
  <c r="N13" i="12"/>
  <c r="P13" i="12" s="1"/>
  <c r="Q13" i="12" s="1"/>
  <c r="R13" i="12" s="1"/>
  <c r="I13" i="12"/>
  <c r="H13" i="12"/>
  <c r="J13" i="12" s="1"/>
  <c r="P12" i="12"/>
  <c r="Q12" i="12" s="1"/>
  <c r="R12" i="12" s="1"/>
  <c r="N12" i="12"/>
  <c r="I12" i="12"/>
  <c r="H12" i="12"/>
  <c r="J12" i="12" s="1"/>
  <c r="N11" i="12"/>
  <c r="P11" i="12" s="1"/>
  <c r="Q11" i="12" s="1"/>
  <c r="R11" i="12" s="1"/>
  <c r="I11" i="12"/>
  <c r="H11" i="12"/>
  <c r="J11" i="12" s="1"/>
  <c r="N10" i="12"/>
  <c r="P10" i="12" s="1"/>
  <c r="Q10" i="12" s="1"/>
  <c r="J10" i="12"/>
  <c r="I10" i="12"/>
  <c r="H10" i="12"/>
  <c r="P9" i="12"/>
  <c r="Q9" i="12" s="1"/>
  <c r="R9" i="12" s="1"/>
  <c r="N9" i="12"/>
  <c r="I9" i="12"/>
  <c r="H9" i="12"/>
  <c r="J9" i="12" s="1"/>
  <c r="N8" i="12"/>
  <c r="P8" i="12" s="1"/>
  <c r="Q8" i="12" s="1"/>
  <c r="R8" i="12" s="1"/>
  <c r="I8" i="12"/>
  <c r="H8" i="12"/>
  <c r="J8" i="12" s="1"/>
  <c r="N7" i="12"/>
  <c r="P7" i="12" s="1"/>
  <c r="Q7" i="12" s="1"/>
  <c r="R7" i="12" s="1"/>
  <c r="I7" i="12"/>
  <c r="H7" i="12"/>
  <c r="J7" i="12" s="1"/>
  <c r="N6" i="12"/>
  <c r="P6" i="12" s="1"/>
  <c r="Q6" i="12" s="1"/>
  <c r="R6" i="12" s="1"/>
  <c r="J6" i="12"/>
  <c r="I6" i="12"/>
  <c r="H6" i="12"/>
  <c r="P5" i="12"/>
  <c r="Q5" i="12" s="1"/>
  <c r="R5" i="12" s="1"/>
  <c r="N5" i="12"/>
  <c r="I5" i="12"/>
  <c r="H5" i="12"/>
  <c r="J5" i="12" s="1"/>
  <c r="N4" i="12"/>
  <c r="P4" i="12" s="1"/>
  <c r="Q4" i="12" s="1"/>
  <c r="R4" i="12" s="1"/>
  <c r="I4" i="12"/>
  <c r="H4" i="12"/>
  <c r="J4" i="12" s="1"/>
  <c r="N3" i="12"/>
  <c r="P3" i="12" s="1"/>
  <c r="Q3" i="12" s="1"/>
  <c r="R3" i="12" s="1"/>
  <c r="I3" i="12"/>
  <c r="H3" i="12"/>
  <c r="J3" i="12" s="1"/>
  <c r="N56" i="11"/>
  <c r="P56" i="11" s="1"/>
  <c r="Q56" i="11" s="1"/>
  <c r="R56" i="11" s="1"/>
  <c r="H56" i="11"/>
  <c r="J56" i="11" s="1"/>
  <c r="E56" i="11"/>
  <c r="I56" i="11" s="1"/>
  <c r="N55" i="11"/>
  <c r="P55" i="11" s="1"/>
  <c r="Q55" i="11" s="1"/>
  <c r="R55" i="11" s="1"/>
  <c r="H55" i="11"/>
  <c r="E55" i="11"/>
  <c r="I55" i="11" s="1"/>
  <c r="P54" i="11"/>
  <c r="Q54" i="11" s="1"/>
  <c r="R54" i="11" s="1"/>
  <c r="N54" i="11"/>
  <c r="I54" i="11"/>
  <c r="H54" i="11"/>
  <c r="J54" i="11" s="1"/>
  <c r="N53" i="11"/>
  <c r="P53" i="11" s="1"/>
  <c r="Q53" i="11" s="1"/>
  <c r="R53" i="11" s="1"/>
  <c r="H53" i="11"/>
  <c r="E53" i="11"/>
  <c r="I53" i="11" s="1"/>
  <c r="AH52" i="11"/>
  <c r="N52" i="11"/>
  <c r="P52" i="11" s="1"/>
  <c r="Q52" i="11" s="1"/>
  <c r="R52" i="11" s="1"/>
  <c r="J52" i="11"/>
  <c r="I52" i="11"/>
  <c r="H52" i="11"/>
  <c r="AI51" i="11"/>
  <c r="AI53" i="11" s="1"/>
  <c r="AH51" i="11"/>
  <c r="AH53" i="11" s="1"/>
  <c r="AG51" i="11"/>
  <c r="AG52" i="11" s="1"/>
  <c r="AF51" i="11"/>
  <c r="AF53" i="11" s="1"/>
  <c r="AE51" i="11"/>
  <c r="AE53" i="11" s="1"/>
  <c r="N51" i="11"/>
  <c r="P51" i="11" s="1"/>
  <c r="Q51" i="11" s="1"/>
  <c r="R51" i="11" s="1"/>
  <c r="H51" i="11"/>
  <c r="AJ50" i="11"/>
  <c r="N50" i="11"/>
  <c r="P50" i="11" s="1"/>
  <c r="Q50" i="11" s="1"/>
  <c r="R50" i="11" s="1"/>
  <c r="I50" i="11"/>
  <c r="H50" i="11"/>
  <c r="J50" i="11" s="1"/>
  <c r="E50" i="11"/>
  <c r="E51" i="11" s="1"/>
  <c r="I51" i="11" s="1"/>
  <c r="AJ49" i="11"/>
  <c r="N49" i="11"/>
  <c r="P49" i="11" s="1"/>
  <c r="Q49" i="11" s="1"/>
  <c r="R49" i="11" s="1"/>
  <c r="H49" i="11"/>
  <c r="E49" i="11"/>
  <c r="J49" i="11" s="1"/>
  <c r="AJ48" i="11"/>
  <c r="N48" i="11"/>
  <c r="P48" i="11" s="1"/>
  <c r="Q48" i="11" s="1"/>
  <c r="R48" i="11" s="1"/>
  <c r="J48" i="11"/>
  <c r="I48" i="11"/>
  <c r="H48" i="11"/>
  <c r="AJ47" i="11"/>
  <c r="N47" i="11"/>
  <c r="P47" i="11" s="1"/>
  <c r="Q47" i="11" s="1"/>
  <c r="R47" i="11" s="1"/>
  <c r="J47" i="11"/>
  <c r="I47" i="11"/>
  <c r="H47" i="11"/>
  <c r="AJ46" i="11"/>
  <c r="N46" i="11"/>
  <c r="P46" i="11" s="1"/>
  <c r="Q46" i="11" s="1"/>
  <c r="R46" i="11" s="1"/>
  <c r="I46" i="11"/>
  <c r="H46" i="11"/>
  <c r="J46" i="11" s="1"/>
  <c r="AJ45" i="11"/>
  <c r="N45" i="11"/>
  <c r="P45" i="11" s="1"/>
  <c r="Q45" i="11" s="1"/>
  <c r="R45" i="11" s="1"/>
  <c r="J45" i="11"/>
  <c r="I45" i="11"/>
  <c r="H45" i="11"/>
  <c r="AJ44" i="11"/>
  <c r="N44" i="11"/>
  <c r="P44" i="11" s="1"/>
  <c r="Q44" i="11" s="1"/>
  <c r="R44" i="11" s="1"/>
  <c r="I44" i="11"/>
  <c r="H44" i="11"/>
  <c r="J44" i="11" s="1"/>
  <c r="AJ43" i="11"/>
  <c r="P43" i="11"/>
  <c r="Q43" i="11" s="1"/>
  <c r="R43" i="11" s="1"/>
  <c r="N43" i="11"/>
  <c r="I43" i="11"/>
  <c r="H43" i="11"/>
  <c r="J43" i="11" s="1"/>
  <c r="AJ42" i="11"/>
  <c r="N42" i="11"/>
  <c r="P42" i="11" s="1"/>
  <c r="Q42" i="11" s="1"/>
  <c r="R42" i="11" s="1"/>
  <c r="J42" i="11"/>
  <c r="H42" i="11"/>
  <c r="E42" i="11"/>
  <c r="I42" i="11" s="1"/>
  <c r="AJ41" i="11"/>
  <c r="N41" i="11"/>
  <c r="P41" i="11" s="1"/>
  <c r="Q41" i="11" s="1"/>
  <c r="R41" i="11" s="1"/>
  <c r="H41" i="11"/>
  <c r="AJ40" i="11"/>
  <c r="P40" i="11"/>
  <c r="Q40" i="11" s="1"/>
  <c r="R40" i="11" s="1"/>
  <c r="N40" i="11"/>
  <c r="I40" i="11"/>
  <c r="H40" i="11"/>
  <c r="J40" i="11" s="1"/>
  <c r="AJ39" i="11"/>
  <c r="N39" i="11"/>
  <c r="P39" i="11" s="1"/>
  <c r="Q39" i="11" s="1"/>
  <c r="R39" i="11" s="1"/>
  <c r="I39" i="11"/>
  <c r="H39" i="11"/>
  <c r="J39" i="11" s="1"/>
  <c r="N38" i="11"/>
  <c r="P38" i="11" s="1"/>
  <c r="Q38" i="11" s="1"/>
  <c r="R38" i="11" s="1"/>
  <c r="I38" i="11"/>
  <c r="H38" i="11"/>
  <c r="J38" i="11" s="1"/>
  <c r="N37" i="11"/>
  <c r="P37" i="11" s="1"/>
  <c r="Q37" i="11" s="1"/>
  <c r="R37" i="11" s="1"/>
  <c r="I37" i="11"/>
  <c r="H37" i="11"/>
  <c r="J37" i="11" s="1"/>
  <c r="N36" i="11"/>
  <c r="P36" i="11" s="1"/>
  <c r="Q36" i="11" s="1"/>
  <c r="R36" i="11" s="1"/>
  <c r="I36" i="11"/>
  <c r="H36" i="11"/>
  <c r="E36" i="11"/>
  <c r="N35" i="11"/>
  <c r="P35" i="11" s="1"/>
  <c r="Q35" i="11" s="1"/>
  <c r="R35" i="11" s="1"/>
  <c r="I35" i="11"/>
  <c r="H35" i="11"/>
  <c r="J35" i="11" s="1"/>
  <c r="N34" i="11"/>
  <c r="P34" i="11" s="1"/>
  <c r="Q34" i="11" s="1"/>
  <c r="R34" i="11" s="1"/>
  <c r="H34" i="11"/>
  <c r="J34" i="11" s="1"/>
  <c r="E34" i="11"/>
  <c r="I34" i="11" s="1"/>
  <c r="N33" i="11"/>
  <c r="P33" i="11" s="1"/>
  <c r="Q33" i="11" s="1"/>
  <c r="R33" i="11" s="1"/>
  <c r="H33" i="11"/>
  <c r="E33" i="11"/>
  <c r="I33" i="11" s="1"/>
  <c r="W32" i="11"/>
  <c r="N32" i="11"/>
  <c r="P32" i="11" s="1"/>
  <c r="Q32" i="11" s="1"/>
  <c r="R32" i="11" s="1"/>
  <c r="J32" i="11"/>
  <c r="I32" i="11"/>
  <c r="H32" i="11"/>
  <c r="N31" i="11"/>
  <c r="P31" i="11" s="1"/>
  <c r="Q31" i="11" s="1"/>
  <c r="R31" i="11" s="1"/>
  <c r="I31" i="11"/>
  <c r="H31" i="11"/>
  <c r="J31" i="11" s="1"/>
  <c r="E31" i="11"/>
  <c r="N30" i="11"/>
  <c r="P30" i="11" s="1"/>
  <c r="Q30" i="11" s="1"/>
  <c r="R30" i="11" s="1"/>
  <c r="H30" i="11"/>
  <c r="J30" i="11" s="1"/>
  <c r="E30" i="11"/>
  <c r="I30" i="11" s="1"/>
  <c r="Q29" i="11"/>
  <c r="R29" i="11" s="1"/>
  <c r="P29" i="11"/>
  <c r="N29" i="11"/>
  <c r="H29" i="11"/>
  <c r="E29" i="11"/>
  <c r="I29" i="11" s="1"/>
  <c r="X28" i="11"/>
  <c r="N28" i="11"/>
  <c r="P28" i="11" s="1"/>
  <c r="Q28" i="11" s="1"/>
  <c r="R28" i="11" s="1"/>
  <c r="J28" i="11"/>
  <c r="I28" i="11"/>
  <c r="H28" i="11"/>
  <c r="E28" i="11"/>
  <c r="X27" i="11"/>
  <c r="N27" i="11"/>
  <c r="P27" i="11" s="1"/>
  <c r="Q27" i="11" s="1"/>
  <c r="R27" i="11" s="1"/>
  <c r="J27" i="11"/>
  <c r="I27" i="11"/>
  <c r="H27" i="11"/>
  <c r="N26" i="11"/>
  <c r="P26" i="11" s="1"/>
  <c r="Q26" i="11" s="1"/>
  <c r="R26" i="11" s="1"/>
  <c r="I26" i="11"/>
  <c r="H26" i="11"/>
  <c r="J26" i="11" s="1"/>
  <c r="P25" i="11"/>
  <c r="H25" i="11"/>
  <c r="N24" i="11"/>
  <c r="P24" i="11" s="1"/>
  <c r="Q24" i="11" s="1"/>
  <c r="R24" i="11" s="1"/>
  <c r="H24" i="11"/>
  <c r="E24" i="11"/>
  <c r="N23" i="11"/>
  <c r="P23" i="11" s="1"/>
  <c r="Q23" i="11" s="1"/>
  <c r="R23" i="11" s="1"/>
  <c r="I23" i="11"/>
  <c r="H23" i="11"/>
  <c r="J23" i="11" s="1"/>
  <c r="N22" i="11"/>
  <c r="P22" i="11" s="1"/>
  <c r="Q22" i="11" s="1"/>
  <c r="R22" i="11" s="1"/>
  <c r="J22" i="11"/>
  <c r="I22" i="11"/>
  <c r="H22" i="11"/>
  <c r="E22" i="11"/>
  <c r="E41" i="11" s="1"/>
  <c r="I41" i="11" s="1"/>
  <c r="N21" i="11"/>
  <c r="P21" i="11" s="1"/>
  <c r="Q21" i="11" s="1"/>
  <c r="R21" i="11" s="1"/>
  <c r="H21" i="11"/>
  <c r="J21" i="11" s="1"/>
  <c r="E21" i="11"/>
  <c r="I21" i="11" s="1"/>
  <c r="N20" i="11"/>
  <c r="P20" i="11" s="1"/>
  <c r="Q20" i="11" s="1"/>
  <c r="R20" i="11" s="1"/>
  <c r="J20" i="11"/>
  <c r="H20" i="11"/>
  <c r="E20" i="11"/>
  <c r="P19" i="11"/>
  <c r="Q19" i="11" s="1"/>
  <c r="R19" i="11" s="1"/>
  <c r="N19" i="11"/>
  <c r="J19" i="11"/>
  <c r="I19" i="11"/>
  <c r="H19" i="11"/>
  <c r="N18" i="11"/>
  <c r="P18" i="11" s="1"/>
  <c r="Q18" i="11" s="1"/>
  <c r="R18" i="11" s="1"/>
  <c r="I18" i="11"/>
  <c r="H18" i="11"/>
  <c r="J18" i="11" s="1"/>
  <c r="N17" i="11"/>
  <c r="P17" i="11" s="1"/>
  <c r="Q17" i="11" s="1"/>
  <c r="R17" i="11" s="1"/>
  <c r="I17" i="11"/>
  <c r="H17" i="11"/>
  <c r="J17" i="11" s="1"/>
  <c r="N16" i="11"/>
  <c r="P16" i="11" s="1"/>
  <c r="Q16" i="11" s="1"/>
  <c r="R16" i="11" s="1"/>
  <c r="I16" i="11"/>
  <c r="H16" i="11"/>
  <c r="J16" i="11" s="1"/>
  <c r="N15" i="11"/>
  <c r="P15" i="11" s="1"/>
  <c r="Q15" i="11" s="1"/>
  <c r="R15" i="11" s="1"/>
  <c r="J15" i="11"/>
  <c r="I15" i="11"/>
  <c r="H15" i="11"/>
  <c r="P14" i="11"/>
  <c r="H14" i="11"/>
  <c r="N13" i="11"/>
  <c r="P13" i="11" s="1"/>
  <c r="Q13" i="11" s="1"/>
  <c r="R13" i="11" s="1"/>
  <c r="I13" i="11"/>
  <c r="H13" i="11"/>
  <c r="J13" i="11" s="1"/>
  <c r="N12" i="11"/>
  <c r="P12" i="11" s="1"/>
  <c r="Q12" i="11" s="1"/>
  <c r="R12" i="11" s="1"/>
  <c r="J12" i="11"/>
  <c r="I12" i="11"/>
  <c r="H12" i="11"/>
  <c r="N11" i="11"/>
  <c r="P11" i="11" s="1"/>
  <c r="Q11" i="11" s="1"/>
  <c r="R11" i="11" s="1"/>
  <c r="I11" i="11"/>
  <c r="H11" i="11"/>
  <c r="J11" i="11" s="1"/>
  <c r="N10" i="11"/>
  <c r="P10" i="11" s="1"/>
  <c r="Q10" i="11" s="1"/>
  <c r="I10" i="11"/>
  <c r="H10" i="11"/>
  <c r="J10" i="11" s="1"/>
  <c r="N9" i="11"/>
  <c r="P9" i="11" s="1"/>
  <c r="Q9" i="11" s="1"/>
  <c r="R9" i="11" s="1"/>
  <c r="J9" i="11"/>
  <c r="I9" i="11"/>
  <c r="H9" i="11"/>
  <c r="N8" i="11"/>
  <c r="P8" i="11" s="1"/>
  <c r="Q8" i="11" s="1"/>
  <c r="R8" i="11" s="1"/>
  <c r="I8" i="11"/>
  <c r="H8" i="11"/>
  <c r="J8" i="11" s="1"/>
  <c r="N7" i="11"/>
  <c r="P7" i="11" s="1"/>
  <c r="Q7" i="11" s="1"/>
  <c r="R7" i="11" s="1"/>
  <c r="I7" i="11"/>
  <c r="H7" i="11"/>
  <c r="J7" i="11" s="1"/>
  <c r="N6" i="11"/>
  <c r="P6" i="11" s="1"/>
  <c r="Q6" i="11" s="1"/>
  <c r="R6" i="11" s="1"/>
  <c r="I6" i="11"/>
  <c r="H6" i="11"/>
  <c r="J6" i="11" s="1"/>
  <c r="P5" i="11"/>
  <c r="Q5" i="11" s="1"/>
  <c r="R5" i="11" s="1"/>
  <c r="N5" i="11"/>
  <c r="J5" i="11"/>
  <c r="I5" i="11"/>
  <c r="H5" i="11"/>
  <c r="N4" i="11"/>
  <c r="P4" i="11" s="1"/>
  <c r="Q4" i="11" s="1"/>
  <c r="R4" i="11" s="1"/>
  <c r="I4" i="11"/>
  <c r="H4" i="11"/>
  <c r="J4" i="11" s="1"/>
  <c r="N3" i="11"/>
  <c r="P3" i="11" s="1"/>
  <c r="Q3" i="11" s="1"/>
  <c r="R3" i="11" s="1"/>
  <c r="I3" i="11"/>
  <c r="H3" i="11"/>
  <c r="J3" i="11" s="1"/>
  <c r="W32" i="10"/>
  <c r="E57" i="13" l="1"/>
  <c r="E57" i="12"/>
  <c r="J24" i="12"/>
  <c r="J53" i="12"/>
  <c r="J20" i="13"/>
  <c r="J22" i="13"/>
  <c r="AI53" i="13"/>
  <c r="J55" i="13"/>
  <c r="J33" i="11"/>
  <c r="J53" i="11"/>
  <c r="J41" i="12"/>
  <c r="J49" i="12"/>
  <c r="J28" i="13"/>
  <c r="J36" i="13"/>
  <c r="E57" i="11"/>
  <c r="W33" i="11" s="1"/>
  <c r="J29" i="11"/>
  <c r="I49" i="11"/>
  <c r="J55" i="11"/>
  <c r="J29" i="12"/>
  <c r="J51" i="12"/>
  <c r="J30" i="13"/>
  <c r="AH53" i="12"/>
  <c r="J42" i="13"/>
  <c r="AG52" i="13"/>
  <c r="I20" i="11"/>
  <c r="J36" i="11"/>
  <c r="J51" i="11"/>
  <c r="J21" i="12"/>
  <c r="J24" i="11"/>
  <c r="AE53" i="13"/>
  <c r="AJ51" i="13"/>
  <c r="W33" i="13"/>
  <c r="J51" i="13"/>
  <c r="I51" i="13"/>
  <c r="J41" i="13"/>
  <c r="I41" i="13"/>
  <c r="I34" i="13"/>
  <c r="I50" i="13"/>
  <c r="AF52" i="13"/>
  <c r="AH53" i="13"/>
  <c r="AJ53" i="13" s="1"/>
  <c r="AL71" i="13" s="1"/>
  <c r="AF53" i="12"/>
  <c r="AJ51" i="12"/>
  <c r="W33" i="12"/>
  <c r="AE52" i="12"/>
  <c r="AI52" i="12"/>
  <c r="AG53" i="12"/>
  <c r="AJ53" i="12" s="1"/>
  <c r="AL71" i="12" s="1"/>
  <c r="I20" i="12"/>
  <c r="AJ51" i="11"/>
  <c r="J41" i="11"/>
  <c r="AE52" i="11"/>
  <c r="AI52" i="11"/>
  <c r="AG53" i="11"/>
  <c r="AJ53" i="11" s="1"/>
  <c r="AL71" i="11" s="1"/>
  <c r="I24" i="11"/>
  <c r="AF52" i="11"/>
  <c r="N56" i="10"/>
  <c r="P56" i="10" s="1"/>
  <c r="Q56" i="10" s="1"/>
  <c r="R56" i="10" s="1"/>
  <c r="H56" i="10"/>
  <c r="E56" i="10"/>
  <c r="J56" i="10" s="1"/>
  <c r="N55" i="10"/>
  <c r="P55" i="10" s="1"/>
  <c r="Q55" i="10" s="1"/>
  <c r="R55" i="10" s="1"/>
  <c r="H55" i="10"/>
  <c r="E55" i="10"/>
  <c r="N54" i="10"/>
  <c r="P54" i="10" s="1"/>
  <c r="Q54" i="10" s="1"/>
  <c r="R54" i="10" s="1"/>
  <c r="J54" i="10"/>
  <c r="I54" i="10"/>
  <c r="H54" i="10"/>
  <c r="N53" i="10"/>
  <c r="P53" i="10" s="1"/>
  <c r="Q53" i="10" s="1"/>
  <c r="R53" i="10" s="1"/>
  <c r="H53" i="10"/>
  <c r="J53" i="10" s="1"/>
  <c r="E53" i="10"/>
  <c r="I53" i="10" s="1"/>
  <c r="N52" i="10"/>
  <c r="P52" i="10" s="1"/>
  <c r="Q52" i="10" s="1"/>
  <c r="R52" i="10" s="1"/>
  <c r="I52" i="10"/>
  <c r="H52" i="10"/>
  <c r="J52" i="10" s="1"/>
  <c r="AI51" i="10"/>
  <c r="AI53" i="10" s="1"/>
  <c r="AH51" i="10"/>
  <c r="AH52" i="10" s="1"/>
  <c r="AG51" i="10"/>
  <c r="AG53" i="10" s="1"/>
  <c r="AF51" i="10"/>
  <c r="AF52" i="10" s="1"/>
  <c r="AE51" i="10"/>
  <c r="AE53" i="10" s="1"/>
  <c r="N51" i="10"/>
  <c r="P51" i="10" s="1"/>
  <c r="Q51" i="10" s="1"/>
  <c r="R51" i="10" s="1"/>
  <c r="H51" i="10"/>
  <c r="AJ50" i="10"/>
  <c r="N50" i="10"/>
  <c r="P50" i="10" s="1"/>
  <c r="Q50" i="10" s="1"/>
  <c r="R50" i="10" s="1"/>
  <c r="H50" i="10"/>
  <c r="E50" i="10"/>
  <c r="E51" i="10" s="1"/>
  <c r="AJ49" i="10"/>
  <c r="P49" i="10"/>
  <c r="Q49" i="10" s="1"/>
  <c r="R49" i="10" s="1"/>
  <c r="N49" i="10"/>
  <c r="H49" i="10"/>
  <c r="E49" i="10"/>
  <c r="I49" i="10" s="1"/>
  <c r="AJ48" i="10"/>
  <c r="N48" i="10"/>
  <c r="P48" i="10" s="1"/>
  <c r="Q48" i="10" s="1"/>
  <c r="R48" i="10" s="1"/>
  <c r="I48" i="10"/>
  <c r="H48" i="10"/>
  <c r="J48" i="10" s="1"/>
  <c r="AJ47" i="10"/>
  <c r="P47" i="10"/>
  <c r="Q47" i="10" s="1"/>
  <c r="R47" i="10" s="1"/>
  <c r="N47" i="10"/>
  <c r="J47" i="10"/>
  <c r="I47" i="10"/>
  <c r="H47" i="10"/>
  <c r="AJ46" i="10"/>
  <c r="N46" i="10"/>
  <c r="P46" i="10" s="1"/>
  <c r="Q46" i="10" s="1"/>
  <c r="R46" i="10" s="1"/>
  <c r="J46" i="10"/>
  <c r="I46" i="10"/>
  <c r="H46" i="10"/>
  <c r="AJ45" i="10"/>
  <c r="P45" i="10"/>
  <c r="Q45" i="10" s="1"/>
  <c r="R45" i="10" s="1"/>
  <c r="N45" i="10"/>
  <c r="I45" i="10"/>
  <c r="H45" i="10"/>
  <c r="J45" i="10" s="1"/>
  <c r="AJ44" i="10"/>
  <c r="N44" i="10"/>
  <c r="P44" i="10" s="1"/>
  <c r="Q44" i="10" s="1"/>
  <c r="R44" i="10" s="1"/>
  <c r="I44" i="10"/>
  <c r="H44" i="10"/>
  <c r="J44" i="10" s="1"/>
  <c r="AJ43" i="10"/>
  <c r="N43" i="10"/>
  <c r="P43" i="10" s="1"/>
  <c r="Q43" i="10" s="1"/>
  <c r="R43" i="10" s="1"/>
  <c r="I43" i="10"/>
  <c r="H43" i="10"/>
  <c r="J43" i="10" s="1"/>
  <c r="AJ42" i="10"/>
  <c r="Q42" i="10"/>
  <c r="R42" i="10" s="1"/>
  <c r="P42" i="10"/>
  <c r="N42" i="10"/>
  <c r="H42" i="10"/>
  <c r="E42" i="10"/>
  <c r="J42" i="10" s="1"/>
  <c r="AJ41" i="10"/>
  <c r="N41" i="10"/>
  <c r="P41" i="10" s="1"/>
  <c r="Q41" i="10" s="1"/>
  <c r="R41" i="10" s="1"/>
  <c r="H41" i="10"/>
  <c r="AJ40" i="10"/>
  <c r="N40" i="10"/>
  <c r="P40" i="10" s="1"/>
  <c r="Q40" i="10" s="1"/>
  <c r="R40" i="10" s="1"/>
  <c r="I40" i="10"/>
  <c r="H40" i="10"/>
  <c r="J40" i="10" s="1"/>
  <c r="AJ39" i="10"/>
  <c r="N39" i="10"/>
  <c r="P39" i="10" s="1"/>
  <c r="Q39" i="10" s="1"/>
  <c r="R39" i="10" s="1"/>
  <c r="I39" i="10"/>
  <c r="H39" i="10"/>
  <c r="J39" i="10" s="1"/>
  <c r="N38" i="10"/>
  <c r="P38" i="10" s="1"/>
  <c r="Q38" i="10" s="1"/>
  <c r="R38" i="10" s="1"/>
  <c r="I38" i="10"/>
  <c r="H38" i="10"/>
  <c r="J38" i="10" s="1"/>
  <c r="N37" i="10"/>
  <c r="P37" i="10" s="1"/>
  <c r="Q37" i="10" s="1"/>
  <c r="R37" i="10" s="1"/>
  <c r="I37" i="10"/>
  <c r="H37" i="10"/>
  <c r="J37" i="10" s="1"/>
  <c r="N36" i="10"/>
  <c r="P36" i="10" s="1"/>
  <c r="Q36" i="10" s="1"/>
  <c r="R36" i="10" s="1"/>
  <c r="H36" i="10"/>
  <c r="J36" i="10" s="1"/>
  <c r="E36" i="10"/>
  <c r="I36" i="10" s="1"/>
  <c r="N35" i="10"/>
  <c r="P35" i="10" s="1"/>
  <c r="Q35" i="10" s="1"/>
  <c r="R35" i="10" s="1"/>
  <c r="I35" i="10"/>
  <c r="H35" i="10"/>
  <c r="J35" i="10" s="1"/>
  <c r="N34" i="10"/>
  <c r="P34" i="10" s="1"/>
  <c r="Q34" i="10" s="1"/>
  <c r="R34" i="10" s="1"/>
  <c r="I34" i="10"/>
  <c r="H34" i="10"/>
  <c r="J34" i="10" s="1"/>
  <c r="E34" i="10"/>
  <c r="N33" i="10"/>
  <c r="P33" i="10" s="1"/>
  <c r="Q33" i="10" s="1"/>
  <c r="R33" i="10" s="1"/>
  <c r="I33" i="10"/>
  <c r="H33" i="10"/>
  <c r="J33" i="10" s="1"/>
  <c r="E33" i="10"/>
  <c r="N32" i="10"/>
  <c r="P32" i="10" s="1"/>
  <c r="Q32" i="10" s="1"/>
  <c r="R32" i="10" s="1"/>
  <c r="J32" i="10"/>
  <c r="I32" i="10"/>
  <c r="H32" i="10"/>
  <c r="N31" i="10"/>
  <c r="P31" i="10" s="1"/>
  <c r="Q31" i="10" s="1"/>
  <c r="R31" i="10" s="1"/>
  <c r="H31" i="10"/>
  <c r="E31" i="10"/>
  <c r="I31" i="10" s="1"/>
  <c r="P30" i="10"/>
  <c r="Q30" i="10" s="1"/>
  <c r="R30" i="10" s="1"/>
  <c r="N30" i="10"/>
  <c r="H30" i="10"/>
  <c r="E30" i="10"/>
  <c r="I30" i="10" s="1"/>
  <c r="N29" i="10"/>
  <c r="P29" i="10" s="1"/>
  <c r="Q29" i="10" s="1"/>
  <c r="R29" i="10" s="1"/>
  <c r="I29" i="10"/>
  <c r="H29" i="10"/>
  <c r="J29" i="10" s="1"/>
  <c r="E29" i="10"/>
  <c r="X28" i="10"/>
  <c r="N28" i="10"/>
  <c r="P28" i="10" s="1"/>
  <c r="Q28" i="10" s="1"/>
  <c r="R28" i="10" s="1"/>
  <c r="J28" i="10"/>
  <c r="H28" i="10"/>
  <c r="E28" i="10"/>
  <c r="I28" i="10" s="1"/>
  <c r="X27" i="10"/>
  <c r="N27" i="10"/>
  <c r="P27" i="10" s="1"/>
  <c r="Q27" i="10" s="1"/>
  <c r="R27" i="10" s="1"/>
  <c r="I27" i="10"/>
  <c r="H27" i="10"/>
  <c r="J27" i="10" s="1"/>
  <c r="N26" i="10"/>
  <c r="P26" i="10" s="1"/>
  <c r="Q26" i="10" s="1"/>
  <c r="R26" i="10" s="1"/>
  <c r="I26" i="10"/>
  <c r="H26" i="10"/>
  <c r="J26" i="10" s="1"/>
  <c r="P25" i="10"/>
  <c r="H25" i="10"/>
  <c r="N24" i="10"/>
  <c r="P24" i="10" s="1"/>
  <c r="Q24" i="10" s="1"/>
  <c r="R24" i="10" s="1"/>
  <c r="J24" i="10"/>
  <c r="H24" i="10"/>
  <c r="E24" i="10"/>
  <c r="I24" i="10" s="1"/>
  <c r="N23" i="10"/>
  <c r="P23" i="10" s="1"/>
  <c r="Q23" i="10" s="1"/>
  <c r="R23" i="10" s="1"/>
  <c r="J23" i="10"/>
  <c r="I23" i="10"/>
  <c r="H23" i="10"/>
  <c r="N22" i="10"/>
  <c r="P22" i="10" s="1"/>
  <c r="Q22" i="10" s="1"/>
  <c r="R22" i="10" s="1"/>
  <c r="H22" i="10"/>
  <c r="E22" i="10"/>
  <c r="E41" i="10" s="1"/>
  <c r="N21" i="10"/>
  <c r="P21" i="10" s="1"/>
  <c r="Q21" i="10" s="1"/>
  <c r="R21" i="10" s="1"/>
  <c r="H21" i="10"/>
  <c r="J21" i="10" s="1"/>
  <c r="E21" i="10"/>
  <c r="I21" i="10" s="1"/>
  <c r="N20" i="10"/>
  <c r="P20" i="10" s="1"/>
  <c r="Q20" i="10" s="1"/>
  <c r="R20" i="10" s="1"/>
  <c r="I20" i="10"/>
  <c r="H20" i="10"/>
  <c r="J20" i="10" s="1"/>
  <c r="E20" i="10"/>
  <c r="N19" i="10"/>
  <c r="P19" i="10" s="1"/>
  <c r="Q19" i="10" s="1"/>
  <c r="R19" i="10" s="1"/>
  <c r="I19" i="10"/>
  <c r="H19" i="10"/>
  <c r="J19" i="10" s="1"/>
  <c r="P18" i="10"/>
  <c r="Q18" i="10" s="1"/>
  <c r="R18" i="10" s="1"/>
  <c r="N18" i="10"/>
  <c r="I18" i="10"/>
  <c r="H18" i="10"/>
  <c r="J18" i="10" s="1"/>
  <c r="N17" i="10"/>
  <c r="P17" i="10" s="1"/>
  <c r="Q17" i="10" s="1"/>
  <c r="R17" i="10" s="1"/>
  <c r="I17" i="10"/>
  <c r="H17" i="10"/>
  <c r="J17" i="10" s="1"/>
  <c r="N16" i="10"/>
  <c r="P16" i="10" s="1"/>
  <c r="Q16" i="10" s="1"/>
  <c r="R16" i="10" s="1"/>
  <c r="J16" i="10"/>
  <c r="I16" i="10"/>
  <c r="H16" i="10"/>
  <c r="P15" i="10"/>
  <c r="Q15" i="10" s="1"/>
  <c r="R15" i="10" s="1"/>
  <c r="N15" i="10"/>
  <c r="I15" i="10"/>
  <c r="H15" i="10"/>
  <c r="J15" i="10" s="1"/>
  <c r="P14" i="10"/>
  <c r="H14" i="10"/>
  <c r="N13" i="10"/>
  <c r="P13" i="10" s="1"/>
  <c r="Q13" i="10" s="1"/>
  <c r="R13" i="10" s="1"/>
  <c r="J13" i="10"/>
  <c r="I13" i="10"/>
  <c r="H13" i="10"/>
  <c r="P12" i="10"/>
  <c r="Q12" i="10" s="1"/>
  <c r="R12" i="10" s="1"/>
  <c r="N12" i="10"/>
  <c r="I12" i="10"/>
  <c r="H12" i="10"/>
  <c r="J12" i="10" s="1"/>
  <c r="N11" i="10"/>
  <c r="P11" i="10" s="1"/>
  <c r="Q11" i="10" s="1"/>
  <c r="R11" i="10" s="1"/>
  <c r="I11" i="10"/>
  <c r="H11" i="10"/>
  <c r="J11" i="10" s="1"/>
  <c r="N10" i="10"/>
  <c r="P10" i="10" s="1"/>
  <c r="Q10" i="10" s="1"/>
  <c r="I10" i="10"/>
  <c r="H10" i="10"/>
  <c r="J10" i="10" s="1"/>
  <c r="N9" i="10"/>
  <c r="P9" i="10" s="1"/>
  <c r="Q9" i="10" s="1"/>
  <c r="R9" i="10" s="1"/>
  <c r="J9" i="10"/>
  <c r="I9" i="10"/>
  <c r="H9" i="10"/>
  <c r="N8" i="10"/>
  <c r="P8" i="10" s="1"/>
  <c r="Q8" i="10" s="1"/>
  <c r="R8" i="10" s="1"/>
  <c r="I8" i="10"/>
  <c r="H8" i="10"/>
  <c r="J8" i="10" s="1"/>
  <c r="N7" i="10"/>
  <c r="P7" i="10" s="1"/>
  <c r="Q7" i="10" s="1"/>
  <c r="R7" i="10" s="1"/>
  <c r="I7" i="10"/>
  <c r="H7" i="10"/>
  <c r="J7" i="10" s="1"/>
  <c r="N6" i="10"/>
  <c r="P6" i="10" s="1"/>
  <c r="Q6" i="10" s="1"/>
  <c r="R6" i="10" s="1"/>
  <c r="J6" i="10"/>
  <c r="I6" i="10"/>
  <c r="H6" i="10"/>
  <c r="N5" i="10"/>
  <c r="P5" i="10" s="1"/>
  <c r="Q5" i="10" s="1"/>
  <c r="R5" i="10" s="1"/>
  <c r="J5" i="10"/>
  <c r="I5" i="10"/>
  <c r="H5" i="10"/>
  <c r="N4" i="10"/>
  <c r="P4" i="10" s="1"/>
  <c r="Q4" i="10" s="1"/>
  <c r="R4" i="10" s="1"/>
  <c r="I4" i="10"/>
  <c r="H4" i="10"/>
  <c r="J4" i="10" s="1"/>
  <c r="N3" i="10"/>
  <c r="P3" i="10" s="1"/>
  <c r="Q3" i="10" s="1"/>
  <c r="R3" i="10" s="1"/>
  <c r="I3" i="10"/>
  <c r="H3" i="10"/>
  <c r="J3" i="10" s="1"/>
  <c r="I41" i="10" l="1"/>
  <c r="J41" i="10"/>
  <c r="AJ52" i="13"/>
  <c r="AL70" i="13" s="1"/>
  <c r="J31" i="10"/>
  <c r="I22" i="10"/>
  <c r="J50" i="10"/>
  <c r="J55" i="10"/>
  <c r="J22" i="10"/>
  <c r="I42" i="10"/>
  <c r="J30" i="10"/>
  <c r="J49" i="10"/>
  <c r="E57" i="10"/>
  <c r="AJ52" i="12"/>
  <c r="AL70" i="12" s="1"/>
  <c r="AJ52" i="11"/>
  <c r="AL70" i="11" s="1"/>
  <c r="AG52" i="10"/>
  <c r="AF53" i="10"/>
  <c r="AJ51" i="10"/>
  <c r="J51" i="10"/>
  <c r="I51" i="10"/>
  <c r="I50" i="10"/>
  <c r="AE52" i="10"/>
  <c r="AI52" i="10"/>
  <c r="AH53" i="10"/>
  <c r="I55" i="10"/>
  <c r="I56" i="10"/>
  <c r="AD41" i="9"/>
  <c r="AD42" i="9" s="1"/>
  <c r="AC41" i="9"/>
  <c r="AC42" i="9" s="1"/>
  <c r="AB41" i="9"/>
  <c r="AB43" i="9" s="1"/>
  <c r="AA41" i="9"/>
  <c r="AA43" i="9" s="1"/>
  <c r="Z41" i="9"/>
  <c r="Z42" i="9" s="1"/>
  <c r="AE40" i="9"/>
  <c r="AE39" i="9"/>
  <c r="AE38" i="9"/>
  <c r="AE37" i="9"/>
  <c r="AE36" i="9"/>
  <c r="AE35" i="9"/>
  <c r="AE34" i="9"/>
  <c r="AE33" i="9"/>
  <c r="AE32" i="9"/>
  <c r="AE31" i="9"/>
  <c r="AE30" i="9"/>
  <c r="AE29" i="9"/>
  <c r="AJ53" i="10" l="1"/>
  <c r="AL71" i="10" s="1"/>
  <c r="AJ52" i="10"/>
  <c r="AL70" i="10" s="1"/>
  <c r="AB42" i="9"/>
  <c r="AE41" i="9"/>
  <c r="AA42" i="9"/>
  <c r="AC43" i="9"/>
  <c r="Z43" i="9"/>
  <c r="AD43" i="9"/>
  <c r="AI51" i="6"/>
  <c r="AI53" i="6" s="1"/>
  <c r="AH51" i="6"/>
  <c r="AH52" i="6" s="1"/>
  <c r="AG51" i="6"/>
  <c r="AG52" i="6" s="1"/>
  <c r="AF51" i="6"/>
  <c r="AF53" i="6" s="1"/>
  <c r="AE51" i="6"/>
  <c r="AE53" i="6" s="1"/>
  <c r="AJ50" i="6"/>
  <c r="AJ49" i="6"/>
  <c r="AJ48" i="6"/>
  <c r="AJ47" i="6"/>
  <c r="AJ46" i="6"/>
  <c r="AJ45" i="6"/>
  <c r="AJ44" i="6"/>
  <c r="AJ43" i="6"/>
  <c r="AJ42" i="6"/>
  <c r="AJ41" i="6"/>
  <c r="AJ40" i="6"/>
  <c r="AJ39" i="6"/>
  <c r="AE42" i="9" l="1"/>
  <c r="AG60" i="9" s="1"/>
  <c r="AE43" i="9"/>
  <c r="AG61" i="9" s="1"/>
  <c r="AJ51" i="6"/>
  <c r="AE52" i="6"/>
  <c r="AI52" i="6"/>
  <c r="AG53" i="6"/>
  <c r="AF52" i="6"/>
  <c r="AH53" i="6"/>
  <c r="Y16" i="8"/>
  <c r="Y18" i="8" s="1"/>
  <c r="X16" i="8"/>
  <c r="X18" i="8" s="1"/>
  <c r="W16" i="8"/>
  <c r="W17" i="8" s="1"/>
  <c r="V16" i="8"/>
  <c r="V18" i="8" s="1"/>
  <c r="U16" i="8"/>
  <c r="U18" i="8" s="1"/>
  <c r="Z15" i="8"/>
  <c r="Z14" i="8"/>
  <c r="Z13" i="8"/>
  <c r="Z12" i="8"/>
  <c r="Z11" i="8"/>
  <c r="Z10" i="8"/>
  <c r="Z9" i="8"/>
  <c r="Z8" i="8"/>
  <c r="Z7" i="8"/>
  <c r="Z6" i="8"/>
  <c r="Z5" i="8"/>
  <c r="Z4" i="8"/>
  <c r="AC61" i="5"/>
  <c r="AC62" i="5" s="1"/>
  <c r="AB61" i="5"/>
  <c r="AB63" i="5" s="1"/>
  <c r="AA61" i="5"/>
  <c r="AA63" i="5" s="1"/>
  <c r="Z61" i="5"/>
  <c r="Z62" i="5" s="1"/>
  <c r="Y61" i="5"/>
  <c r="Y62" i="5" s="1"/>
  <c r="AD60" i="5"/>
  <c r="AD59" i="5"/>
  <c r="AD58" i="5"/>
  <c r="AD57" i="5"/>
  <c r="AD56" i="5"/>
  <c r="AD55" i="5"/>
  <c r="AD54" i="5"/>
  <c r="AD53" i="5"/>
  <c r="AD52" i="5"/>
  <c r="AD51" i="5"/>
  <c r="AD50" i="5"/>
  <c r="AD49" i="5"/>
  <c r="AB62" i="5" l="1"/>
  <c r="X17" i="8"/>
  <c r="Y17" i="8"/>
  <c r="AJ53" i="6"/>
  <c r="AL71" i="6" s="1"/>
  <c r="AJ52" i="6"/>
  <c r="AL70" i="6" s="1"/>
  <c r="Z16" i="8"/>
  <c r="U17" i="8"/>
  <c r="W18" i="8"/>
  <c r="Z18" i="8" s="1"/>
  <c r="AB36" i="8" s="1"/>
  <c r="V17" i="8"/>
  <c r="AD61" i="5"/>
  <c r="AA62" i="5"/>
  <c r="Y63" i="5"/>
  <c r="AC63" i="5"/>
  <c r="Z63" i="5"/>
  <c r="AD62" i="5" l="1"/>
  <c r="AF80" i="5" s="1"/>
  <c r="Z17" i="8"/>
  <c r="AB35" i="8" s="1"/>
  <c r="AD63" i="5"/>
  <c r="AF81" i="5" s="1"/>
  <c r="U84" i="8" l="1"/>
  <c r="U72" i="8"/>
  <c r="U68" i="8"/>
  <c r="U90" i="8" s="1"/>
  <c r="Z21" i="9" l="1"/>
  <c r="V13" i="9" l="1"/>
  <c r="V24" i="9"/>
  <c r="O55" i="9" l="1"/>
  <c r="Q55" i="9" s="1"/>
  <c r="N55" i="9"/>
  <c r="H55" i="9"/>
  <c r="E55" i="9"/>
  <c r="Q54" i="9"/>
  <c r="O54" i="9"/>
  <c r="N54" i="9"/>
  <c r="H54" i="9"/>
  <c r="I54" i="9" s="1"/>
  <c r="J54" i="9" s="1"/>
  <c r="K54" i="9" s="1"/>
  <c r="E54" i="9"/>
  <c r="O53" i="9"/>
  <c r="Q53" i="9" s="1"/>
  <c r="N53" i="9"/>
  <c r="H53" i="9"/>
  <c r="E53" i="9"/>
  <c r="O52" i="9"/>
  <c r="Q52" i="9" s="1"/>
  <c r="N52" i="9"/>
  <c r="H52" i="9"/>
  <c r="I52" i="9" s="1"/>
  <c r="J52" i="9" s="1"/>
  <c r="K52" i="9" s="1"/>
  <c r="E52" i="9"/>
  <c r="Q51" i="9"/>
  <c r="O51" i="9"/>
  <c r="N51" i="9"/>
  <c r="H51" i="9"/>
  <c r="E51" i="9"/>
  <c r="O50" i="9"/>
  <c r="Q50" i="9" s="1"/>
  <c r="N50" i="9"/>
  <c r="I50" i="9"/>
  <c r="J50" i="9" s="1"/>
  <c r="K50" i="9" s="1"/>
  <c r="H50" i="9"/>
  <c r="E50" i="9"/>
  <c r="Q49" i="9"/>
  <c r="O49" i="9"/>
  <c r="N49" i="9"/>
  <c r="H49" i="9"/>
  <c r="E49" i="9"/>
  <c r="O48" i="9"/>
  <c r="Q48" i="9" s="1"/>
  <c r="N48" i="9"/>
  <c r="H48" i="9"/>
  <c r="I48" i="9" s="1"/>
  <c r="J48" i="9" s="1"/>
  <c r="K48" i="9" s="1"/>
  <c r="E48" i="9"/>
  <c r="Q47" i="9"/>
  <c r="O47" i="9"/>
  <c r="N47" i="9"/>
  <c r="H47" i="9"/>
  <c r="I47" i="9" s="1"/>
  <c r="E47" i="9"/>
  <c r="O46" i="9"/>
  <c r="Q46" i="9" s="1"/>
  <c r="N46" i="9"/>
  <c r="H46" i="9"/>
  <c r="I46" i="9" s="1"/>
  <c r="J46" i="9" s="1"/>
  <c r="K46" i="9" s="1"/>
  <c r="E46" i="9"/>
  <c r="O45" i="9"/>
  <c r="Q45" i="9" s="1"/>
  <c r="N45" i="9"/>
  <c r="H45" i="9"/>
  <c r="E45" i="9"/>
  <c r="O44" i="9"/>
  <c r="Q44" i="9" s="1"/>
  <c r="N44" i="9"/>
  <c r="H44" i="9"/>
  <c r="I44" i="9" s="1"/>
  <c r="J44" i="9" s="1"/>
  <c r="K44" i="9" s="1"/>
  <c r="E44" i="9"/>
  <c r="Q43" i="9"/>
  <c r="O43" i="9"/>
  <c r="N43" i="9"/>
  <c r="H43" i="9"/>
  <c r="E43" i="9"/>
  <c r="O42" i="9"/>
  <c r="Q42" i="9" s="1"/>
  <c r="N42" i="9"/>
  <c r="I42" i="9"/>
  <c r="J42" i="9" s="1"/>
  <c r="K42" i="9" s="1"/>
  <c r="H42" i="9"/>
  <c r="E42" i="9"/>
  <c r="Q41" i="9"/>
  <c r="O41" i="9"/>
  <c r="N41" i="9"/>
  <c r="H41" i="9"/>
  <c r="E41" i="9"/>
  <c r="O40" i="9"/>
  <c r="Q40" i="9" s="1"/>
  <c r="N40" i="9"/>
  <c r="H40" i="9"/>
  <c r="I40" i="9" s="1"/>
  <c r="J40" i="9" s="1"/>
  <c r="K40" i="9" s="1"/>
  <c r="E40" i="9"/>
  <c r="Q39" i="9"/>
  <c r="O39" i="9"/>
  <c r="N39" i="9"/>
  <c r="H39" i="9"/>
  <c r="I39" i="9" s="1"/>
  <c r="E39" i="9"/>
  <c r="O38" i="9"/>
  <c r="Q38" i="9" s="1"/>
  <c r="N38" i="9"/>
  <c r="H38" i="9"/>
  <c r="I38" i="9" s="1"/>
  <c r="J38" i="9" s="1"/>
  <c r="K38" i="9" s="1"/>
  <c r="E38" i="9"/>
  <c r="O37" i="9"/>
  <c r="Q37" i="9" s="1"/>
  <c r="N37" i="9"/>
  <c r="H37" i="9"/>
  <c r="E37" i="9"/>
  <c r="O36" i="9"/>
  <c r="Q36" i="9" s="1"/>
  <c r="N36" i="9"/>
  <c r="H36" i="9"/>
  <c r="I36" i="9" s="1"/>
  <c r="J36" i="9" s="1"/>
  <c r="K36" i="9" s="1"/>
  <c r="E36" i="9"/>
  <c r="Q35" i="9"/>
  <c r="O35" i="9"/>
  <c r="N35" i="9"/>
  <c r="H35" i="9"/>
  <c r="E35" i="9"/>
  <c r="O34" i="9"/>
  <c r="Q34" i="9" s="1"/>
  <c r="N34" i="9"/>
  <c r="I34" i="9"/>
  <c r="J34" i="9" s="1"/>
  <c r="K34" i="9" s="1"/>
  <c r="H34" i="9"/>
  <c r="E34" i="9"/>
  <c r="Q33" i="9"/>
  <c r="O33" i="9"/>
  <c r="N33" i="9"/>
  <c r="H33" i="9"/>
  <c r="E33" i="9"/>
  <c r="O32" i="9"/>
  <c r="Q32" i="9" s="1"/>
  <c r="N32" i="9"/>
  <c r="H32" i="9"/>
  <c r="I32" i="9" s="1"/>
  <c r="J32" i="9" s="1"/>
  <c r="K32" i="9" s="1"/>
  <c r="E32" i="9"/>
  <c r="Q31" i="9"/>
  <c r="O31" i="9"/>
  <c r="N31" i="9"/>
  <c r="H31" i="9"/>
  <c r="I31" i="9" s="1"/>
  <c r="E31" i="9"/>
  <c r="O30" i="9"/>
  <c r="Q30" i="9" s="1"/>
  <c r="N30" i="9"/>
  <c r="H30" i="9"/>
  <c r="I30" i="9" s="1"/>
  <c r="J30" i="9" s="1"/>
  <c r="K30" i="9" s="1"/>
  <c r="E30" i="9"/>
  <c r="O29" i="9"/>
  <c r="Q29" i="9" s="1"/>
  <c r="N29" i="9"/>
  <c r="H29" i="9"/>
  <c r="E29" i="9"/>
  <c r="O28" i="9"/>
  <c r="Q28" i="9" s="1"/>
  <c r="N28" i="9"/>
  <c r="H28" i="9"/>
  <c r="I28" i="9" s="1"/>
  <c r="J28" i="9" s="1"/>
  <c r="K28" i="9" s="1"/>
  <c r="E28" i="9"/>
  <c r="Q27" i="9"/>
  <c r="O27" i="9"/>
  <c r="N27" i="9"/>
  <c r="H27" i="9"/>
  <c r="E27" i="9"/>
  <c r="O26" i="9"/>
  <c r="Q26" i="9" s="1"/>
  <c r="N26" i="9"/>
  <c r="I26" i="9"/>
  <c r="J26" i="9" s="1"/>
  <c r="K26" i="9" s="1"/>
  <c r="H26" i="9"/>
  <c r="E26" i="9"/>
  <c r="Q25" i="9"/>
  <c r="O25" i="9"/>
  <c r="N25" i="9"/>
  <c r="H25" i="9"/>
  <c r="E25" i="9"/>
  <c r="Q24" i="9"/>
  <c r="N24" i="9"/>
  <c r="U24" i="9" s="1"/>
  <c r="K24" i="9"/>
  <c r="I24" i="9"/>
  <c r="H24" i="9"/>
  <c r="E24" i="9"/>
  <c r="O23" i="9"/>
  <c r="Q23" i="9" s="1"/>
  <c r="N23" i="9"/>
  <c r="H23" i="9"/>
  <c r="I23" i="9" s="1"/>
  <c r="E23" i="9"/>
  <c r="O22" i="9"/>
  <c r="Q22" i="9" s="1"/>
  <c r="N22" i="9"/>
  <c r="H22" i="9"/>
  <c r="E22" i="9"/>
  <c r="I22" i="9" s="1"/>
  <c r="J22" i="9" s="1"/>
  <c r="K22" i="9" s="1"/>
  <c r="Q21" i="9"/>
  <c r="O21" i="9"/>
  <c r="N21" i="9"/>
  <c r="H21" i="9"/>
  <c r="I21" i="9" s="1"/>
  <c r="E21" i="9"/>
  <c r="O20" i="9"/>
  <c r="Q20" i="9" s="1"/>
  <c r="N20" i="9"/>
  <c r="H20" i="9"/>
  <c r="I20" i="9" s="1"/>
  <c r="J20" i="9" s="1"/>
  <c r="K20" i="9" s="1"/>
  <c r="E20" i="9"/>
  <c r="O19" i="9"/>
  <c r="Q19" i="9" s="1"/>
  <c r="N19" i="9"/>
  <c r="H19" i="9"/>
  <c r="I19" i="9" s="1"/>
  <c r="E19" i="9"/>
  <c r="O18" i="9"/>
  <c r="Q18" i="9" s="1"/>
  <c r="N18" i="9"/>
  <c r="H18" i="9"/>
  <c r="E18" i="9"/>
  <c r="I18" i="9" s="1"/>
  <c r="J18" i="9" s="1"/>
  <c r="K18" i="9" s="1"/>
  <c r="O17" i="9"/>
  <c r="Q17" i="9" s="1"/>
  <c r="N17" i="9"/>
  <c r="H17" i="9"/>
  <c r="E17" i="9"/>
  <c r="O16" i="9"/>
  <c r="Q16" i="9" s="1"/>
  <c r="N16" i="9"/>
  <c r="I16" i="9"/>
  <c r="J16" i="9" s="1"/>
  <c r="K16" i="9" s="1"/>
  <c r="H16" i="9"/>
  <c r="E16" i="9"/>
  <c r="O15" i="9"/>
  <c r="Q15" i="9" s="1"/>
  <c r="N15" i="9"/>
  <c r="H15" i="9"/>
  <c r="I15" i="9" s="1"/>
  <c r="E15" i="9"/>
  <c r="O14" i="9"/>
  <c r="Q14" i="9" s="1"/>
  <c r="N14" i="9"/>
  <c r="H14" i="9"/>
  <c r="E14" i="9"/>
  <c r="I14" i="9" s="1"/>
  <c r="J14" i="9" s="1"/>
  <c r="K14" i="9" s="1"/>
  <c r="Q13" i="9"/>
  <c r="N13" i="9"/>
  <c r="U13" i="9" s="1"/>
  <c r="H13" i="9"/>
  <c r="K13" i="9" s="1"/>
  <c r="E13" i="9"/>
  <c r="O12" i="9"/>
  <c r="Q12" i="9" s="1"/>
  <c r="N12" i="9"/>
  <c r="H12" i="9"/>
  <c r="I12" i="9" s="1"/>
  <c r="J12" i="9" s="1"/>
  <c r="K12" i="9" s="1"/>
  <c r="E12" i="9"/>
  <c r="Q11" i="9"/>
  <c r="O11" i="9"/>
  <c r="N11" i="9"/>
  <c r="H11" i="9"/>
  <c r="E11" i="9"/>
  <c r="O10" i="9"/>
  <c r="Q10" i="9" s="1"/>
  <c r="N10" i="9"/>
  <c r="I10" i="9"/>
  <c r="J10" i="9" s="1"/>
  <c r="K10" i="9" s="1"/>
  <c r="H10" i="9"/>
  <c r="E10" i="9"/>
  <c r="Q9" i="9"/>
  <c r="O9" i="9"/>
  <c r="N9" i="9"/>
  <c r="H9" i="9"/>
  <c r="E9" i="9"/>
  <c r="O8" i="9"/>
  <c r="Q8" i="9" s="1"/>
  <c r="N8" i="9"/>
  <c r="H8" i="9"/>
  <c r="I8" i="9" s="1"/>
  <c r="J8" i="9" s="1"/>
  <c r="K8" i="9" s="1"/>
  <c r="E8" i="9"/>
  <c r="Q7" i="9"/>
  <c r="O7" i="9"/>
  <c r="N7" i="9"/>
  <c r="H7" i="9"/>
  <c r="I7" i="9" s="1"/>
  <c r="R7" i="9" s="1"/>
  <c r="S7" i="9" s="1"/>
  <c r="V7" i="9" s="1"/>
  <c r="E7" i="9"/>
  <c r="O6" i="9"/>
  <c r="Q6" i="9" s="1"/>
  <c r="N6" i="9"/>
  <c r="H6" i="9"/>
  <c r="I6" i="9" s="1"/>
  <c r="J6" i="9" s="1"/>
  <c r="K6" i="9" s="1"/>
  <c r="E6" i="9"/>
  <c r="O5" i="9"/>
  <c r="Q5" i="9" s="1"/>
  <c r="N5" i="9"/>
  <c r="H5" i="9"/>
  <c r="E5" i="9"/>
  <c r="O4" i="9"/>
  <c r="Q4" i="9" s="1"/>
  <c r="N4" i="9"/>
  <c r="H4" i="9"/>
  <c r="I4" i="9" s="1"/>
  <c r="J4" i="9" s="1"/>
  <c r="K4" i="9" s="1"/>
  <c r="E4" i="9"/>
  <c r="Q3" i="9"/>
  <c r="O3" i="9"/>
  <c r="N3" i="9"/>
  <c r="H3" i="9"/>
  <c r="E3" i="9"/>
  <c r="O2" i="9"/>
  <c r="Q2" i="9" s="1"/>
  <c r="N2" i="9"/>
  <c r="I2" i="9"/>
  <c r="J2" i="9" s="1"/>
  <c r="K2" i="9" s="1"/>
  <c r="H2" i="9"/>
  <c r="E2" i="9"/>
  <c r="R10" i="9" l="1"/>
  <c r="S10" i="9" s="1"/>
  <c r="I17" i="9"/>
  <c r="R42" i="9"/>
  <c r="S42" i="9" s="1"/>
  <c r="R50" i="9"/>
  <c r="S50" i="9" s="1"/>
  <c r="I55" i="9"/>
  <c r="J55" i="9" s="1"/>
  <c r="K55" i="9" s="1"/>
  <c r="T7" i="9"/>
  <c r="U7" i="9" s="1"/>
  <c r="I9" i="9"/>
  <c r="R9" i="9" s="1"/>
  <c r="S9" i="9" s="1"/>
  <c r="R20" i="9"/>
  <c r="S20" i="9" s="1"/>
  <c r="I25" i="9"/>
  <c r="I33" i="9"/>
  <c r="I41" i="9"/>
  <c r="R41" i="9" s="1"/>
  <c r="S41" i="9" s="1"/>
  <c r="I49" i="9"/>
  <c r="J11" i="9"/>
  <c r="K11" i="9" s="1"/>
  <c r="R28" i="9"/>
  <c r="S28" i="9" s="1"/>
  <c r="R36" i="9"/>
  <c r="S36" i="9" s="1"/>
  <c r="R44" i="9"/>
  <c r="S44" i="9" s="1"/>
  <c r="R52" i="9"/>
  <c r="S52" i="9" s="1"/>
  <c r="R34" i="9"/>
  <c r="S34" i="9" s="1"/>
  <c r="R4" i="9"/>
  <c r="S4" i="9" s="1"/>
  <c r="R12" i="9"/>
  <c r="S12" i="9" s="1"/>
  <c r="I3" i="9"/>
  <c r="R3" i="9" s="1"/>
  <c r="S3" i="9" s="1"/>
  <c r="I11" i="9"/>
  <c r="R11" i="9" s="1"/>
  <c r="S11" i="9" s="1"/>
  <c r="R14" i="9"/>
  <c r="R22" i="9"/>
  <c r="I27" i="9"/>
  <c r="I35" i="9"/>
  <c r="R35" i="9" s="1"/>
  <c r="S35" i="9" s="1"/>
  <c r="I43" i="9"/>
  <c r="I51" i="9"/>
  <c r="J9" i="9"/>
  <c r="K9" i="9" s="1"/>
  <c r="R6" i="9"/>
  <c r="S6" i="9" s="1"/>
  <c r="R30" i="9"/>
  <c r="S30" i="9" s="1"/>
  <c r="R38" i="9"/>
  <c r="S38" i="9" s="1"/>
  <c r="R46" i="9"/>
  <c r="S46" i="9" s="1"/>
  <c r="R54" i="9"/>
  <c r="S54" i="9" s="1"/>
  <c r="R18" i="9"/>
  <c r="R2" i="9"/>
  <c r="S2" i="9" s="1"/>
  <c r="R26" i="9"/>
  <c r="S26" i="9" s="1"/>
  <c r="I5" i="9"/>
  <c r="R5" i="9" s="1"/>
  <c r="S5" i="9" s="1"/>
  <c r="R16" i="9"/>
  <c r="I29" i="9"/>
  <c r="R29" i="9" s="1"/>
  <c r="S29" i="9" s="1"/>
  <c r="I37" i="9"/>
  <c r="J37" i="9" s="1"/>
  <c r="K37" i="9" s="1"/>
  <c r="I45" i="9"/>
  <c r="I53" i="9"/>
  <c r="J53" i="9" s="1"/>
  <c r="K53" i="9" s="1"/>
  <c r="J7" i="9"/>
  <c r="K7" i="9" s="1"/>
  <c r="R8" i="9"/>
  <c r="S8" i="9" s="1"/>
  <c r="R32" i="9"/>
  <c r="S32" i="9" s="1"/>
  <c r="R40" i="9"/>
  <c r="S40" i="9" s="1"/>
  <c r="R48" i="9"/>
  <c r="S48" i="9" s="1"/>
  <c r="S14" i="9"/>
  <c r="S18" i="9"/>
  <c r="S22" i="9"/>
  <c r="R27" i="9"/>
  <c r="S27" i="9" s="1"/>
  <c r="J27" i="9"/>
  <c r="K27" i="9" s="1"/>
  <c r="R31" i="9"/>
  <c r="S31" i="9" s="1"/>
  <c r="J31" i="9"/>
  <c r="K31" i="9" s="1"/>
  <c r="J35" i="9"/>
  <c r="K35" i="9" s="1"/>
  <c r="R39" i="9"/>
  <c r="S39" i="9" s="1"/>
  <c r="J39" i="9"/>
  <c r="K39" i="9" s="1"/>
  <c r="R43" i="9"/>
  <c r="S43" i="9" s="1"/>
  <c r="J43" i="9"/>
  <c r="K43" i="9" s="1"/>
  <c r="R47" i="9"/>
  <c r="S47" i="9" s="1"/>
  <c r="J47" i="9"/>
  <c r="K47" i="9" s="1"/>
  <c r="R51" i="9"/>
  <c r="S51" i="9" s="1"/>
  <c r="J51" i="9"/>
  <c r="K51" i="9" s="1"/>
  <c r="R17" i="9"/>
  <c r="S17" i="9" s="1"/>
  <c r="J17" i="9"/>
  <c r="K17" i="9" s="1"/>
  <c r="R21" i="9"/>
  <c r="S21" i="9" s="1"/>
  <c r="J21" i="9"/>
  <c r="K21" i="9" s="1"/>
  <c r="S16" i="9"/>
  <c r="R25" i="9"/>
  <c r="S25" i="9" s="1"/>
  <c r="J25" i="9"/>
  <c r="K25" i="9" s="1"/>
  <c r="J29" i="9"/>
  <c r="K29" i="9" s="1"/>
  <c r="R33" i="9"/>
  <c r="S33" i="9" s="1"/>
  <c r="J33" i="9"/>
  <c r="K33" i="9" s="1"/>
  <c r="J41" i="9"/>
  <c r="K41" i="9" s="1"/>
  <c r="R45" i="9"/>
  <c r="S45" i="9" s="1"/>
  <c r="J45" i="9"/>
  <c r="K45" i="9" s="1"/>
  <c r="R49" i="9"/>
  <c r="S49" i="9" s="1"/>
  <c r="J49" i="9"/>
  <c r="K49" i="9" s="1"/>
  <c r="R53" i="9"/>
  <c r="S53" i="9" s="1"/>
  <c r="R55" i="9"/>
  <c r="S55" i="9" s="1"/>
  <c r="R15" i="9"/>
  <c r="S15" i="9" s="1"/>
  <c r="J15" i="9"/>
  <c r="K15" i="9" s="1"/>
  <c r="R19" i="9"/>
  <c r="S19" i="9" s="1"/>
  <c r="J19" i="9"/>
  <c r="K19" i="9" s="1"/>
  <c r="R23" i="9"/>
  <c r="S23" i="9" s="1"/>
  <c r="J23" i="9"/>
  <c r="K23" i="9" s="1"/>
  <c r="I13" i="9"/>
  <c r="V20" i="9" l="1"/>
  <c r="T20" i="9"/>
  <c r="U20" i="9" s="1"/>
  <c r="V35" i="9"/>
  <c r="T35" i="9"/>
  <c r="U35" i="9" s="1"/>
  <c r="V29" i="9"/>
  <c r="T29" i="9"/>
  <c r="U29" i="9" s="1"/>
  <c r="V41" i="9"/>
  <c r="T41" i="9"/>
  <c r="U41" i="9" s="1"/>
  <c r="V49" i="9"/>
  <c r="T49" i="9"/>
  <c r="U49" i="9" s="1"/>
  <c r="V53" i="9"/>
  <c r="T53" i="9"/>
  <c r="U53" i="9" s="1"/>
  <c r="R37" i="9"/>
  <c r="S37" i="9" s="1"/>
  <c r="V16" i="9"/>
  <c r="T16" i="9"/>
  <c r="U16" i="9" s="1"/>
  <c r="V47" i="9"/>
  <c r="T47" i="9"/>
  <c r="U47" i="9" s="1"/>
  <c r="V31" i="9"/>
  <c r="T31" i="9"/>
  <c r="U31" i="9" s="1"/>
  <c r="V32" i="9"/>
  <c r="T32" i="9"/>
  <c r="U32" i="9" s="1"/>
  <c r="V5" i="9"/>
  <c r="T5" i="9"/>
  <c r="U5" i="9" s="1"/>
  <c r="V30" i="9"/>
  <c r="T30" i="9"/>
  <c r="U30" i="9" s="1"/>
  <c r="V36" i="9"/>
  <c r="T36" i="9"/>
  <c r="U36" i="9" s="1"/>
  <c r="V14" i="9"/>
  <c r="T14" i="9"/>
  <c r="U14" i="9" s="1"/>
  <c r="V23" i="9"/>
  <c r="T23" i="9"/>
  <c r="U23" i="9" s="1"/>
  <c r="V8" i="9"/>
  <c r="T8" i="9"/>
  <c r="U8" i="9" s="1"/>
  <c r="J5" i="9"/>
  <c r="K5" i="9" s="1"/>
  <c r="V6" i="9"/>
  <c r="T6" i="9"/>
  <c r="U6" i="9" s="1"/>
  <c r="V11" i="9"/>
  <c r="T11" i="9"/>
  <c r="U11" i="9" s="1"/>
  <c r="V28" i="9"/>
  <c r="T28" i="9"/>
  <c r="U28" i="9" s="1"/>
  <c r="V9" i="9"/>
  <c r="T9" i="9"/>
  <c r="U9" i="9" s="1"/>
  <c r="V43" i="9"/>
  <c r="T43" i="9"/>
  <c r="U43" i="9" s="1"/>
  <c r="V26" i="9"/>
  <c r="T26" i="9"/>
  <c r="U26" i="9" s="1"/>
  <c r="V19" i="9"/>
  <c r="T19" i="9"/>
  <c r="U19" i="9" s="1"/>
  <c r="V2" i="9"/>
  <c r="T2" i="9"/>
  <c r="U2" i="9" s="1"/>
  <c r="V12" i="9"/>
  <c r="T12" i="9"/>
  <c r="U12" i="9" s="1"/>
  <c r="J3" i="9"/>
  <c r="K3" i="9" s="1"/>
  <c r="V33" i="9"/>
  <c r="T33" i="9"/>
  <c r="U33" i="9" s="1"/>
  <c r="V21" i="9"/>
  <c r="T21" i="9"/>
  <c r="U21" i="9" s="1"/>
  <c r="V27" i="9"/>
  <c r="T27" i="9"/>
  <c r="U27" i="9" s="1"/>
  <c r="V3" i="9"/>
  <c r="T3" i="9"/>
  <c r="U3" i="9" s="1"/>
  <c r="V22" i="9"/>
  <c r="T22" i="9"/>
  <c r="U22" i="9" s="1"/>
  <c r="V45" i="9"/>
  <c r="T45" i="9"/>
  <c r="U45" i="9" s="1"/>
  <c r="V17" i="9"/>
  <c r="T17" i="9"/>
  <c r="U17" i="9" s="1"/>
  <c r="V39" i="9"/>
  <c r="T39" i="9"/>
  <c r="U39" i="9" s="1"/>
  <c r="V18" i="9"/>
  <c r="T18" i="9"/>
  <c r="U18" i="9" s="1"/>
  <c r="V4" i="9"/>
  <c r="T4" i="9"/>
  <c r="U4" i="9" s="1"/>
  <c r="V50" i="9"/>
  <c r="T50" i="9"/>
  <c r="U50" i="9" s="1"/>
  <c r="V15" i="9"/>
  <c r="T15" i="9"/>
  <c r="U15" i="9" s="1"/>
  <c r="V54" i="9"/>
  <c r="T54" i="9"/>
  <c r="U54" i="9" s="1"/>
  <c r="V34" i="9"/>
  <c r="T34" i="9"/>
  <c r="U34" i="9" s="1"/>
  <c r="V42" i="9"/>
  <c r="T42" i="9"/>
  <c r="U42" i="9" s="1"/>
  <c r="V55" i="9"/>
  <c r="T55" i="9"/>
  <c r="U55" i="9" s="1"/>
  <c r="V25" i="9"/>
  <c r="T25" i="9"/>
  <c r="U25" i="9" s="1"/>
  <c r="V51" i="9"/>
  <c r="T51" i="9"/>
  <c r="U51" i="9" s="1"/>
  <c r="V48" i="9"/>
  <c r="T48" i="9"/>
  <c r="U48" i="9" s="1"/>
  <c r="V46" i="9"/>
  <c r="T46" i="9"/>
  <c r="U46" i="9" s="1"/>
  <c r="V52" i="9"/>
  <c r="T52" i="9"/>
  <c r="U52" i="9" s="1"/>
  <c r="V40" i="9"/>
  <c r="T40" i="9"/>
  <c r="U40" i="9" s="1"/>
  <c r="V38" i="9"/>
  <c r="T38" i="9"/>
  <c r="U38" i="9" s="1"/>
  <c r="V44" i="9"/>
  <c r="T44" i="9"/>
  <c r="U44" i="9" s="1"/>
  <c r="V10" i="9"/>
  <c r="T10" i="9"/>
  <c r="U10" i="9" s="1"/>
  <c r="T57" i="5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3" i="4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" i="4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26" i="5"/>
  <c r="O16" i="5"/>
  <c r="O17" i="5"/>
  <c r="O18" i="5"/>
  <c r="O19" i="5"/>
  <c r="O20" i="5"/>
  <c r="O21" i="5"/>
  <c r="O22" i="5"/>
  <c r="O23" i="5"/>
  <c r="O24" i="5"/>
  <c r="O15" i="5"/>
  <c r="O4" i="5"/>
  <c r="O5" i="5"/>
  <c r="O6" i="5"/>
  <c r="O7" i="5"/>
  <c r="O8" i="5"/>
  <c r="O9" i="5"/>
  <c r="O10" i="5"/>
  <c r="O11" i="5"/>
  <c r="O12" i="5"/>
  <c r="O13" i="5"/>
  <c r="O3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K25" i="5" s="1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V37" i="9" l="1"/>
  <c r="T37" i="9"/>
  <c r="U37" i="9" s="1"/>
  <c r="I54" i="4"/>
  <c r="J54" i="4" s="1"/>
  <c r="K54" i="4" s="1"/>
  <c r="I50" i="4"/>
  <c r="J50" i="4" s="1"/>
  <c r="K50" i="4" s="1"/>
  <c r="I46" i="4"/>
  <c r="J46" i="4" s="1"/>
  <c r="K46" i="4" s="1"/>
  <c r="I42" i="4"/>
  <c r="J42" i="4" s="1"/>
  <c r="K42" i="4" s="1"/>
  <c r="I38" i="4"/>
  <c r="J38" i="4" s="1"/>
  <c r="K38" i="4" s="1"/>
  <c r="I34" i="4"/>
  <c r="J34" i="4" s="1"/>
  <c r="K34" i="4" s="1"/>
  <c r="I30" i="4"/>
  <c r="J30" i="4" s="1"/>
  <c r="K30" i="4" s="1"/>
  <c r="I26" i="4"/>
  <c r="J26" i="4" s="1"/>
  <c r="K26" i="4" s="1"/>
  <c r="I22" i="4"/>
  <c r="J22" i="4" s="1"/>
  <c r="K22" i="4" s="1"/>
  <c r="I18" i="4"/>
  <c r="J18" i="4" s="1"/>
  <c r="K18" i="4" s="1"/>
  <c r="I14" i="4"/>
  <c r="J14" i="4" s="1"/>
  <c r="I10" i="4"/>
  <c r="J10" i="4" s="1"/>
  <c r="K10" i="4" s="1"/>
  <c r="I6" i="4"/>
  <c r="J6" i="4" s="1"/>
  <c r="K6" i="4" s="1"/>
  <c r="I3" i="4"/>
  <c r="J3" i="4" s="1"/>
  <c r="K3" i="4" s="1"/>
  <c r="I53" i="4"/>
  <c r="J53" i="4" s="1"/>
  <c r="K53" i="4" s="1"/>
  <c r="I49" i="4"/>
  <c r="J49" i="4" s="1"/>
  <c r="K49" i="4" s="1"/>
  <c r="I45" i="4"/>
  <c r="J45" i="4" s="1"/>
  <c r="K45" i="4" s="1"/>
  <c r="I41" i="4"/>
  <c r="J41" i="4" s="1"/>
  <c r="K41" i="4" s="1"/>
  <c r="I37" i="4"/>
  <c r="J37" i="4" s="1"/>
  <c r="K37" i="4" s="1"/>
  <c r="I33" i="4"/>
  <c r="J33" i="4" s="1"/>
  <c r="K33" i="4" s="1"/>
  <c r="I29" i="4"/>
  <c r="J29" i="4" s="1"/>
  <c r="K29" i="4" s="1"/>
  <c r="I25" i="4"/>
  <c r="J25" i="4" s="1"/>
  <c r="I21" i="4"/>
  <c r="J21" i="4" s="1"/>
  <c r="K21" i="4" s="1"/>
  <c r="I17" i="4"/>
  <c r="J17" i="4" s="1"/>
  <c r="K17" i="4" s="1"/>
  <c r="I13" i="4"/>
  <c r="J13" i="4" s="1"/>
  <c r="K13" i="4" s="1"/>
  <c r="I9" i="4"/>
  <c r="J9" i="4" s="1"/>
  <c r="K9" i="4" s="1"/>
  <c r="I5" i="4"/>
  <c r="J5" i="4" s="1"/>
  <c r="K5" i="4" s="1"/>
  <c r="I56" i="4"/>
  <c r="J56" i="4" s="1"/>
  <c r="K56" i="4" s="1"/>
  <c r="I52" i="4"/>
  <c r="J52" i="4" s="1"/>
  <c r="K52" i="4" s="1"/>
  <c r="I48" i="4"/>
  <c r="J48" i="4" s="1"/>
  <c r="K48" i="4" s="1"/>
  <c r="I44" i="4"/>
  <c r="J44" i="4" s="1"/>
  <c r="K44" i="4" s="1"/>
  <c r="I40" i="4"/>
  <c r="J40" i="4" s="1"/>
  <c r="K40" i="4" s="1"/>
  <c r="I36" i="4"/>
  <c r="J36" i="4" s="1"/>
  <c r="K36" i="4" s="1"/>
  <c r="I32" i="4"/>
  <c r="J32" i="4" s="1"/>
  <c r="K32" i="4" s="1"/>
  <c r="I28" i="4"/>
  <c r="J28" i="4" s="1"/>
  <c r="K28" i="4" s="1"/>
  <c r="I24" i="4"/>
  <c r="J24" i="4" s="1"/>
  <c r="K24" i="4" s="1"/>
  <c r="I20" i="4"/>
  <c r="J20" i="4" s="1"/>
  <c r="K20" i="4" s="1"/>
  <c r="I16" i="4"/>
  <c r="J16" i="4" s="1"/>
  <c r="K16" i="4" s="1"/>
  <c r="I12" i="4"/>
  <c r="J12" i="4" s="1"/>
  <c r="K12" i="4" s="1"/>
  <c r="I8" i="4"/>
  <c r="J8" i="4" s="1"/>
  <c r="K8" i="4" s="1"/>
  <c r="I4" i="4"/>
  <c r="J4" i="4" s="1"/>
  <c r="K4" i="4" s="1"/>
  <c r="I55" i="4"/>
  <c r="J55" i="4" s="1"/>
  <c r="K55" i="4" s="1"/>
  <c r="I51" i="4"/>
  <c r="J51" i="4" s="1"/>
  <c r="K51" i="4" s="1"/>
  <c r="I47" i="4"/>
  <c r="J47" i="4" s="1"/>
  <c r="K47" i="4" s="1"/>
  <c r="I43" i="4"/>
  <c r="J43" i="4" s="1"/>
  <c r="K43" i="4" s="1"/>
  <c r="I39" i="4"/>
  <c r="J39" i="4" s="1"/>
  <c r="K39" i="4" s="1"/>
  <c r="I35" i="4"/>
  <c r="J35" i="4" s="1"/>
  <c r="K35" i="4" s="1"/>
  <c r="I31" i="4"/>
  <c r="J31" i="4" s="1"/>
  <c r="K31" i="4" s="1"/>
  <c r="I27" i="4"/>
  <c r="J27" i="4" s="1"/>
  <c r="K27" i="4" s="1"/>
  <c r="I23" i="4"/>
  <c r="J23" i="4" s="1"/>
  <c r="K23" i="4" s="1"/>
  <c r="I19" i="4"/>
  <c r="J19" i="4" s="1"/>
  <c r="K19" i="4" s="1"/>
  <c r="I15" i="4"/>
  <c r="J15" i="4" s="1"/>
  <c r="K15" i="4" s="1"/>
  <c r="I11" i="4"/>
  <c r="J11" i="4" s="1"/>
  <c r="K11" i="4" s="1"/>
  <c r="I7" i="4"/>
  <c r="J7" i="4" s="1"/>
  <c r="K7" i="4" s="1"/>
  <c r="I5" i="5"/>
  <c r="R5" i="5" s="1"/>
  <c r="I9" i="5"/>
  <c r="R9" i="5" s="1"/>
  <c r="I13" i="5"/>
  <c r="R13" i="5" s="1"/>
  <c r="I17" i="5"/>
  <c r="R17" i="5" s="1"/>
  <c r="I21" i="5"/>
  <c r="R21" i="5" s="1"/>
  <c r="I29" i="5"/>
  <c r="R29" i="5" s="1"/>
  <c r="I33" i="5"/>
  <c r="R33" i="5" s="1"/>
  <c r="I37" i="5"/>
  <c r="R37" i="5" s="1"/>
  <c r="I41" i="5"/>
  <c r="R41" i="5" s="1"/>
  <c r="I45" i="5"/>
  <c r="R45" i="5" s="1"/>
  <c r="I49" i="5"/>
  <c r="R49" i="5" s="1"/>
  <c r="I53" i="5"/>
  <c r="R53" i="5" s="1"/>
  <c r="I6" i="5"/>
  <c r="R6" i="5" s="1"/>
  <c r="I10" i="5"/>
  <c r="R10" i="5" s="1"/>
  <c r="I14" i="5"/>
  <c r="I18" i="5"/>
  <c r="R18" i="5" s="1"/>
  <c r="I22" i="5"/>
  <c r="R22" i="5" s="1"/>
  <c r="I26" i="5"/>
  <c r="R26" i="5" s="1"/>
  <c r="I30" i="5"/>
  <c r="R30" i="5" s="1"/>
  <c r="I34" i="5"/>
  <c r="R34" i="5" s="1"/>
  <c r="I38" i="5"/>
  <c r="R38" i="5" s="1"/>
  <c r="I42" i="5"/>
  <c r="R42" i="5" s="1"/>
  <c r="I46" i="5"/>
  <c r="R46" i="5" s="1"/>
  <c r="I50" i="5"/>
  <c r="R50" i="5" s="1"/>
  <c r="I54" i="5"/>
  <c r="R54" i="5" s="1"/>
  <c r="I3" i="5"/>
  <c r="R3" i="5" s="1"/>
  <c r="I7" i="5"/>
  <c r="R7" i="5" s="1"/>
  <c r="I11" i="5"/>
  <c r="R11" i="5" s="1"/>
  <c r="I15" i="5"/>
  <c r="R15" i="5" s="1"/>
  <c r="I19" i="5"/>
  <c r="R19" i="5" s="1"/>
  <c r="I23" i="5"/>
  <c r="R23" i="5" s="1"/>
  <c r="I27" i="5"/>
  <c r="R27" i="5" s="1"/>
  <c r="I31" i="5"/>
  <c r="R31" i="5" s="1"/>
  <c r="I35" i="5"/>
  <c r="R35" i="5" s="1"/>
  <c r="I39" i="5"/>
  <c r="R39" i="5" s="1"/>
  <c r="I43" i="5"/>
  <c r="R43" i="5" s="1"/>
  <c r="I47" i="5"/>
  <c r="R47" i="5" s="1"/>
  <c r="I51" i="5"/>
  <c r="R51" i="5" s="1"/>
  <c r="I55" i="5"/>
  <c r="R55" i="5" s="1"/>
  <c r="I4" i="5"/>
  <c r="R4" i="5" s="1"/>
  <c r="I8" i="5"/>
  <c r="R8" i="5" s="1"/>
  <c r="I12" i="5"/>
  <c r="R12" i="5" s="1"/>
  <c r="I16" i="5"/>
  <c r="R16" i="5" s="1"/>
  <c r="I20" i="5"/>
  <c r="R20" i="5" s="1"/>
  <c r="I24" i="5"/>
  <c r="R24" i="5" s="1"/>
  <c r="I28" i="5"/>
  <c r="R28" i="5" s="1"/>
  <c r="I32" i="5"/>
  <c r="R32" i="5" s="1"/>
  <c r="I36" i="5"/>
  <c r="R36" i="5" s="1"/>
  <c r="I40" i="5"/>
  <c r="R40" i="5" s="1"/>
  <c r="I44" i="5"/>
  <c r="R44" i="5" s="1"/>
  <c r="I48" i="5"/>
  <c r="R48" i="5" s="1"/>
  <c r="I52" i="5"/>
  <c r="R52" i="5" s="1"/>
  <c r="I56" i="5"/>
  <c r="R56" i="5" s="1"/>
  <c r="I25" i="5"/>
  <c r="K14" i="5"/>
  <c r="W35" i="6"/>
  <c r="E56" i="6"/>
  <c r="E55" i="6"/>
  <c r="E53" i="6"/>
  <c r="E50" i="6"/>
  <c r="E51" i="6" s="1"/>
  <c r="E49" i="6"/>
  <c r="E42" i="6"/>
  <c r="E36" i="6"/>
  <c r="E34" i="6"/>
  <c r="E33" i="6"/>
  <c r="E31" i="6"/>
  <c r="E30" i="6"/>
  <c r="E29" i="6"/>
  <c r="E28" i="6"/>
  <c r="E24" i="6"/>
  <c r="E22" i="6"/>
  <c r="E41" i="6" s="1"/>
  <c r="E21" i="6"/>
  <c r="E20" i="6"/>
  <c r="Y42" i="5"/>
  <c r="O12" i="4" l="1"/>
  <c r="P12" i="4" s="1"/>
  <c r="O28" i="4"/>
  <c r="O44" i="4"/>
  <c r="P44" i="4" s="1"/>
  <c r="O5" i="4"/>
  <c r="P5" i="4" s="1"/>
  <c r="O21" i="4"/>
  <c r="P21" i="4" s="1"/>
  <c r="O37" i="4"/>
  <c r="P37" i="4" s="1"/>
  <c r="O53" i="4"/>
  <c r="P53" i="4" s="1"/>
  <c r="O14" i="4"/>
  <c r="O30" i="4"/>
  <c r="O46" i="4"/>
  <c r="P46" i="4" s="1"/>
  <c r="O11" i="4"/>
  <c r="P11" i="4" s="1"/>
  <c r="O27" i="4"/>
  <c r="P27" i="4" s="1"/>
  <c r="O43" i="4"/>
  <c r="P43" i="4" s="1"/>
  <c r="O16" i="4"/>
  <c r="P16" i="4" s="1"/>
  <c r="O32" i="4"/>
  <c r="O48" i="4"/>
  <c r="P48" i="4" s="1"/>
  <c r="O9" i="4"/>
  <c r="P9" i="4" s="1"/>
  <c r="O25" i="4"/>
  <c r="O41" i="4"/>
  <c r="P41" i="4" s="1"/>
  <c r="O3" i="4"/>
  <c r="P3" i="4" s="1"/>
  <c r="O18" i="4"/>
  <c r="P18" i="4" s="1"/>
  <c r="O34" i="4"/>
  <c r="P34" i="4" s="1"/>
  <c r="O50" i="4"/>
  <c r="P50" i="4" s="1"/>
  <c r="O15" i="4"/>
  <c r="P15" i="4" s="1"/>
  <c r="O31" i="4"/>
  <c r="O47" i="4"/>
  <c r="P47" i="4" s="1"/>
  <c r="O4" i="4"/>
  <c r="P4" i="4" s="1"/>
  <c r="O20" i="4"/>
  <c r="P20" i="4" s="1"/>
  <c r="O36" i="4"/>
  <c r="P36" i="4" s="1"/>
  <c r="O52" i="4"/>
  <c r="P52" i="4" s="1"/>
  <c r="O13" i="4"/>
  <c r="P13" i="4" s="1"/>
  <c r="O29" i="4"/>
  <c r="P29" i="4" s="1"/>
  <c r="O45" i="4"/>
  <c r="P45" i="4" s="1"/>
  <c r="O6" i="4"/>
  <c r="P6" i="4" s="1"/>
  <c r="O22" i="4"/>
  <c r="P22" i="4" s="1"/>
  <c r="O38" i="4"/>
  <c r="O54" i="4"/>
  <c r="P54" i="4" s="1"/>
  <c r="O19" i="4"/>
  <c r="P19" i="4" s="1"/>
  <c r="O35" i="4"/>
  <c r="P35" i="4" s="1"/>
  <c r="O51" i="4"/>
  <c r="P51" i="4" s="1"/>
  <c r="O8" i="4"/>
  <c r="P8" i="4" s="1"/>
  <c r="O24" i="4"/>
  <c r="P24" i="4" s="1"/>
  <c r="O40" i="4"/>
  <c r="P40" i="4" s="1"/>
  <c r="O56" i="4"/>
  <c r="P56" i="4" s="1"/>
  <c r="O17" i="4"/>
  <c r="P17" i="4" s="1"/>
  <c r="O33" i="4"/>
  <c r="P33" i="4" s="1"/>
  <c r="O49" i="4"/>
  <c r="P49" i="4" s="1"/>
  <c r="O10" i="4"/>
  <c r="P10" i="4" s="1"/>
  <c r="O26" i="4"/>
  <c r="O42" i="4"/>
  <c r="P42" i="4" s="1"/>
  <c r="O7" i="4"/>
  <c r="O23" i="4"/>
  <c r="P23" i="4" s="1"/>
  <c r="O39" i="4"/>
  <c r="O55" i="4"/>
  <c r="P55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W72" i="8"/>
  <c r="W71" i="8"/>
  <c r="W70" i="8"/>
  <c r="W76" i="8" s="1"/>
  <c r="W69" i="8"/>
  <c r="W75" i="8" s="1"/>
  <c r="N42" i="8"/>
  <c r="N50" i="8"/>
  <c r="N20" i="8"/>
  <c r="H4" i="8"/>
  <c r="I4" i="8" s="1"/>
  <c r="H5" i="8"/>
  <c r="N5" i="8" s="1"/>
  <c r="H6" i="8"/>
  <c r="I6" i="8" s="1"/>
  <c r="H7" i="8"/>
  <c r="N7" i="8" s="1"/>
  <c r="H8" i="8"/>
  <c r="I8" i="8" s="1"/>
  <c r="H9" i="8"/>
  <c r="N9" i="8" s="1"/>
  <c r="H10" i="8"/>
  <c r="N10" i="8" s="1"/>
  <c r="H11" i="8"/>
  <c r="N11" i="8" s="1"/>
  <c r="H12" i="8"/>
  <c r="I12" i="8" s="1"/>
  <c r="H13" i="8"/>
  <c r="I13" i="8" s="1"/>
  <c r="H14" i="8"/>
  <c r="H15" i="8"/>
  <c r="N15" i="8" s="1"/>
  <c r="H16" i="8"/>
  <c r="I16" i="8" s="1"/>
  <c r="H17" i="8"/>
  <c r="I17" i="8" s="1"/>
  <c r="H18" i="8"/>
  <c r="I18" i="8" s="1"/>
  <c r="H19" i="8"/>
  <c r="N19" i="8" s="1"/>
  <c r="H20" i="8"/>
  <c r="I20" i="8" s="1"/>
  <c r="H21" i="8"/>
  <c r="N21" i="8" s="1"/>
  <c r="H22" i="8"/>
  <c r="H23" i="8"/>
  <c r="I23" i="8" s="1"/>
  <c r="H24" i="8"/>
  <c r="H25" i="8"/>
  <c r="H26" i="8"/>
  <c r="I26" i="8" s="1"/>
  <c r="H27" i="8"/>
  <c r="N27" i="8" s="1"/>
  <c r="H28" i="8"/>
  <c r="H29" i="8"/>
  <c r="N29" i="8" s="1"/>
  <c r="H30" i="8"/>
  <c r="N30" i="8" s="1"/>
  <c r="H31" i="8"/>
  <c r="N31" i="8" s="1"/>
  <c r="H32" i="8"/>
  <c r="I32" i="8" s="1"/>
  <c r="H33" i="8"/>
  <c r="H34" i="8"/>
  <c r="N34" i="8" s="1"/>
  <c r="H35" i="8"/>
  <c r="N35" i="8" s="1"/>
  <c r="H36" i="8"/>
  <c r="H37" i="8"/>
  <c r="N37" i="8" s="1"/>
  <c r="H38" i="8"/>
  <c r="N38" i="8" s="1"/>
  <c r="H39" i="8"/>
  <c r="N39" i="8" s="1"/>
  <c r="H40" i="8"/>
  <c r="I40" i="8" s="1"/>
  <c r="H41" i="8"/>
  <c r="H42" i="8"/>
  <c r="H43" i="8"/>
  <c r="N43" i="8" s="1"/>
  <c r="H44" i="8"/>
  <c r="I44" i="8" s="1"/>
  <c r="H45" i="8"/>
  <c r="N45" i="8" s="1"/>
  <c r="H46" i="8"/>
  <c r="N46" i="8" s="1"/>
  <c r="H47" i="8"/>
  <c r="N47" i="8" s="1"/>
  <c r="H48" i="8"/>
  <c r="I48" i="8" s="1"/>
  <c r="H49" i="8"/>
  <c r="I49" i="8" s="1"/>
  <c r="H50" i="8"/>
  <c r="H51" i="8"/>
  <c r="N51" i="8" s="1"/>
  <c r="H52" i="8"/>
  <c r="I52" i="8" s="1"/>
  <c r="H53" i="8"/>
  <c r="N53" i="8" s="1"/>
  <c r="H54" i="8"/>
  <c r="N54" i="8" s="1"/>
  <c r="H55" i="8"/>
  <c r="N55" i="8" s="1"/>
  <c r="H56" i="8"/>
  <c r="I56" i="8" s="1"/>
  <c r="H3" i="8"/>
  <c r="I3" i="8" s="1"/>
  <c r="E56" i="8"/>
  <c r="E55" i="8"/>
  <c r="E53" i="8"/>
  <c r="E50" i="8"/>
  <c r="E51" i="8" s="1"/>
  <c r="I51" i="8" s="1"/>
  <c r="E49" i="8"/>
  <c r="E42" i="8"/>
  <c r="I42" i="8" s="1"/>
  <c r="E36" i="8"/>
  <c r="E34" i="8"/>
  <c r="I34" i="8" s="1"/>
  <c r="E33" i="8"/>
  <c r="E31" i="8"/>
  <c r="E30" i="8"/>
  <c r="E29" i="8"/>
  <c r="E28" i="8"/>
  <c r="E24" i="8"/>
  <c r="E22" i="8"/>
  <c r="E41" i="8" s="1"/>
  <c r="E21" i="8"/>
  <c r="W66" i="8" s="1"/>
  <c r="E20" i="8"/>
  <c r="E19" i="8"/>
  <c r="I7" i="8" l="1"/>
  <c r="I46" i="8"/>
  <c r="N6" i="8"/>
  <c r="I28" i="1"/>
  <c r="I20" i="1"/>
  <c r="I12" i="1"/>
  <c r="I4" i="1"/>
  <c r="N23" i="8"/>
  <c r="I24" i="8"/>
  <c r="I43" i="8"/>
  <c r="N24" i="8"/>
  <c r="I27" i="1"/>
  <c r="I19" i="1"/>
  <c r="I11" i="1"/>
  <c r="I3" i="1"/>
  <c r="I39" i="8"/>
  <c r="I38" i="8"/>
  <c r="H33" i="1"/>
  <c r="I25" i="1"/>
  <c r="I9" i="1"/>
  <c r="I15" i="8"/>
  <c r="I17" i="1"/>
  <c r="I54" i="8"/>
  <c r="I35" i="8"/>
  <c r="I32" i="1"/>
  <c r="I24" i="1"/>
  <c r="I16" i="1"/>
  <c r="I8" i="1"/>
  <c r="I18" i="1"/>
  <c r="I30" i="8"/>
  <c r="N16" i="8"/>
  <c r="I31" i="1"/>
  <c r="I23" i="1"/>
  <c r="I15" i="1"/>
  <c r="I7" i="1"/>
  <c r="I26" i="1"/>
  <c r="I11" i="8"/>
  <c r="I50" i="8"/>
  <c r="I27" i="8"/>
  <c r="N26" i="8"/>
  <c r="I30" i="1"/>
  <c r="I22" i="1"/>
  <c r="I14" i="1"/>
  <c r="I6" i="1"/>
  <c r="I10" i="1"/>
  <c r="I55" i="8"/>
  <c r="I31" i="8"/>
  <c r="I10" i="8"/>
  <c r="I47" i="8"/>
  <c r="I29" i="1"/>
  <c r="I21" i="1"/>
  <c r="I13" i="1"/>
  <c r="I5" i="1"/>
  <c r="P38" i="4"/>
  <c r="P7" i="4"/>
  <c r="P32" i="4"/>
  <c r="P28" i="4"/>
  <c r="P39" i="4"/>
  <c r="P26" i="4"/>
  <c r="P31" i="4"/>
  <c r="P30" i="4"/>
  <c r="I36" i="8"/>
  <c r="I28" i="8"/>
  <c r="I19" i="8"/>
  <c r="W67" i="8"/>
  <c r="W73" i="8" s="1"/>
  <c r="E57" i="8"/>
  <c r="U91" i="8" s="1"/>
  <c r="I22" i="8"/>
  <c r="I41" i="8"/>
  <c r="I33" i="8"/>
  <c r="N13" i="8"/>
  <c r="N49" i="8"/>
  <c r="N41" i="8"/>
  <c r="N33" i="8"/>
  <c r="I9" i="8"/>
  <c r="I5" i="8"/>
  <c r="I53" i="8"/>
  <c r="I45" i="8"/>
  <c r="I37" i="8"/>
  <c r="I29" i="8"/>
  <c r="N12" i="8"/>
  <c r="N8" i="8"/>
  <c r="N4" i="8"/>
  <c r="N22" i="8"/>
  <c r="N18" i="8"/>
  <c r="N56" i="8"/>
  <c r="N52" i="8"/>
  <c r="N48" i="8"/>
  <c r="N44" i="8"/>
  <c r="N40" i="8"/>
  <c r="N36" i="8"/>
  <c r="N32" i="8"/>
  <c r="N28" i="8"/>
  <c r="I21" i="8"/>
  <c r="N17" i="8"/>
  <c r="N3" i="8"/>
  <c r="I2" i="1"/>
  <c r="I33" i="1" s="1"/>
  <c r="E57" i="6" l="1"/>
  <c r="P14" i="6"/>
  <c r="P25" i="6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H10" i="6"/>
  <c r="J10" i="6" s="1"/>
  <c r="H11" i="6"/>
  <c r="J11" i="6" s="1"/>
  <c r="H12" i="6"/>
  <c r="J12" i="6" s="1"/>
  <c r="H13" i="6"/>
  <c r="J13" i="6" s="1"/>
  <c r="H14" i="6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H26" i="6"/>
  <c r="J26" i="6" s="1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33" i="6"/>
  <c r="J33" i="6" s="1"/>
  <c r="H34" i="6"/>
  <c r="J34" i="6" s="1"/>
  <c r="H35" i="6"/>
  <c r="J35" i="6" s="1"/>
  <c r="H36" i="6"/>
  <c r="J36" i="6" s="1"/>
  <c r="H37" i="6"/>
  <c r="J37" i="6" s="1"/>
  <c r="H38" i="6"/>
  <c r="J38" i="6" s="1"/>
  <c r="H39" i="6"/>
  <c r="J39" i="6" s="1"/>
  <c r="H40" i="6"/>
  <c r="J40" i="6" s="1"/>
  <c r="H41" i="6"/>
  <c r="J41" i="6" s="1"/>
  <c r="H42" i="6"/>
  <c r="J42" i="6" s="1"/>
  <c r="H43" i="6"/>
  <c r="J43" i="6" s="1"/>
  <c r="H44" i="6"/>
  <c r="J44" i="6" s="1"/>
  <c r="H45" i="6"/>
  <c r="J45" i="6" s="1"/>
  <c r="H46" i="6"/>
  <c r="J46" i="6" s="1"/>
  <c r="H47" i="6"/>
  <c r="J47" i="6" s="1"/>
  <c r="H48" i="6"/>
  <c r="J48" i="6" s="1"/>
  <c r="H49" i="6"/>
  <c r="J49" i="6" s="1"/>
  <c r="H50" i="6"/>
  <c r="J50" i="6" s="1"/>
  <c r="H51" i="6"/>
  <c r="J51" i="6" s="1"/>
  <c r="H52" i="6"/>
  <c r="J52" i="6" s="1"/>
  <c r="H53" i="6"/>
  <c r="J53" i="6" s="1"/>
  <c r="H54" i="6"/>
  <c r="J54" i="6" s="1"/>
  <c r="H55" i="6"/>
  <c r="J55" i="6" s="1"/>
  <c r="H56" i="6"/>
  <c r="J56" i="6" s="1"/>
  <c r="H3" i="6"/>
  <c r="J3" i="6" s="1"/>
  <c r="Q14" i="5"/>
  <c r="Q25" i="5"/>
  <c r="J20" i="5"/>
  <c r="K20" i="5" s="1"/>
  <c r="J21" i="5"/>
  <c r="K21" i="5" s="1"/>
  <c r="J22" i="5"/>
  <c r="K22" i="5" s="1"/>
  <c r="J28" i="5"/>
  <c r="K28" i="5" s="1"/>
  <c r="J29" i="5"/>
  <c r="K29" i="5" s="1"/>
  <c r="J30" i="5"/>
  <c r="K30" i="5" s="1"/>
  <c r="J31" i="5"/>
  <c r="K31" i="5" s="1"/>
  <c r="J33" i="5"/>
  <c r="K33" i="5" s="1"/>
  <c r="J36" i="5"/>
  <c r="K36" i="5" s="1"/>
  <c r="J41" i="5"/>
  <c r="K41" i="5" s="1"/>
  <c r="J42" i="5"/>
  <c r="K42" i="5" s="1"/>
  <c r="J49" i="5"/>
  <c r="K49" i="5" s="1"/>
  <c r="J51" i="5"/>
  <c r="K51" i="5" s="1"/>
  <c r="J56" i="5"/>
  <c r="K56" i="5" s="1"/>
  <c r="J53" i="5" l="1"/>
  <c r="K53" i="5" s="1"/>
  <c r="J52" i="5"/>
  <c r="K52" i="5" s="1"/>
  <c r="J48" i="5"/>
  <c r="K48" i="5" s="1"/>
  <c r="J44" i="5"/>
  <c r="K44" i="5" s="1"/>
  <c r="J40" i="5"/>
  <c r="K40" i="5" s="1"/>
  <c r="J32" i="5"/>
  <c r="K32" i="5" s="1"/>
  <c r="J24" i="5"/>
  <c r="K24" i="5" s="1"/>
  <c r="J16" i="5"/>
  <c r="K16" i="5" s="1"/>
  <c r="J12" i="5"/>
  <c r="K12" i="5" s="1"/>
  <c r="J8" i="5"/>
  <c r="K8" i="5" s="1"/>
  <c r="J4" i="5"/>
  <c r="K4" i="5" s="1"/>
  <c r="J45" i="5"/>
  <c r="K45" i="5" s="1"/>
  <c r="J37" i="5"/>
  <c r="K37" i="5" s="1"/>
  <c r="J55" i="5"/>
  <c r="K55" i="5" s="1"/>
  <c r="J43" i="5"/>
  <c r="K43" i="5" s="1"/>
  <c r="J35" i="5"/>
  <c r="K35" i="5" s="1"/>
  <c r="J27" i="5"/>
  <c r="K27" i="5" s="1"/>
  <c r="J23" i="5"/>
  <c r="K23" i="5" s="1"/>
  <c r="J19" i="5"/>
  <c r="J15" i="5"/>
  <c r="K15" i="5" s="1"/>
  <c r="J11" i="5"/>
  <c r="K11" i="5" s="1"/>
  <c r="J7" i="5"/>
  <c r="K7" i="5" s="1"/>
  <c r="J47" i="5"/>
  <c r="K47" i="5" s="1"/>
  <c r="J39" i="5"/>
  <c r="K39" i="5" s="1"/>
  <c r="J54" i="5"/>
  <c r="K54" i="5" s="1"/>
  <c r="J50" i="5"/>
  <c r="K50" i="5" s="1"/>
  <c r="J46" i="5"/>
  <c r="J38" i="5"/>
  <c r="K38" i="5" s="1"/>
  <c r="J34" i="5"/>
  <c r="K34" i="5" s="1"/>
  <c r="J26" i="5"/>
  <c r="K26" i="5" s="1"/>
  <c r="J18" i="5"/>
  <c r="K18" i="5" s="1"/>
  <c r="J10" i="5"/>
  <c r="J6" i="5"/>
  <c r="K6" i="5" s="1"/>
  <c r="J3" i="5"/>
  <c r="J17" i="5"/>
  <c r="K17" i="5" s="1"/>
  <c r="J13" i="5"/>
  <c r="K13" i="5" s="1"/>
  <c r="J9" i="5"/>
  <c r="K9" i="5" s="1"/>
  <c r="J5" i="5"/>
  <c r="K5" i="5" s="1"/>
  <c r="W36" i="6"/>
  <c r="W68" i="8"/>
  <c r="W74" i="8" s="1"/>
  <c r="M56" i="8"/>
  <c r="O56" i="8" s="1"/>
  <c r="M55" i="8"/>
  <c r="O55" i="8" s="1"/>
  <c r="M54" i="8"/>
  <c r="O54" i="8" s="1"/>
  <c r="M53" i="8"/>
  <c r="O53" i="8" s="1"/>
  <c r="M52" i="8"/>
  <c r="O52" i="8" s="1"/>
  <c r="O51" i="8"/>
  <c r="M51" i="8"/>
  <c r="M50" i="8"/>
  <c r="O50" i="8" s="1"/>
  <c r="O49" i="8"/>
  <c r="M49" i="8"/>
  <c r="M48" i="8"/>
  <c r="O48" i="8" s="1"/>
  <c r="O47" i="8"/>
  <c r="M47" i="8"/>
  <c r="M46" i="8"/>
  <c r="O46" i="8" s="1"/>
  <c r="O45" i="8"/>
  <c r="M45" i="8"/>
  <c r="M44" i="8"/>
  <c r="O44" i="8" s="1"/>
  <c r="O43" i="8"/>
  <c r="M43" i="8"/>
  <c r="M42" i="8"/>
  <c r="O42" i="8" s="1"/>
  <c r="O41" i="8"/>
  <c r="M41" i="8"/>
  <c r="M40" i="8"/>
  <c r="O40" i="8" s="1"/>
  <c r="O39" i="8"/>
  <c r="M39" i="8"/>
  <c r="M38" i="8"/>
  <c r="O38" i="8" s="1"/>
  <c r="O37" i="8"/>
  <c r="M37" i="8"/>
  <c r="M36" i="8"/>
  <c r="O36" i="8" s="1"/>
  <c r="O35" i="8"/>
  <c r="M35" i="8"/>
  <c r="M34" i="8"/>
  <c r="O34" i="8" s="1"/>
  <c r="O33" i="8"/>
  <c r="M33" i="8"/>
  <c r="M32" i="8"/>
  <c r="O32" i="8" s="1"/>
  <c r="O31" i="8"/>
  <c r="M31" i="8"/>
  <c r="M30" i="8"/>
  <c r="O30" i="8" s="1"/>
  <c r="O29" i="8"/>
  <c r="M29" i="8"/>
  <c r="M28" i="8"/>
  <c r="O28" i="8" s="1"/>
  <c r="O27" i="8"/>
  <c r="M27" i="8"/>
  <c r="M26" i="8"/>
  <c r="O26" i="8" s="1"/>
  <c r="O24" i="8"/>
  <c r="M24" i="8"/>
  <c r="M23" i="8"/>
  <c r="O23" i="8" s="1"/>
  <c r="O22" i="8"/>
  <c r="M22" i="8"/>
  <c r="M21" i="8"/>
  <c r="O21" i="8" s="1"/>
  <c r="O20" i="8"/>
  <c r="M20" i="8"/>
  <c r="M19" i="8"/>
  <c r="O19" i="8" s="1"/>
  <c r="O18" i="8"/>
  <c r="M18" i="8"/>
  <c r="M17" i="8"/>
  <c r="O17" i="8" s="1"/>
  <c r="O16" i="8"/>
  <c r="M16" i="8"/>
  <c r="M15" i="8"/>
  <c r="O15" i="8" s="1"/>
  <c r="O13" i="8"/>
  <c r="M13" i="8"/>
  <c r="M12" i="8"/>
  <c r="O12" i="8" s="1"/>
  <c r="O11" i="8"/>
  <c r="M11" i="8"/>
  <c r="M10" i="8"/>
  <c r="M9" i="8"/>
  <c r="O9" i="8" s="1"/>
  <c r="M8" i="8"/>
  <c r="O8" i="8" s="1"/>
  <c r="M7" i="8"/>
  <c r="O7" i="8" s="1"/>
  <c r="M6" i="8"/>
  <c r="O6" i="8" s="1"/>
  <c r="M5" i="8"/>
  <c r="O5" i="8" s="1"/>
  <c r="M4" i="8"/>
  <c r="O4" i="8" s="1"/>
  <c r="M3" i="8"/>
  <c r="O3" i="8" s="1"/>
  <c r="K3" i="5" l="1"/>
  <c r="J57" i="5"/>
  <c r="Z25" i="5"/>
  <c r="K46" i="5"/>
  <c r="Z23" i="5"/>
  <c r="K19" i="5"/>
  <c r="Z22" i="5"/>
  <c r="K10" i="5"/>
  <c r="I3" i="6" l="1"/>
  <c r="N3" i="6"/>
  <c r="I4" i="6"/>
  <c r="N4" i="6"/>
  <c r="P4" i="6" s="1"/>
  <c r="Q4" i="6" s="1"/>
  <c r="R4" i="6"/>
  <c r="I5" i="6"/>
  <c r="N5" i="6"/>
  <c r="I6" i="6"/>
  <c r="N6" i="6"/>
  <c r="P6" i="6" s="1"/>
  <c r="Q6" i="6" s="1"/>
  <c r="R6" i="6" s="1"/>
  <c r="I7" i="6"/>
  <c r="N7" i="6"/>
  <c r="I8" i="6"/>
  <c r="N8" i="6"/>
  <c r="P8" i="6" s="1"/>
  <c r="Q8" i="6" s="1"/>
  <c r="R8" i="6"/>
  <c r="I9" i="6"/>
  <c r="N9" i="6"/>
  <c r="I10" i="6"/>
  <c r="N10" i="6"/>
  <c r="P10" i="6" s="1"/>
  <c r="Q10" i="6" s="1"/>
  <c r="I11" i="6"/>
  <c r="N11" i="6"/>
  <c r="P11" i="6" s="1"/>
  <c r="Q11" i="6" s="1"/>
  <c r="R11" i="6" s="1"/>
  <c r="I12" i="6"/>
  <c r="N12" i="6"/>
  <c r="I13" i="6"/>
  <c r="N13" i="6"/>
  <c r="P13" i="6" s="1"/>
  <c r="Q13" i="6" s="1"/>
  <c r="R13" i="6"/>
  <c r="I15" i="6"/>
  <c r="N15" i="6"/>
  <c r="I16" i="6"/>
  <c r="N16" i="6"/>
  <c r="P16" i="6" s="1"/>
  <c r="Q16" i="6" s="1"/>
  <c r="R16" i="6"/>
  <c r="I17" i="6"/>
  <c r="N17" i="6"/>
  <c r="I18" i="6"/>
  <c r="N18" i="6"/>
  <c r="P18" i="6" s="1"/>
  <c r="Q18" i="6" s="1"/>
  <c r="R18" i="6"/>
  <c r="I19" i="6"/>
  <c r="N19" i="6"/>
  <c r="I20" i="6"/>
  <c r="N20" i="6"/>
  <c r="P20" i="6" s="1"/>
  <c r="Q20" i="6" s="1"/>
  <c r="R20" i="6" s="1"/>
  <c r="I21" i="6"/>
  <c r="N21" i="6"/>
  <c r="I22" i="6"/>
  <c r="N22" i="6"/>
  <c r="P22" i="6" s="1"/>
  <c r="Q22" i="6" s="1"/>
  <c r="R22" i="6"/>
  <c r="I23" i="6"/>
  <c r="N23" i="6"/>
  <c r="I24" i="6"/>
  <c r="N24" i="6"/>
  <c r="P24" i="6" s="1"/>
  <c r="Q24" i="6" s="1"/>
  <c r="R24" i="6" s="1"/>
  <c r="I26" i="6"/>
  <c r="N26" i="6"/>
  <c r="I27" i="6"/>
  <c r="N27" i="6"/>
  <c r="P27" i="6" s="1"/>
  <c r="Q27" i="6" s="1"/>
  <c r="R27" i="6" s="1"/>
  <c r="X27" i="6"/>
  <c r="I28" i="6"/>
  <c r="N28" i="6"/>
  <c r="P28" i="6" s="1"/>
  <c r="Q28" i="6" s="1"/>
  <c r="R28" i="6"/>
  <c r="X28" i="6"/>
  <c r="I29" i="6"/>
  <c r="N29" i="6"/>
  <c r="P29" i="6" s="1"/>
  <c r="Q29" i="6" s="1"/>
  <c r="R29" i="6" s="1"/>
  <c r="I30" i="6"/>
  <c r="N30" i="6"/>
  <c r="I31" i="6"/>
  <c r="N31" i="6"/>
  <c r="I32" i="6"/>
  <c r="N32" i="6"/>
  <c r="I33" i="6"/>
  <c r="N33" i="6"/>
  <c r="P33" i="6" s="1"/>
  <c r="Q33" i="6" s="1"/>
  <c r="R33" i="6" s="1"/>
  <c r="I34" i="6"/>
  <c r="N34" i="6"/>
  <c r="I35" i="6"/>
  <c r="N35" i="6"/>
  <c r="P35" i="6" s="1"/>
  <c r="Q35" i="6" s="1"/>
  <c r="R35" i="6"/>
  <c r="I36" i="6"/>
  <c r="N36" i="6"/>
  <c r="I37" i="6"/>
  <c r="N37" i="6"/>
  <c r="P37" i="6" s="1"/>
  <c r="Q37" i="6" s="1"/>
  <c r="R37" i="6" s="1"/>
  <c r="I38" i="6"/>
  <c r="N38" i="6"/>
  <c r="I39" i="6"/>
  <c r="N39" i="6"/>
  <c r="P39" i="6" s="1"/>
  <c r="Q39" i="6" s="1"/>
  <c r="R39" i="6" s="1"/>
  <c r="I40" i="6"/>
  <c r="N40" i="6"/>
  <c r="I41" i="6"/>
  <c r="N41" i="6"/>
  <c r="P41" i="6" s="1"/>
  <c r="Q41" i="6" s="1"/>
  <c r="R41" i="6" s="1"/>
  <c r="I42" i="6"/>
  <c r="N42" i="6"/>
  <c r="I43" i="6"/>
  <c r="N43" i="6"/>
  <c r="P43" i="6" s="1"/>
  <c r="Q43" i="6" s="1"/>
  <c r="R43" i="6"/>
  <c r="I44" i="6"/>
  <c r="N44" i="6"/>
  <c r="I45" i="6"/>
  <c r="N45" i="6"/>
  <c r="P45" i="6" s="1"/>
  <c r="Q45" i="6" s="1"/>
  <c r="R45" i="6"/>
  <c r="I46" i="6"/>
  <c r="N46" i="6"/>
  <c r="I47" i="6"/>
  <c r="N47" i="6"/>
  <c r="P47" i="6" s="1"/>
  <c r="Q47" i="6" s="1"/>
  <c r="R47" i="6"/>
  <c r="I48" i="6"/>
  <c r="N48" i="6"/>
  <c r="I49" i="6"/>
  <c r="N49" i="6"/>
  <c r="P49" i="6" s="1"/>
  <c r="Q49" i="6" s="1"/>
  <c r="R49" i="6" s="1"/>
  <c r="I50" i="6"/>
  <c r="N50" i="6"/>
  <c r="I51" i="6"/>
  <c r="N51" i="6"/>
  <c r="P51" i="6" s="1"/>
  <c r="Q51" i="6" s="1"/>
  <c r="R51" i="6"/>
  <c r="I52" i="6"/>
  <c r="N52" i="6"/>
  <c r="I53" i="6"/>
  <c r="N53" i="6"/>
  <c r="P53" i="6" s="1"/>
  <c r="Q53" i="6" s="1"/>
  <c r="R53" i="6" s="1"/>
  <c r="I54" i="6"/>
  <c r="N54" i="6"/>
  <c r="I55" i="6"/>
  <c r="N55" i="6"/>
  <c r="P55" i="6" s="1"/>
  <c r="Q55" i="6" s="1"/>
  <c r="R55" i="6" s="1"/>
  <c r="I56" i="6"/>
  <c r="N56" i="6"/>
  <c r="R32" i="6" l="1"/>
  <c r="P32" i="6"/>
  <c r="Q32" i="6" s="1"/>
  <c r="R5" i="6"/>
  <c r="P5" i="6"/>
  <c r="Q5" i="6" s="1"/>
  <c r="P48" i="6"/>
  <c r="Q48" i="6" s="1"/>
  <c r="R48" i="6" s="1"/>
  <c r="P19" i="6"/>
  <c r="Q19" i="6" s="1"/>
  <c r="R19" i="6" s="1"/>
  <c r="R54" i="6"/>
  <c r="P54" i="6"/>
  <c r="Q54" i="6" s="1"/>
  <c r="R38" i="6"/>
  <c r="P38" i="6"/>
  <c r="Q38" i="6" s="1"/>
  <c r="P26" i="6"/>
  <c r="Q26" i="6" s="1"/>
  <c r="R26" i="6" s="1"/>
  <c r="P44" i="6"/>
  <c r="Q44" i="6" s="1"/>
  <c r="R44" i="6" s="1"/>
  <c r="R31" i="6"/>
  <c r="P31" i="6"/>
  <c r="Q31" i="6" s="1"/>
  <c r="R15" i="6"/>
  <c r="P15" i="6"/>
  <c r="Q15" i="6" s="1"/>
  <c r="P50" i="6"/>
  <c r="Q50" i="6" s="1"/>
  <c r="R50" i="6" s="1"/>
  <c r="P34" i="6"/>
  <c r="Q34" i="6" s="1"/>
  <c r="R34" i="6" s="1"/>
  <c r="R21" i="6"/>
  <c r="P21" i="6"/>
  <c r="Q21" i="6" s="1"/>
  <c r="R7" i="6"/>
  <c r="P7" i="6"/>
  <c r="Q7" i="6" s="1"/>
  <c r="P30" i="6"/>
  <c r="Q30" i="6" s="1"/>
  <c r="R30" i="6" s="1"/>
  <c r="P42" i="6"/>
  <c r="Q42" i="6" s="1"/>
  <c r="R42" i="6" s="1"/>
  <c r="R12" i="6"/>
  <c r="P12" i="6"/>
  <c r="Q12" i="6" s="1"/>
  <c r="R56" i="6"/>
  <c r="P56" i="6"/>
  <c r="Q56" i="6" s="1"/>
  <c r="P40" i="6"/>
  <c r="Q40" i="6" s="1"/>
  <c r="R40" i="6" s="1"/>
  <c r="P46" i="6"/>
  <c r="Q46" i="6" s="1"/>
  <c r="R46" i="6" s="1"/>
  <c r="R17" i="6"/>
  <c r="P17" i="6"/>
  <c r="Q17" i="6" s="1"/>
  <c r="R3" i="6"/>
  <c r="P3" i="6"/>
  <c r="Q3" i="6" s="1"/>
  <c r="P52" i="6"/>
  <c r="Q52" i="6" s="1"/>
  <c r="R52" i="6" s="1"/>
  <c r="P36" i="6"/>
  <c r="Q36" i="6" s="1"/>
  <c r="R36" i="6" s="1"/>
  <c r="R23" i="6"/>
  <c r="P23" i="6"/>
  <c r="Q23" i="6" s="1"/>
  <c r="R9" i="6"/>
  <c r="P9" i="6"/>
  <c r="Q9" i="6" s="1"/>
  <c r="Q3" i="5"/>
  <c r="Q4" i="5"/>
  <c r="Q5" i="5"/>
  <c r="Q6" i="5"/>
  <c r="Q7" i="5"/>
  <c r="Q8" i="5"/>
  <c r="Q9" i="5"/>
  <c r="Q10" i="5"/>
  <c r="Q11" i="5"/>
  <c r="Q12" i="5"/>
  <c r="Q13" i="5"/>
  <c r="Q16" i="5"/>
  <c r="Q17" i="5"/>
  <c r="Q18" i="5"/>
  <c r="Q19" i="5"/>
  <c r="Q20" i="5"/>
  <c r="Q21" i="5"/>
  <c r="Q22" i="5"/>
  <c r="Q23" i="5"/>
  <c r="Q24" i="5"/>
  <c r="Q27" i="5"/>
  <c r="Q28" i="5"/>
  <c r="Q29" i="5"/>
  <c r="Z24" i="5"/>
  <c r="Q30" i="5"/>
  <c r="Q31" i="5"/>
  <c r="Z26" i="5"/>
  <c r="Q32" i="5"/>
  <c r="Z27" i="5"/>
  <c r="Q33" i="5"/>
  <c r="Z28" i="5"/>
  <c r="Q34" i="5"/>
  <c r="Z29" i="5"/>
  <c r="Q35" i="5"/>
  <c r="Z30" i="5"/>
  <c r="Q36" i="5"/>
  <c r="Y43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S55" i="5" l="1"/>
  <c r="T55" i="5" s="1"/>
  <c r="S51" i="5"/>
  <c r="T51" i="5" s="1"/>
  <c r="S47" i="5"/>
  <c r="T47" i="5" s="1"/>
  <c r="S43" i="5"/>
  <c r="T43" i="5" s="1"/>
  <c r="S39" i="5"/>
  <c r="T39" i="5" s="1"/>
  <c r="S36" i="5"/>
  <c r="T36" i="5" s="1"/>
  <c r="S34" i="5"/>
  <c r="T34" i="5" s="1"/>
  <c r="S32" i="5"/>
  <c r="T32" i="5" s="1"/>
  <c r="S24" i="5"/>
  <c r="T24" i="5" s="1"/>
  <c r="S20" i="5"/>
  <c r="T20" i="5" s="1"/>
  <c r="S16" i="5"/>
  <c r="T16" i="5" s="1"/>
  <c r="S10" i="5"/>
  <c r="T10" i="5" s="1"/>
  <c r="S6" i="5"/>
  <c r="T6" i="5" s="1"/>
  <c r="S50" i="5"/>
  <c r="T50" i="5" s="1"/>
  <c r="S29" i="5"/>
  <c r="T29" i="5" s="1"/>
  <c r="S23" i="5"/>
  <c r="T23" i="5" s="1"/>
  <c r="S19" i="5"/>
  <c r="T19" i="5" s="1"/>
  <c r="S13" i="5"/>
  <c r="T13" i="5" s="1"/>
  <c r="S9" i="5"/>
  <c r="T9" i="5" s="1"/>
  <c r="S5" i="5"/>
  <c r="T5" i="5" s="1"/>
  <c r="S54" i="5"/>
  <c r="T54" i="5" s="1"/>
  <c r="S42" i="5"/>
  <c r="T42" i="5" s="1"/>
  <c r="S53" i="5"/>
  <c r="T53" i="5" s="1"/>
  <c r="S45" i="5"/>
  <c r="T45" i="5" s="1"/>
  <c r="S35" i="5"/>
  <c r="T35" i="5" s="1"/>
  <c r="S31" i="5"/>
  <c r="T31" i="5" s="1"/>
  <c r="S22" i="5"/>
  <c r="T22" i="5" s="1"/>
  <c r="S18" i="5"/>
  <c r="T18" i="5" s="1"/>
  <c r="S12" i="5"/>
  <c r="T12" i="5" s="1"/>
  <c r="S8" i="5"/>
  <c r="T8" i="5" s="1"/>
  <c r="S4" i="5"/>
  <c r="T4" i="5" s="1"/>
  <c r="S46" i="5"/>
  <c r="T46" i="5" s="1"/>
  <c r="S38" i="5"/>
  <c r="T38" i="5" s="1"/>
  <c r="S49" i="5"/>
  <c r="T49" i="5" s="1"/>
  <c r="S41" i="5"/>
  <c r="T41" i="5" s="1"/>
  <c r="S37" i="5"/>
  <c r="T37" i="5" s="1"/>
  <c r="S33" i="5"/>
  <c r="T33" i="5" s="1"/>
  <c r="S28" i="5"/>
  <c r="T28" i="5" s="1"/>
  <c r="S56" i="5"/>
  <c r="T56" i="5" s="1"/>
  <c r="S52" i="5"/>
  <c r="T52" i="5" s="1"/>
  <c r="S48" i="5"/>
  <c r="T48" i="5" s="1"/>
  <c r="S44" i="5"/>
  <c r="T44" i="5" s="1"/>
  <c r="S40" i="5"/>
  <c r="T40" i="5" s="1"/>
  <c r="S30" i="5"/>
  <c r="T30" i="5" s="1"/>
  <c r="S27" i="5"/>
  <c r="T27" i="5" s="1"/>
  <c r="S21" i="5"/>
  <c r="T21" i="5" s="1"/>
  <c r="S17" i="5"/>
  <c r="T17" i="5" s="1"/>
  <c r="S11" i="5"/>
  <c r="T11" i="5" s="1"/>
  <c r="S7" i="5"/>
  <c r="T7" i="5" s="1"/>
  <c r="S3" i="5"/>
  <c r="T3" i="5" s="1"/>
  <c r="Q26" i="5"/>
  <c r="Q15" i="5"/>
  <c r="T15" i="5" l="1"/>
  <c r="S15" i="5"/>
  <c r="S26" i="5"/>
  <c r="T26" i="5" s="1"/>
  <c r="E33" i="1"/>
  <c r="F33" i="1"/>
  <c r="J4" i="1" l="1"/>
  <c r="J6" i="1"/>
  <c r="J8" i="1"/>
  <c r="J9" i="1"/>
  <c r="J10" i="1"/>
  <c r="J12" i="1"/>
  <c r="J14" i="1"/>
  <c r="J16" i="1"/>
  <c r="J18" i="1"/>
  <c r="J20" i="1"/>
  <c r="J22" i="1"/>
  <c r="J24" i="1"/>
  <c r="J26" i="1"/>
  <c r="J28" i="1"/>
  <c r="J30" i="1"/>
  <c r="J32" i="1"/>
  <c r="K32" i="1" l="1"/>
  <c r="L32" i="1"/>
  <c r="K18" i="1"/>
  <c r="L18" i="1"/>
  <c r="K16" i="1"/>
  <c r="L16" i="1"/>
  <c r="K26" i="1"/>
  <c r="L26" i="1"/>
  <c r="K4" i="1"/>
  <c r="L4" i="1"/>
  <c r="K30" i="1"/>
  <c r="L30" i="1"/>
  <c r="K14" i="1"/>
  <c r="L14" i="1"/>
  <c r="K28" i="1"/>
  <c r="L28" i="1"/>
  <c r="K12" i="1"/>
  <c r="L12" i="1"/>
  <c r="K10" i="1"/>
  <c r="L10" i="1"/>
  <c r="K24" i="1"/>
  <c r="L24" i="1"/>
  <c r="K9" i="1"/>
  <c r="L9" i="1"/>
  <c r="K22" i="1"/>
  <c r="L22" i="1"/>
  <c r="K8" i="1"/>
  <c r="L8" i="1"/>
  <c r="K20" i="1"/>
  <c r="L20" i="1"/>
  <c r="K6" i="1"/>
  <c r="L6" i="1"/>
  <c r="J29" i="1"/>
  <c r="J13" i="1"/>
  <c r="J5" i="1"/>
  <c r="J25" i="1"/>
  <c r="J21" i="1"/>
  <c r="J2" i="1"/>
  <c r="J17" i="1"/>
  <c r="J31" i="1"/>
  <c r="J27" i="1"/>
  <c r="J23" i="1"/>
  <c r="J19" i="1"/>
  <c r="J15" i="1"/>
  <c r="J11" i="1"/>
  <c r="J7" i="1"/>
  <c r="J3" i="1"/>
  <c r="K17" i="1" l="1"/>
  <c r="L17" i="1"/>
  <c r="K11" i="1"/>
  <c r="L11" i="1"/>
  <c r="K7" i="1"/>
  <c r="L7" i="1"/>
  <c r="K21" i="1"/>
  <c r="L21" i="1"/>
  <c r="K15" i="1"/>
  <c r="L15" i="1"/>
  <c r="K5" i="1"/>
  <c r="L5" i="1"/>
  <c r="K23" i="1"/>
  <c r="L23" i="1"/>
  <c r="K31" i="1"/>
  <c r="L31" i="1"/>
  <c r="K3" i="1"/>
  <c r="L3" i="1"/>
  <c r="K2" i="1"/>
  <c r="L2" i="1"/>
  <c r="K25" i="1"/>
  <c r="L25" i="1"/>
  <c r="K19" i="1"/>
  <c r="L19" i="1"/>
  <c r="K13" i="1"/>
  <c r="L13" i="1"/>
  <c r="K27" i="1"/>
  <c r="L27" i="1"/>
  <c r="K29" i="1"/>
  <c r="L29" i="1"/>
  <c r="J33" i="1"/>
  <c r="K33" i="1" s="1"/>
  <c r="E34" i="1" l="1"/>
  <c r="Z22" i="9" l="1"/>
  <c r="W33" i="10" l="1"/>
</calcChain>
</file>

<file path=xl/sharedStrings.xml><?xml version="1.0" encoding="utf-8"?>
<sst xmlns="http://schemas.openxmlformats.org/spreadsheetml/2006/main" count="4170" uniqueCount="631">
  <si>
    <t>B - F</t>
  </si>
  <si>
    <t>Transciever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</si>
  <si>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</si>
  <si>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</si>
  <si>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</si>
  <si>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</si>
  <si>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</si>
  <si>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</si>
  <si>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</si>
  <si>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</si>
  <si>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</si>
  <si>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</si>
  <si>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</si>
  <si>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</si>
  <si>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</si>
  <si>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</si>
  <si>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</si>
  <si>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</si>
  <si>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M</t>
  </si>
  <si>
    <t>F - N</t>
  </si>
  <si>
    <t>F - S</t>
  </si>
  <si>
    <t>F - U</t>
  </si>
  <si>
    <t>H - HH</t>
  </si>
  <si>
    <t>H - K</t>
  </si>
  <si>
    <t>H - L</t>
  </si>
  <si>
    <t>HH - L</t>
  </si>
  <si>
    <t>L - M</t>
  </si>
  <si>
    <t>L - N</t>
  </si>
  <si>
    <t>L - S</t>
  </si>
  <si>
    <t>L - U</t>
  </si>
  <si>
    <t>M - S</t>
  </si>
  <si>
    <t>N - S</t>
  </si>
  <si>
    <t>IP links</t>
  </si>
  <si>
    <t>Total Capacity (G)</t>
  </si>
  <si>
    <t>Reach (km)</t>
  </si>
  <si>
    <t>Optical path</t>
  </si>
  <si>
    <t xml:space="preserve">Absolute sum </t>
  </si>
  <si>
    <t>Total Traffic carried (G)</t>
  </si>
  <si>
    <t>`</t>
  </si>
  <si>
    <t>IP Topology</t>
  </si>
  <si>
    <t>Optical Topology</t>
  </si>
  <si>
    <t>Capacity per LP (G)</t>
  </si>
  <si>
    <t>Free capacity (G)</t>
  </si>
  <si>
    <t># of LP required</t>
  </si>
  <si>
    <t>B -- HH</t>
  </si>
  <si>
    <t>B -- L</t>
  </si>
  <si>
    <t>D -- DO</t>
  </si>
  <si>
    <t>D -- K -- F</t>
  </si>
  <si>
    <t>D -- DO -- H</t>
  </si>
  <si>
    <t>D -- K</t>
  </si>
  <si>
    <t>D -- K -- F -- L</t>
  </si>
  <si>
    <t>D -- K -- F -- M</t>
  </si>
  <si>
    <t>DO -- D -- K -- F</t>
  </si>
  <si>
    <t>DO -- H</t>
  </si>
  <si>
    <t>F -- H</t>
  </si>
  <si>
    <t>F -- H -- HH</t>
  </si>
  <si>
    <t>F -- K</t>
  </si>
  <si>
    <t>F -- L</t>
  </si>
  <si>
    <t>F -- M</t>
  </si>
  <si>
    <t>F -- N</t>
  </si>
  <si>
    <t>F -- S</t>
  </si>
  <si>
    <t>F -- S -- U</t>
  </si>
  <si>
    <t>H -- HH</t>
  </si>
  <si>
    <t>H -- DO -- D -- K</t>
  </si>
  <si>
    <t>H -- L</t>
  </si>
  <si>
    <t>HH -- B -- L</t>
  </si>
  <si>
    <t>L -- N -- M</t>
  </si>
  <si>
    <t>L -- N</t>
  </si>
  <si>
    <t>L -- N -- S</t>
  </si>
  <si>
    <t>L -- N -- M -- U</t>
  </si>
  <si>
    <t>M -- U -- S</t>
  </si>
  <si>
    <t>N -- S</t>
  </si>
  <si>
    <t>B -- L -- F</t>
  </si>
  <si>
    <t>B -- H</t>
  </si>
  <si>
    <t>D -- DO -- H -- HH</t>
  </si>
  <si>
    <t>8QAM</t>
  </si>
  <si>
    <t>16QAM</t>
  </si>
  <si>
    <t>32QAM</t>
  </si>
  <si>
    <t>64QAM</t>
  </si>
  <si>
    <t>Link Utilization(%)</t>
  </si>
  <si>
    <t>Network Utilization %</t>
  </si>
  <si>
    <t xml:space="preserve">MPLS Paths </t>
  </si>
  <si>
    <t>to</t>
  </si>
  <si>
    <t>Traffic2016 [Mbit/s]</t>
  </si>
  <si>
    <t>B</t>
  </si>
  <si>
    <t>D</t>
  </si>
  <si>
    <t>DO</t>
  </si>
  <si>
    <t>F</t>
  </si>
  <si>
    <t>H</t>
  </si>
  <si>
    <t>HH</t>
  </si>
  <si>
    <t>K</t>
  </si>
  <si>
    <t>L</t>
  </si>
  <si>
    <t>M</t>
  </si>
  <si>
    <t>N</t>
  </si>
  <si>
    <t>S</t>
  </si>
  <si>
    <t>ULM</t>
  </si>
  <si>
    <t>from</t>
  </si>
  <si>
    <t>Berlin</t>
  </si>
  <si>
    <t>1st Path</t>
  </si>
  <si>
    <t>B -&gt; F -&gt; D</t>
  </si>
  <si>
    <t>B -&gt; F -&gt; DO</t>
  </si>
  <si>
    <t>B -&gt; F</t>
  </si>
  <si>
    <t>B -&gt; H</t>
  </si>
  <si>
    <t>B -&gt; HH</t>
  </si>
  <si>
    <t>B -&gt; F -&gt; K</t>
  </si>
  <si>
    <t>B -&gt; L</t>
  </si>
  <si>
    <t>B -&gt; F -&gt; M</t>
  </si>
  <si>
    <t>B -&gt; F -&gt; N</t>
  </si>
  <si>
    <t>B -&gt; F -&gt; S</t>
  </si>
  <si>
    <t>B -&gt; F -&gt; U</t>
  </si>
  <si>
    <t>2nd Path</t>
  </si>
  <si>
    <t>B -&gt; H -&gt; D</t>
  </si>
  <si>
    <t>B - &gt; H -&gt; DO</t>
  </si>
  <si>
    <t>B -&gt; H -&gt; K</t>
  </si>
  <si>
    <t>B -&gt; L -&gt; M</t>
  </si>
  <si>
    <t>B -&gt; L -&gt; N</t>
  </si>
  <si>
    <t>B -&gt; L -&gt; S</t>
  </si>
  <si>
    <t>B -&gt; L -&gt; U</t>
  </si>
  <si>
    <t>3rd Path</t>
  </si>
  <si>
    <t>B -&gt; HH -&gt; D</t>
  </si>
  <si>
    <t>4th Path</t>
  </si>
  <si>
    <t>B -&gt; L -&gt; D</t>
  </si>
  <si>
    <t>Düsseldorf</t>
  </si>
  <si>
    <t>D -&gt; F -&gt; B</t>
  </si>
  <si>
    <t>D -&gt; DO</t>
  </si>
  <si>
    <t>D -&gt; F</t>
  </si>
  <si>
    <t>D -&gt; H</t>
  </si>
  <si>
    <t>D -&gt; HH</t>
  </si>
  <si>
    <t>D -&gt; K</t>
  </si>
  <si>
    <t>D -&gt; L</t>
  </si>
  <si>
    <t>D -&gt; M</t>
  </si>
  <si>
    <t>D -&gt; F -&gt; N</t>
  </si>
  <si>
    <t>D -&gt; F -&gt; S</t>
  </si>
  <si>
    <t>D -&gt; F -&gt; U</t>
  </si>
  <si>
    <t>D -&gt; H -&gt; B</t>
  </si>
  <si>
    <t>D -&gt; L -&gt; N</t>
  </si>
  <si>
    <t>D -&gt; L -&gt; S</t>
  </si>
  <si>
    <t>D -&gt; L -&gt; U</t>
  </si>
  <si>
    <t>D -&gt; HH -&gt; B</t>
  </si>
  <si>
    <t>D -&gt; M -&gt; S</t>
  </si>
  <si>
    <t>D -&gt; L -&gt; B</t>
  </si>
  <si>
    <t>Dortmund</t>
  </si>
  <si>
    <t>DO -&gt; F -&gt; B</t>
  </si>
  <si>
    <t>DO -&gt; D</t>
  </si>
  <si>
    <t>DO -&gt; F</t>
  </si>
  <si>
    <t>DO -&gt; H</t>
  </si>
  <si>
    <t>DO -&gt; D -&gt; HH</t>
  </si>
  <si>
    <t xml:space="preserve">DO -&gt; D -&gt; K </t>
  </si>
  <si>
    <t>DO -&gt; D -&gt; L</t>
  </si>
  <si>
    <t>DO -&gt; D -&gt; M</t>
  </si>
  <si>
    <t>DO -&gt; F -&gt; N</t>
  </si>
  <si>
    <t>DO -&gt; F -&gt; S</t>
  </si>
  <si>
    <t>DO -&gt; F -&gt; U</t>
  </si>
  <si>
    <t>DO -&gt; H -&gt; B</t>
  </si>
  <si>
    <t>DO -&gt; F -&gt; HH</t>
  </si>
  <si>
    <t>DO -&gt; F -&gt; K</t>
  </si>
  <si>
    <t>DO -&gt; F -&gt; L</t>
  </si>
  <si>
    <t>DO -&gt; F -&gt; M</t>
  </si>
  <si>
    <t>DO -&gt; H -&gt; HH</t>
  </si>
  <si>
    <t>DO -&gt; H -&gt; K</t>
  </si>
  <si>
    <t>DO -&gt; H -&gt; L</t>
  </si>
  <si>
    <t>Frankfurt</t>
  </si>
  <si>
    <t>F -&gt; B</t>
  </si>
  <si>
    <t>F -&gt; D</t>
  </si>
  <si>
    <t>F -&gt; DO</t>
  </si>
  <si>
    <t>F -&gt; H</t>
  </si>
  <si>
    <t>F -&gt; HH</t>
  </si>
  <si>
    <t>F -&gt; K</t>
  </si>
  <si>
    <t>F -&gt; L</t>
  </si>
  <si>
    <t>F -&gt; M</t>
  </si>
  <si>
    <t>F -&gt; N</t>
  </si>
  <si>
    <t>F -&gt; S</t>
  </si>
  <si>
    <t>F -&gt; U</t>
  </si>
  <si>
    <t>Hannover</t>
  </si>
  <si>
    <t>H -&gt; B</t>
  </si>
  <si>
    <t>H -&gt; D</t>
  </si>
  <si>
    <t>H -&gt; DO</t>
  </si>
  <si>
    <t>H -&gt; F</t>
  </si>
  <si>
    <t>H -&gt; HH</t>
  </si>
  <si>
    <t>H -&gt; K</t>
  </si>
  <si>
    <t>H -&gt; L</t>
  </si>
  <si>
    <t xml:space="preserve">H -&gt; D -&gt; M </t>
  </si>
  <si>
    <t>H -&gt; F -&gt; N</t>
  </si>
  <si>
    <t>H -&gt; F -&gt; S</t>
  </si>
  <si>
    <t>H -&gt; F -&gt; U</t>
  </si>
  <si>
    <t>H -&gt; F -&gt; M</t>
  </si>
  <si>
    <t>H -&gt; L -&gt; N</t>
  </si>
  <si>
    <t>H -&gt; L -&gt; S</t>
  </si>
  <si>
    <t>H -&gt; L -&gt; U</t>
  </si>
  <si>
    <t>H -&gt; L -&gt; M</t>
  </si>
  <si>
    <t>Hamburg</t>
  </si>
  <si>
    <t>HH -&gt; B</t>
  </si>
  <si>
    <t>HH -&gt; D</t>
  </si>
  <si>
    <t>HH -&gt; D -&gt; DO</t>
  </si>
  <si>
    <t>HH -&gt; F</t>
  </si>
  <si>
    <t>HH -&gt; H</t>
  </si>
  <si>
    <t>HH -&gt; D -&gt; K</t>
  </si>
  <si>
    <t>HH -&gt; L</t>
  </si>
  <si>
    <t>HH -&gt; D -&gt; M</t>
  </si>
  <si>
    <t>HH -&gt; F -&gt; N</t>
  </si>
  <si>
    <t>HH -&gt; F -&gt; S</t>
  </si>
  <si>
    <t>HH -&gt; F -&gt; U</t>
  </si>
  <si>
    <t>HH -&gt; F -&gt; DO</t>
  </si>
  <si>
    <t>HH -&gt; F -&gt; K</t>
  </si>
  <si>
    <t>HH -&gt; F -&gt; M</t>
  </si>
  <si>
    <t>HH -&gt; L -&gt; N</t>
  </si>
  <si>
    <t>HH -&gt; L -&gt; S</t>
  </si>
  <si>
    <t>HH -&gt; L -&gt; U</t>
  </si>
  <si>
    <t>HH -&gt; H -&gt; DO</t>
  </si>
  <si>
    <t>HH -&gt; H -&gt; K</t>
  </si>
  <si>
    <t>HH -&gt; L -&gt; M</t>
  </si>
  <si>
    <t>Köln</t>
  </si>
  <si>
    <t>K -&gt; F -&gt; B</t>
  </si>
  <si>
    <t>K -&gt; D</t>
  </si>
  <si>
    <t>K -&gt; D -&gt; DO</t>
  </si>
  <si>
    <t>K -&gt; F</t>
  </si>
  <si>
    <t>K -&gt; H</t>
  </si>
  <si>
    <t>K -&gt; D -&gt; HH</t>
  </si>
  <si>
    <t>K -&gt; D -&gt; L</t>
  </si>
  <si>
    <t>K -&gt; D -&gt; M</t>
  </si>
  <si>
    <t>K -&gt; F -&gt; N</t>
  </si>
  <si>
    <t>K -&gt; F -&gt; S</t>
  </si>
  <si>
    <t>K -&gt; F -&gt; U</t>
  </si>
  <si>
    <t>K -&gt; H -&gt; B</t>
  </si>
  <si>
    <t>K -&gt; F -&gt; DO</t>
  </si>
  <si>
    <t>K -&gt; F -&gt; HH</t>
  </si>
  <si>
    <t>K -&gt; F -&gt; L</t>
  </si>
  <si>
    <t>K -&gt; F -&gt; M</t>
  </si>
  <si>
    <t>K -&gt; H -&gt; DO</t>
  </si>
  <si>
    <t>K -&gt; H -&gt; HH</t>
  </si>
  <si>
    <t>K -&gt; H -&gt; L</t>
  </si>
  <si>
    <t>Leipzig</t>
  </si>
  <si>
    <t>L -&gt; B</t>
  </si>
  <si>
    <t>L -&gt; D</t>
  </si>
  <si>
    <t>L -&gt; D -&gt; DO</t>
  </si>
  <si>
    <t>L -&gt; F</t>
  </si>
  <si>
    <t>L -&gt; H</t>
  </si>
  <si>
    <t>L -&gt; HH</t>
  </si>
  <si>
    <t>L -&gt; D -&gt; K</t>
  </si>
  <si>
    <t>L -&gt; M</t>
  </si>
  <si>
    <t>L -&gt; N</t>
  </si>
  <si>
    <t>L -&gt; S</t>
  </si>
  <si>
    <t>L -&gt; U</t>
  </si>
  <si>
    <t>L -&gt; F -&gt; DO</t>
  </si>
  <si>
    <t xml:space="preserve">L -&gt; F -&gt; K </t>
  </si>
  <si>
    <t>L -&gt; H -&gt; DO</t>
  </si>
  <si>
    <t>L -&gt; H -&gt; K</t>
  </si>
  <si>
    <t>München</t>
  </si>
  <si>
    <t>M -&gt; F -&gt; B</t>
  </si>
  <si>
    <t>M -&gt; D</t>
  </si>
  <si>
    <t>M -&gt; D -&gt; DO</t>
  </si>
  <si>
    <t>M -&gt; F</t>
  </si>
  <si>
    <t>M -&gt; D -&gt; H</t>
  </si>
  <si>
    <t>M -&gt; D -&gt; HH</t>
  </si>
  <si>
    <t>M -&gt; D -&gt; K</t>
  </si>
  <si>
    <t>M -&gt; L</t>
  </si>
  <si>
    <t>M -&gt; F -&gt; N</t>
  </si>
  <si>
    <t>M -&gt; S</t>
  </si>
  <si>
    <t>M -&gt; F -&gt; U</t>
  </si>
  <si>
    <t>M -&gt; L -&gt; B</t>
  </si>
  <si>
    <t>M -&gt; F -&gt; DO</t>
  </si>
  <si>
    <t>M -&gt; F -&gt; H</t>
  </si>
  <si>
    <t>M -&gt; F -&gt; HH</t>
  </si>
  <si>
    <t>M -&gt; F -&gt; K</t>
  </si>
  <si>
    <t>M -&gt; L -&gt; N</t>
  </si>
  <si>
    <t>M -&gt; L -&gt; U</t>
  </si>
  <si>
    <t>M -&gt; L -&gt; H</t>
  </si>
  <si>
    <t>M -&gt; L -&gt; HH</t>
  </si>
  <si>
    <t>M -&gt; S -&gt; N</t>
  </si>
  <si>
    <t>Nürnberg</t>
  </si>
  <si>
    <t>N -&gt; F -&gt; B</t>
  </si>
  <si>
    <t>N -&gt; F -&gt; D</t>
  </si>
  <si>
    <t>N -&gt; F -&gt; DO</t>
  </si>
  <si>
    <t>N -&gt; F</t>
  </si>
  <si>
    <t>N -&gt; F -&gt; H</t>
  </si>
  <si>
    <t>N -&gt; F -&gt; HH</t>
  </si>
  <si>
    <t>N -&gt; F -&gt; K</t>
  </si>
  <si>
    <t>N -&gt; L</t>
  </si>
  <si>
    <t>N -&gt; F -&gt; M</t>
  </si>
  <si>
    <t>N -&gt; S</t>
  </si>
  <si>
    <t>N -&gt; F -&gt; U</t>
  </si>
  <si>
    <t>N -&gt; L -&gt; B</t>
  </si>
  <si>
    <t>N -&gt; L -&gt; D</t>
  </si>
  <si>
    <t>N -&gt; L -&gt; H</t>
  </si>
  <si>
    <t>N -&gt; L -&gt; HH</t>
  </si>
  <si>
    <t>N -&gt; L -&gt; M</t>
  </si>
  <si>
    <t>N -&gt; L -&gt; U</t>
  </si>
  <si>
    <t>N -&gt; S -&gt; M</t>
  </si>
  <si>
    <t>Stuttgart</t>
  </si>
  <si>
    <t>S -&gt; F -&gt; B</t>
  </si>
  <si>
    <t>S -&gt; F -&gt; D</t>
  </si>
  <si>
    <t>S -&gt; F -&gt; DO</t>
  </si>
  <si>
    <t>S -&gt; F</t>
  </si>
  <si>
    <t>S -&gt; F -&gt; H</t>
  </si>
  <si>
    <t>S -&gt; F -&gt; HH</t>
  </si>
  <si>
    <t>S -&gt; F -&gt; K</t>
  </si>
  <si>
    <t>S -&gt; L</t>
  </si>
  <si>
    <t>S -&gt; M</t>
  </si>
  <si>
    <t>S -&gt; N</t>
  </si>
  <si>
    <t>S -&gt; F -&gt;  U</t>
  </si>
  <si>
    <t>S -&gt; L -&gt; B</t>
  </si>
  <si>
    <t>S -&gt; L -&gt; D</t>
  </si>
  <si>
    <t>S -&gt; L -&gt; H</t>
  </si>
  <si>
    <t>S -&gt; L -&gt; HH</t>
  </si>
  <si>
    <t>S -&gt; L -&gt; U</t>
  </si>
  <si>
    <t>S -&gt; M -&gt; D</t>
  </si>
  <si>
    <t>Ulm</t>
  </si>
  <si>
    <t>U -&gt; F -&gt; B</t>
  </si>
  <si>
    <t>U -&gt; F -&gt; D</t>
  </si>
  <si>
    <t>U -&gt; F -&gt; DO</t>
  </si>
  <si>
    <t>U -&gt; F</t>
  </si>
  <si>
    <t>U -&gt; F -&gt; H</t>
  </si>
  <si>
    <t>U -&gt; F -&gt; HH</t>
  </si>
  <si>
    <t>U -&gt; F -&gt; K</t>
  </si>
  <si>
    <t>U -&gt; L</t>
  </si>
  <si>
    <t>U -&gt; F -&gt; M</t>
  </si>
  <si>
    <t>U -&gt; F -&gt; N</t>
  </si>
  <si>
    <t>U -&gt; F -&gt; S</t>
  </si>
  <si>
    <t>U -&gt; L -&gt; B</t>
  </si>
  <si>
    <t>U -&gt; L -&gt; D</t>
  </si>
  <si>
    <t>U -&gt; L -&gt; H</t>
  </si>
  <si>
    <t>U -&gt; L -&gt; HH</t>
  </si>
  <si>
    <t>U -&gt; L -&gt; M</t>
  </si>
  <si>
    <t>U -&gt; L -&gt; N</t>
  </si>
  <si>
    <t>U -&gt; L -&gt; S</t>
  </si>
  <si>
    <t xml:space="preserve">M -- N -- S </t>
  </si>
  <si>
    <t xml:space="preserve">M -- U -- S </t>
  </si>
  <si>
    <t xml:space="preserve">F - L </t>
  </si>
  <si>
    <t xml:space="preserve">F -- M -- U </t>
  </si>
  <si>
    <t xml:space="preserve">F - U </t>
  </si>
  <si>
    <t xml:space="preserve">S -- U </t>
  </si>
  <si>
    <t>N -- F -- S</t>
  </si>
  <si>
    <t xml:space="preserve">N -- S </t>
  </si>
  <si>
    <t xml:space="preserve"> N - S</t>
  </si>
  <si>
    <t xml:space="preserve">L -- F -- S </t>
  </si>
  <si>
    <t xml:space="preserve">L -- N -- S </t>
  </si>
  <si>
    <t xml:space="preserve">S -- N </t>
  </si>
  <si>
    <t xml:space="preserve">L -- N -- S -- U </t>
  </si>
  <si>
    <t xml:space="preserve">L -- N -- M -- U </t>
  </si>
  <si>
    <t xml:space="preserve"> L - U </t>
  </si>
  <si>
    <t xml:space="preserve">U -- M </t>
  </si>
  <si>
    <t xml:space="preserve">L -- N -- S -- U -- M </t>
  </si>
  <si>
    <t xml:space="preserve">L -- N -- M </t>
  </si>
  <si>
    <t xml:space="preserve">L - M </t>
  </si>
  <si>
    <t xml:space="preserve">N -- M </t>
  </si>
  <si>
    <t xml:space="preserve">L -- F -- S -- U </t>
  </si>
  <si>
    <t>L -- F -- S</t>
  </si>
  <si>
    <t xml:space="preserve"> L - S</t>
  </si>
  <si>
    <t xml:space="preserve">L -- F -- N </t>
  </si>
  <si>
    <t xml:space="preserve">L -- N </t>
  </si>
  <si>
    <t xml:space="preserve"> L - N </t>
  </si>
  <si>
    <t>None</t>
  </si>
  <si>
    <t xml:space="preserve">L -- F -- M </t>
  </si>
  <si>
    <t xml:space="preserve"> L - M </t>
  </si>
  <si>
    <t xml:space="preserve">H -- B -- L </t>
  </si>
  <si>
    <t xml:space="preserve">H -- L </t>
  </si>
  <si>
    <t xml:space="preserve"> H - L </t>
  </si>
  <si>
    <t>H -- B -- HH</t>
  </si>
  <si>
    <t xml:space="preserve"> H - HH</t>
  </si>
  <si>
    <t>F -- K -- D -- HH</t>
  </si>
  <si>
    <t xml:space="preserve"> F - HH</t>
  </si>
  <si>
    <t xml:space="preserve">D -- HH </t>
  </si>
  <si>
    <t xml:space="preserve"> D - HH</t>
  </si>
  <si>
    <t xml:space="preserve">H -- HH </t>
  </si>
  <si>
    <t xml:space="preserve"> F - U</t>
  </si>
  <si>
    <t>%</t>
  </si>
  <si>
    <t xml:space="preserve">F -- N -- S </t>
  </si>
  <si>
    <t xml:space="preserve">F -- S </t>
  </si>
  <si>
    <t xml:space="preserve"> F - S</t>
  </si>
  <si>
    <t xml:space="preserve">Total </t>
  </si>
  <si>
    <t xml:space="preserve">F - N </t>
  </si>
  <si>
    <t xml:space="preserve">F -- S -- N </t>
  </si>
  <si>
    <t xml:space="preserve">F -- N </t>
  </si>
  <si>
    <t xml:space="preserve"> F - N </t>
  </si>
  <si>
    <t xml:space="preserve">F -- N -- M </t>
  </si>
  <si>
    <t xml:space="preserve">F -- M </t>
  </si>
  <si>
    <t xml:space="preserve"> F - M </t>
  </si>
  <si>
    <t xml:space="preserve">D -- K -- F -- N -- M </t>
  </si>
  <si>
    <t xml:space="preserve">D -- K -- F -- M </t>
  </si>
  <si>
    <t xml:space="preserve"> D - M </t>
  </si>
  <si>
    <t xml:space="preserve">DO - F </t>
  </si>
  <si>
    <t xml:space="preserve">F -- N -- L </t>
  </si>
  <si>
    <t xml:space="preserve">F -- L </t>
  </si>
  <si>
    <t xml:space="preserve"> F - L </t>
  </si>
  <si>
    <t xml:space="preserve">F - H </t>
  </si>
  <si>
    <t xml:space="preserve">D -- DO -- H -- L </t>
  </si>
  <si>
    <t xml:space="preserve">D --- K -- F -- L </t>
  </si>
  <si>
    <t xml:space="preserve"> D - L </t>
  </si>
  <si>
    <t>Extra Capacity Needed %</t>
  </si>
  <si>
    <t>Extra Capacity Needed(G)</t>
  </si>
  <si>
    <t>IP Links</t>
  </si>
  <si>
    <t xml:space="preserve">B -- H -- F </t>
  </si>
  <si>
    <t>B --  L --  F</t>
  </si>
  <si>
    <t xml:space="preserve">B - F </t>
  </si>
  <si>
    <t xml:space="preserve">F -- H -- DO -- D -- K </t>
  </si>
  <si>
    <t xml:space="preserve">F - K </t>
  </si>
  <si>
    <t xml:space="preserve">H - K </t>
  </si>
  <si>
    <t>DO -- H -- F</t>
  </si>
  <si>
    <t xml:space="preserve"> DO - F </t>
  </si>
  <si>
    <t xml:space="preserve">D -- DO -- H -- F -- M </t>
  </si>
  <si>
    <t xml:space="preserve"> D - M</t>
  </si>
  <si>
    <t xml:space="preserve">D - L </t>
  </si>
  <si>
    <t>D -- DO -- H -- F</t>
  </si>
  <si>
    <t>K -- F</t>
  </si>
  <si>
    <t>F -- K -- D -- DO -- H -- HH</t>
  </si>
  <si>
    <t xml:space="preserve">F -- K -- D -- DO -- H </t>
  </si>
  <si>
    <t xml:space="preserve">F -- H </t>
  </si>
  <si>
    <t xml:space="preserve">H -- F </t>
  </si>
  <si>
    <t xml:space="preserve">None </t>
  </si>
  <si>
    <t xml:space="preserve">DO -- K </t>
  </si>
  <si>
    <t xml:space="preserve">H -- F -- K </t>
  </si>
  <si>
    <t xml:space="preserve">H -- DO -- D -- K </t>
  </si>
  <si>
    <t xml:space="preserve">DO -- D -- K -- F -- H </t>
  </si>
  <si>
    <t xml:space="preserve">DO -- H </t>
  </si>
  <si>
    <t xml:space="preserve"> DO - H </t>
  </si>
  <si>
    <t xml:space="preserve">D - HH </t>
  </si>
  <si>
    <t>D -- K -- F -- H</t>
  </si>
  <si>
    <t>Total</t>
  </si>
  <si>
    <t xml:space="preserve">H -- DO -- K </t>
  </si>
  <si>
    <t xml:space="preserve"> H - K </t>
  </si>
  <si>
    <t>DO -- K -- F</t>
  </si>
  <si>
    <t xml:space="preserve">D --DO -- K -- F -- M </t>
  </si>
  <si>
    <t>D --DO -- K</t>
  </si>
  <si>
    <t xml:space="preserve">D -- K </t>
  </si>
  <si>
    <t>D -- DO -- K -- F</t>
  </si>
  <si>
    <t xml:space="preserve"> D - F</t>
  </si>
  <si>
    <t>D -- HH</t>
  </si>
  <si>
    <t>D -- K -- DO -- H</t>
  </si>
  <si>
    <t>D -- K -- DO</t>
  </si>
  <si>
    <t>HH -- H -- L</t>
  </si>
  <si>
    <t>B -- H -- L</t>
  </si>
  <si>
    <t>B -- H -- F</t>
  </si>
  <si>
    <t xml:space="preserve"> B - F</t>
  </si>
  <si>
    <t xml:space="preserve">B -- L </t>
  </si>
  <si>
    <t>B -- H -- HH</t>
  </si>
  <si>
    <t>B -- HH -- H</t>
  </si>
  <si>
    <t xml:space="preserve">B -- H </t>
  </si>
  <si>
    <t xml:space="preserve"> B - H</t>
  </si>
  <si>
    <t>B  -- H</t>
  </si>
  <si>
    <t>Extra Capacity Required (G)</t>
  </si>
  <si>
    <t>Links Requiring Extra Capacity</t>
  </si>
  <si>
    <t>alpha</t>
  </si>
  <si>
    <t>Extra capacity required (G)</t>
  </si>
  <si>
    <t>Links requiring Extra capacity</t>
  </si>
  <si>
    <t>Free Capacity (G)</t>
  </si>
  <si>
    <t xml:space="preserve">Traffic carried (G) </t>
  </si>
  <si>
    <t xml:space="preserve">Optical Path taken by IP link </t>
  </si>
  <si>
    <t>Traffic carried (G)</t>
  </si>
  <si>
    <t>Optical Path taken by IP link</t>
  </si>
  <si>
    <t>IP links carried</t>
  </si>
  <si>
    <t>Optical Fibre</t>
  </si>
  <si>
    <t>Faiure Mode</t>
  </si>
  <si>
    <t xml:space="preserve">Normal Mode </t>
  </si>
  <si>
    <t>F - L, F - N, L - S</t>
  </si>
  <si>
    <t>Conclusion</t>
  </si>
  <si>
    <t>No</t>
  </si>
  <si>
    <t>Amount of Extra Capacity Required (G)</t>
  </si>
  <si>
    <t>Reroute required?</t>
  </si>
  <si>
    <t>Link Utilization (%)</t>
  </si>
  <si>
    <t>Scale</t>
  </si>
  <si>
    <t>Traffic Carried After Scale (G)</t>
  </si>
  <si>
    <t>Traffic After Scale (G)</t>
  </si>
  <si>
    <t>D-L, DO-H</t>
  </si>
  <si>
    <t>F - L , F-S, L - N, N - S</t>
  </si>
  <si>
    <t>D -H</t>
  </si>
  <si>
    <t xml:space="preserve">F -H </t>
  </si>
  <si>
    <t xml:space="preserve">H -K </t>
  </si>
  <si>
    <t>Yes</t>
  </si>
  <si>
    <t>M-S, N-S</t>
  </si>
  <si>
    <t xml:space="preserve">H - L </t>
  </si>
  <si>
    <t xml:space="preserve">D - L , DO - H </t>
  </si>
  <si>
    <t xml:space="preserve">D - H , H - K </t>
  </si>
  <si>
    <t>F - L , F - S, L - N, N - S</t>
  </si>
  <si>
    <t>DO-F, DO-H,H-HH, H-L</t>
  </si>
  <si>
    <t>B-H, D-F, D-H, H-K</t>
  </si>
  <si>
    <t>59, 24, 47 , 40</t>
  </si>
  <si>
    <t>37, 43 , 106 ,130</t>
  </si>
  <si>
    <t>161, 345</t>
  </si>
  <si>
    <t>F-H, H-K, L-M</t>
  </si>
  <si>
    <t>747, 240, 17.5</t>
  </si>
  <si>
    <t>594, 43, 359</t>
  </si>
  <si>
    <t>L-U, M - S, N - S</t>
  </si>
  <si>
    <t>268, 358, 350</t>
  </si>
  <si>
    <t>108, 268</t>
  </si>
  <si>
    <t>F - L , L-U</t>
  </si>
  <si>
    <t>H-L</t>
  </si>
  <si>
    <t>D-L</t>
  </si>
  <si>
    <t>L-N</t>
  </si>
  <si>
    <t>F -L , F-M, F-N, L-S</t>
  </si>
  <si>
    <t>330, 51, 106, 525</t>
  </si>
  <si>
    <t>450, 413</t>
  </si>
  <si>
    <t>Capacity per LP accor to reach (G)</t>
  </si>
  <si>
    <t># of LP's required</t>
  </si>
  <si>
    <t>Cpacity per LP</t>
  </si>
  <si>
    <t>New Extra Cap (G)</t>
  </si>
  <si>
    <t>Optimization Technique</t>
  </si>
  <si>
    <t>Extra Capacity Needed (G)</t>
  </si>
  <si>
    <t xml:space="preserve">ECMP </t>
  </si>
  <si>
    <t>Path (Only Shortest)</t>
  </si>
  <si>
    <t xml:space="preserve">Path  </t>
  </si>
  <si>
    <t>LFM</t>
  </si>
  <si>
    <t>Extra # of Trans required</t>
  </si>
  <si>
    <t>Extra Cap(G)</t>
  </si>
  <si>
    <t xml:space="preserve">D - F </t>
  </si>
  <si>
    <t xml:space="preserve">B - L </t>
  </si>
  <si>
    <t xml:space="preserve">alpha 0.6 chosen </t>
  </si>
  <si>
    <t>Cap Installed Directly on Failed Link</t>
  </si>
  <si>
    <t xml:space="preserve">F - M </t>
  </si>
  <si>
    <t>U</t>
  </si>
  <si>
    <t>B-H, D - F, D - H, H - HH</t>
  </si>
  <si>
    <t>71, 36, 7.5, 118</t>
  </si>
  <si>
    <t xml:space="preserve">DO - F, DO - H,  H - K, F - K, H - L </t>
  </si>
  <si>
    <t>49, 55.5, 52, 12.5, 142</t>
  </si>
  <si>
    <t>363, 407.5</t>
  </si>
  <si>
    <t>F - H, F - HH</t>
  </si>
  <si>
    <t>970, 26.5</t>
  </si>
  <si>
    <t>27.5, 298</t>
  </si>
  <si>
    <t>F - L, L - M</t>
  </si>
  <si>
    <t>10, 116</t>
  </si>
  <si>
    <t>705, 100, 416</t>
  </si>
  <si>
    <t xml:space="preserve">M - S, N - S, F - M, L - U </t>
  </si>
  <si>
    <t xml:space="preserve"> 415, 407, 44, 323</t>
  </si>
  <si>
    <t xml:space="preserve">B - H </t>
  </si>
  <si>
    <t xml:space="preserve">D - H </t>
  </si>
  <si>
    <t xml:space="preserve">H - HH </t>
  </si>
  <si>
    <t xml:space="preserve">DO - H </t>
  </si>
  <si>
    <t xml:space="preserve">L - N </t>
  </si>
  <si>
    <t xml:space="preserve">L - U </t>
  </si>
  <si>
    <t>Node</t>
  </si>
  <si>
    <t>100G</t>
  </si>
  <si>
    <t>150G</t>
  </si>
  <si>
    <t>200G</t>
  </si>
  <si>
    <t>250G</t>
  </si>
  <si>
    <t>400G</t>
  </si>
  <si>
    <t>Transponder Type</t>
  </si>
  <si>
    <t>Bit Rate (Gbps)</t>
  </si>
  <si>
    <t>Cost (cu)</t>
  </si>
  <si>
    <t># of Trans.</t>
  </si>
  <si>
    <t>H-HH</t>
  </si>
  <si>
    <t>2 (ignored)</t>
  </si>
  <si>
    <t>for 0.5</t>
  </si>
  <si>
    <t>306 (assumed 300)</t>
  </si>
  <si>
    <t>Selective 0&lt;alpha&lt;1</t>
  </si>
  <si>
    <t>Selective alpha = 0  (reroutes every multiple-pathdemand on failed link )</t>
  </si>
  <si>
    <t>357, 96, 405(taken as 400), 280</t>
  </si>
  <si>
    <t>D - H, DO - F, DO - H, H - HH</t>
  </si>
  <si>
    <t>33, 50, 56, 120</t>
  </si>
  <si>
    <t xml:space="preserve">B - H, D- F , F-K, H - L </t>
  </si>
  <si>
    <t>70, 36, 15, 200</t>
  </si>
  <si>
    <t>F - L, F-S, L-N, N-S</t>
  </si>
  <si>
    <t>470, 215, 700, 575</t>
  </si>
  <si>
    <t>F -L, F-M, F-N, L-S</t>
  </si>
  <si>
    <t>720, 20, 100, 530</t>
  </si>
  <si>
    <t>L - U, M-S, N-S</t>
  </si>
  <si>
    <t>410, 450, 410</t>
  </si>
  <si>
    <t>Not included</t>
  </si>
  <si>
    <t>F-H</t>
  </si>
  <si>
    <t>F-HH</t>
  </si>
  <si>
    <t>H-K</t>
  </si>
  <si>
    <t>D-L, H-L</t>
  </si>
  <si>
    <t>590, 32</t>
  </si>
  <si>
    <t>DO-H, L-M</t>
  </si>
  <si>
    <t>480, 255</t>
  </si>
  <si>
    <t>465, 204(taken as 200), 512, 548</t>
  </si>
  <si>
    <t>Approaches</t>
  </si>
  <si>
    <t>NoRerouting</t>
  </si>
  <si>
    <t>ES-EP</t>
  </si>
  <si>
    <t>US-EP</t>
  </si>
  <si>
    <t>US</t>
  </si>
  <si>
    <t xml:space="preserve">Selective 0&lt;alpha&lt;1 </t>
  </si>
  <si>
    <t>Multiple-path Reroute</t>
  </si>
  <si>
    <t>Shut-off lambda</t>
  </si>
  <si>
    <t>Shut-off lambda  (reroutes every multiple-pathdemand on affected link )</t>
  </si>
  <si>
    <t>BDF</t>
  </si>
  <si>
    <t>SDF</t>
  </si>
  <si>
    <t>Single-hop Reroute</t>
  </si>
  <si>
    <t>C_failure (Gbps)</t>
  </si>
  <si>
    <t>CAPEX (SCU)</t>
  </si>
  <si>
    <t>Working capacity of IP link e [Gbit/s]:</t>
  </si>
  <si>
    <t>Nominal capacity of IP link e in failure free mode [Gbit/s]:</t>
  </si>
  <si>
    <t>Spare capacity of IP link e [Gbit/s]:</t>
  </si>
  <si>
    <t>Flow Thinning with Modular Capacities</t>
  </si>
  <si>
    <t>300G</t>
  </si>
  <si>
    <t>Bit Rate (gbps)</t>
  </si>
  <si>
    <t>Affine Flow Thinning</t>
  </si>
  <si>
    <t>Flow Thinning</t>
  </si>
  <si>
    <t>Affine Flow Thinning with modular capacities</t>
  </si>
  <si>
    <t>Flow Thinning with modular capacities</t>
  </si>
  <si>
    <t>Shut-off lambda - Working Capacity</t>
  </si>
  <si>
    <t>Shut-off lambda - Total Capacity</t>
  </si>
  <si>
    <t>Shut-off lambda - Spare Capacity</t>
  </si>
  <si>
    <t>Multiple-path Reroute - Spare Capacity</t>
  </si>
  <si>
    <t>Multiple-path Reroute - Working Capacity</t>
  </si>
  <si>
    <t>Multiple-path Reroute - Total Capacity</t>
  </si>
  <si>
    <t>Selective 0&lt;alpha&lt;1 - Spare Capacity</t>
  </si>
  <si>
    <t>Selective 0&lt;alpha&lt;1 - Working Capacity</t>
  </si>
  <si>
    <t>Selective 0&lt;alpha&lt;1 - Total Capacity</t>
  </si>
  <si>
    <t>BDF - Spare Capacity</t>
  </si>
  <si>
    <t>BDF - Working Capacity</t>
  </si>
  <si>
    <t>BDF - Total Capacity</t>
  </si>
  <si>
    <t>SDF - Working Capacity</t>
  </si>
  <si>
    <t>SDF - Spare Capacity</t>
  </si>
  <si>
    <t>SDF - Total Capacity</t>
  </si>
  <si>
    <t>Single-hop Reroute - Spare Capacity</t>
  </si>
  <si>
    <t>Single-hop Reroute - Working Capacity</t>
  </si>
  <si>
    <t>Single-hop Reroute - Total Capacity</t>
  </si>
  <si>
    <t>No-Reroute - Spare Capacity</t>
  </si>
  <si>
    <t>No-Reroute - Working Capacity</t>
  </si>
  <si>
    <t>No-Reroute - Total Capacity</t>
  </si>
  <si>
    <t>ES-EP - Spare Capacity</t>
  </si>
  <si>
    <t>ES-EP - Working Capacity</t>
  </si>
  <si>
    <t>ES-EP - Total Capacity</t>
  </si>
  <si>
    <t>US-EP - Spare Capacity</t>
  </si>
  <si>
    <t>US-EP - Working Capacity</t>
  </si>
  <si>
    <t>US-EP - Total Capacity</t>
  </si>
  <si>
    <t>US-UP(2-shortest) - Spare Capacity</t>
  </si>
  <si>
    <t>US-UP - Working Capacity</t>
  </si>
  <si>
    <t>US-UP - Total Capacity</t>
  </si>
  <si>
    <t>US - Spare Capacity</t>
  </si>
  <si>
    <t>US - Working Capacity</t>
  </si>
  <si>
    <t>US - Total Capacity</t>
  </si>
  <si>
    <t xml:space="preserve">Flow Thinning </t>
  </si>
  <si>
    <t>Total:</t>
  </si>
  <si>
    <t>Flow Thinning with Modular Capacities - Total Capacity</t>
  </si>
  <si>
    <t xml:space="preserve">Affine Flow Thinning </t>
  </si>
  <si>
    <t>Affine Flow Thinning with modular capacities - Total Capacity</t>
  </si>
  <si>
    <t>Working Capacity (Gbps)</t>
  </si>
  <si>
    <t>Spare Capacity (Gbps)</t>
  </si>
  <si>
    <t>Total Capacity (Gbps)</t>
  </si>
  <si>
    <t>ES-ES</t>
  </si>
  <si>
    <t>US-UP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</si>
</sst>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ele-Grotesk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Arial"/>
      <family val="2"/>
    </font>
    <font>
      <b/>
      <sz val="8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8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8" fillId="0" borderId="0"/>
    <xf numFmtId="43" fontId="19" fillId="0" borderId="0" applyFont="0" applyFill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</cellStyleXfs>
  <cellXfs count="63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readingOrder="2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8" fillId="0" borderId="0" xfId="1"/>
    <xf numFmtId="0" fontId="9" fillId="0" borderId="0" xfId="1" applyFont="1"/>
    <xf numFmtId="0" fontId="11" fillId="0" borderId="0" xfId="1" applyFont="1"/>
    <xf numFmtId="0" fontId="11" fillId="0" borderId="0" xfId="1" applyFont="1" applyFill="1" applyBorder="1" applyAlignment="1">
      <alignment horizontal="center" wrapText="1"/>
    </xf>
    <xf numFmtId="0" fontId="15" fillId="0" borderId="0" xfId="1" applyFont="1" applyBorder="1" applyAlignment="1">
      <alignment horizontal="center" wrapText="1"/>
    </xf>
    <xf numFmtId="0" fontId="15" fillId="0" borderId="5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5" fillId="0" borderId="4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14" fillId="0" borderId="4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2" fillId="0" borderId="0" xfId="1" applyFont="1"/>
    <xf numFmtId="0" fontId="11" fillId="0" borderId="0" xfId="1" applyFont="1" applyBorder="1"/>
    <xf numFmtId="0" fontId="9" fillId="0" borderId="0" xfId="1" applyFont="1" applyBorder="1"/>
    <xf numFmtId="0" fontId="11" fillId="0" borderId="0" xfId="1" applyFont="1" applyBorder="1" applyAlignment="1">
      <alignment wrapText="1"/>
    </xf>
    <xf numFmtId="0" fontId="15" fillId="0" borderId="0" xfId="1" applyFont="1" applyFill="1" applyBorder="1" applyAlignment="1">
      <alignment horizontal="center" wrapText="1"/>
    </xf>
    <xf numFmtId="0" fontId="15" fillId="0" borderId="5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11" fillId="2" borderId="2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1" fontId="11" fillId="0" borderId="0" xfId="1" applyNumberFormat="1" applyFont="1" applyBorder="1"/>
    <xf numFmtId="0" fontId="11" fillId="0" borderId="4" xfId="1" applyFont="1" applyFill="1" applyBorder="1" applyAlignment="1">
      <alignment horizontal="center" wrapText="1"/>
    </xf>
    <xf numFmtId="0" fontId="11" fillId="0" borderId="5" xfId="1" applyFont="1" applyFill="1" applyBorder="1" applyAlignment="1">
      <alignment horizontal="center" wrapText="1"/>
    </xf>
    <xf numFmtId="0" fontId="11" fillId="2" borderId="4" xfId="1" applyFont="1" applyFill="1" applyBorder="1" applyAlignment="1">
      <alignment horizontal="center" wrapText="1"/>
    </xf>
    <xf numFmtId="0" fontId="11" fillId="2" borderId="0" xfId="1" applyFont="1" applyFill="1" applyBorder="1" applyAlignment="1">
      <alignment horizontal="center" wrapText="1"/>
    </xf>
    <xf numFmtId="0" fontId="11" fillId="2" borderId="5" xfId="1" applyFont="1" applyFill="1" applyBorder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0" borderId="7" xfId="1" applyFont="1" applyBorder="1" applyAlignment="1">
      <alignment horizontal="center" wrapText="1"/>
    </xf>
    <xf numFmtId="0" fontId="11" fillId="0" borderId="8" xfId="1" applyFont="1" applyBorder="1" applyAlignment="1">
      <alignment horizontal="center" wrapText="1"/>
    </xf>
    <xf numFmtId="0" fontId="16" fillId="0" borderId="0" xfId="1" applyFont="1" applyAlignment="1"/>
    <xf numFmtId="0" fontId="9" fillId="0" borderId="0" xfId="1" applyFont="1" applyFill="1"/>
    <xf numFmtId="0" fontId="10" fillId="0" borderId="0" xfId="1" applyFont="1" applyFill="1" applyBorder="1" applyAlignment="1">
      <alignment horizontal="right"/>
    </xf>
    <xf numFmtId="0" fontId="17" fillId="0" borderId="0" xfId="1" applyFont="1" applyFill="1" applyBorder="1" applyAlignment="1">
      <alignment horizontal="right"/>
    </xf>
    <xf numFmtId="0" fontId="10" fillId="0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0" fontId="5" fillId="0" borderId="0" xfId="0" applyFont="1" applyAlignment="1"/>
    <xf numFmtId="0" fontId="5" fillId="0" borderId="4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9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/>
    </xf>
    <xf numFmtId="0" fontId="5" fillId="7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28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49" xfId="0" applyFont="1" applyFill="1" applyBorder="1" applyAlignment="1">
      <alignment horizontal="center"/>
    </xf>
    <xf numFmtId="0" fontId="5" fillId="4" borderId="50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4" borderId="47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56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4" fillId="7" borderId="57" xfId="0" applyFont="1" applyFill="1" applyBorder="1" applyAlignment="1">
      <alignment horizontal="center"/>
    </xf>
    <xf numFmtId="0" fontId="4" fillId="7" borderId="58" xfId="0" applyFont="1" applyFill="1" applyBorder="1" applyAlignment="1">
      <alignment horizontal="center"/>
    </xf>
    <xf numFmtId="0" fontId="4" fillId="7" borderId="59" xfId="0" applyFont="1" applyFill="1" applyBorder="1" applyAlignment="1">
      <alignment horizontal="center"/>
    </xf>
    <xf numFmtId="0" fontId="4" fillId="3" borderId="6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6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6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59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5" fillId="4" borderId="25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6" borderId="33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5" fillId="6" borderId="38" xfId="0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11" borderId="27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14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8" xfId="0" applyFont="1" applyFill="1" applyBorder="1" applyAlignment="1">
      <alignment horizontal="center"/>
    </xf>
    <xf numFmtId="0" fontId="5" fillId="4" borderId="64" xfId="0" applyFont="1" applyFill="1" applyBorder="1" applyAlignment="1">
      <alignment horizontal="center"/>
    </xf>
    <xf numFmtId="0" fontId="15" fillId="4" borderId="64" xfId="0" applyFont="1" applyFill="1" applyBorder="1" applyAlignment="1">
      <alignment horizontal="center"/>
    </xf>
    <xf numFmtId="0" fontId="5" fillId="10" borderId="27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/>
    </xf>
    <xf numFmtId="0" fontId="7" fillId="4" borderId="64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0" borderId="0" xfId="0" applyFont="1" applyBorder="1" applyAlignment="1"/>
    <xf numFmtId="0" fontId="15" fillId="4" borderId="65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5" fillId="4" borderId="5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3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9" borderId="15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0" fillId="0" borderId="0" xfId="0" applyFill="1" applyBorder="1"/>
    <xf numFmtId="0" fontId="5" fillId="0" borderId="38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7" fillId="0" borderId="1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15" fillId="4" borderId="39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0" borderId="28" xfId="0" applyFont="1" applyFill="1" applyBorder="1" applyAlignment="1">
      <alignment horizontal="center"/>
    </xf>
    <xf numFmtId="0" fontId="5" fillId="10" borderId="31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15" fillId="12" borderId="51" xfId="0" applyFont="1" applyFill="1" applyBorder="1" applyAlignment="1">
      <alignment horizontal="center"/>
    </xf>
    <xf numFmtId="0" fontId="5" fillId="12" borderId="56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5" fillId="12" borderId="17" xfId="0" applyFont="1" applyFill="1" applyBorder="1" applyAlignment="1">
      <alignment horizontal="center"/>
    </xf>
    <xf numFmtId="0" fontId="15" fillId="4" borderId="56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7" xfId="0" applyFont="1" applyBorder="1"/>
    <xf numFmtId="0" fontId="5" fillId="0" borderId="10" xfId="0" applyFont="1" applyBorder="1"/>
    <xf numFmtId="0" fontId="5" fillId="0" borderId="0" xfId="0" applyFont="1" applyFill="1" applyBorder="1" applyAlignment="1"/>
    <xf numFmtId="0" fontId="4" fillId="0" borderId="7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5" borderId="49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/>
    </xf>
    <xf numFmtId="0" fontId="5" fillId="5" borderId="47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4" fillId="3" borderId="57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4" fillId="0" borderId="59" xfId="0" applyFont="1" applyFill="1" applyBorder="1" applyAlignment="1">
      <alignment horizontal="center"/>
    </xf>
    <xf numFmtId="0" fontId="5" fillId="0" borderId="59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18" fillId="0" borderId="59" xfId="0" applyFont="1" applyFill="1" applyBorder="1" applyAlignment="1">
      <alignment horizontal="center"/>
    </xf>
    <xf numFmtId="0" fontId="4" fillId="0" borderId="58" xfId="0" applyFont="1" applyFill="1" applyBorder="1" applyAlignment="1"/>
    <xf numFmtId="0" fontId="4" fillId="0" borderId="58" xfId="0" applyFont="1" applyFill="1" applyBorder="1" applyAlignment="1">
      <alignment horizontal="center"/>
    </xf>
    <xf numFmtId="0" fontId="4" fillId="0" borderId="57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2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0" borderId="19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3" borderId="67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/>
    </xf>
    <xf numFmtId="0" fontId="5" fillId="10" borderId="22" xfId="0" applyFont="1" applyFill="1" applyBorder="1"/>
    <xf numFmtId="0" fontId="5" fillId="10" borderId="19" xfId="0" applyFont="1" applyFill="1" applyBorder="1"/>
    <xf numFmtId="0" fontId="5" fillId="10" borderId="28" xfId="0" applyFont="1" applyFill="1" applyBorder="1"/>
    <xf numFmtId="0" fontId="5" fillId="10" borderId="27" xfId="0" applyFont="1" applyFill="1" applyBorder="1"/>
    <xf numFmtId="0" fontId="5" fillId="0" borderId="0" xfId="0" applyFont="1" applyFill="1" applyBorder="1"/>
    <xf numFmtId="0" fontId="5" fillId="10" borderId="26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15" fillId="4" borderId="68" xfId="0" applyFont="1" applyFill="1" applyBorder="1" applyAlignment="1">
      <alignment horizontal="center"/>
    </xf>
    <xf numFmtId="0" fontId="5" fillId="10" borderId="2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16" borderId="70" xfId="6" applyBorder="1" applyAlignment="1">
      <alignment horizontal="center"/>
    </xf>
    <xf numFmtId="0" fontId="0" fillId="16" borderId="70" xfId="6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19" xfId="0" applyBorder="1"/>
    <xf numFmtId="0" fontId="0" fillId="0" borderId="71" xfId="0" applyBorder="1"/>
    <xf numFmtId="0" fontId="0" fillId="0" borderId="0" xfId="0" applyBorder="1"/>
    <xf numFmtId="2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0" borderId="10" xfId="0" applyBorder="1"/>
    <xf numFmtId="0" fontId="4" fillId="0" borderId="6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5" fillId="0" borderId="58" xfId="0" applyNumberFormat="1" applyFont="1" applyFill="1" applyBorder="1" applyAlignment="1">
      <alignment horizontal="center"/>
    </xf>
    <xf numFmtId="1" fontId="4" fillId="0" borderId="59" xfId="0" applyNumberFormat="1" applyFont="1" applyFill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5" fillId="0" borderId="66" xfId="0" applyNumberFormat="1" applyFont="1" applyFill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4" borderId="60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3" borderId="2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7" borderId="54" xfId="0" applyFont="1" applyFill="1" applyBorder="1" applyAlignment="1">
      <alignment horizontal="center"/>
    </xf>
    <xf numFmtId="0" fontId="5" fillId="7" borderId="53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26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10" borderId="22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27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4" fillId="0" borderId="2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43" fontId="25" fillId="15" borderId="72" xfId="5" applyNumberFormat="1" applyFont="1" applyBorder="1" applyAlignment="1">
      <alignment horizontal="center" wrapText="1"/>
    </xf>
    <xf numFmtId="43" fontId="25" fillId="15" borderId="58" xfId="5" applyNumberFormat="1" applyFont="1" applyBorder="1" applyAlignment="1">
      <alignment horizontal="center" wrapText="1"/>
    </xf>
    <xf numFmtId="0" fontId="25" fillId="15" borderId="72" xfId="5" applyFont="1" applyBorder="1" applyAlignment="1">
      <alignment horizont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43" fontId="20" fillId="13" borderId="59" xfId="3" applyNumberFormat="1" applyBorder="1"/>
    <xf numFmtId="1" fontId="0" fillId="0" borderId="59" xfId="0" applyNumberFormat="1" applyBorder="1" applyAlignment="1">
      <alignment horizontal="center"/>
    </xf>
    <xf numFmtId="1" fontId="26" fillId="0" borderId="59" xfId="2" applyNumberFormat="1" applyFont="1" applyFill="1" applyBorder="1" applyAlignment="1">
      <alignment horizontal="center"/>
    </xf>
    <xf numFmtId="43" fontId="20" fillId="13" borderId="61" xfId="3" applyNumberFormat="1" applyBorder="1"/>
    <xf numFmtId="1" fontId="0" fillId="0" borderId="61" xfId="0" applyNumberFormat="1" applyBorder="1" applyAlignment="1">
      <alignment horizontal="center"/>
    </xf>
    <xf numFmtId="1" fontId="26" fillId="0" borderId="61" xfId="2" applyNumberFormat="1" applyFont="1" applyFill="1" applyBorder="1" applyAlignment="1">
      <alignment horizontal="center"/>
    </xf>
    <xf numFmtId="0" fontId="1" fillId="0" borderId="73" xfId="0" applyFont="1" applyBorder="1"/>
    <xf numFmtId="1" fontId="27" fillId="0" borderId="47" xfId="2" applyNumberFormat="1" applyFont="1" applyFill="1" applyBorder="1" applyAlignment="1">
      <alignment horizontal="center"/>
    </xf>
    <xf numFmtId="1" fontId="1" fillId="0" borderId="38" xfId="0" applyNumberFormat="1" applyFont="1" applyBorder="1" applyAlignment="1">
      <alignment horizont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15" borderId="74" xfId="5" applyFont="1" applyBorder="1" applyAlignment="1">
      <alignment horizontal="center" wrapText="1"/>
    </xf>
    <xf numFmtId="0" fontId="25" fillId="15" borderId="75" xfId="5" applyFont="1" applyBorder="1" applyAlignment="1">
      <alignment horizontal="center" wrapText="1"/>
    </xf>
    <xf numFmtId="0" fontId="25" fillId="15" borderId="75" xfId="5" applyFont="1" applyFill="1" applyBorder="1" applyAlignment="1">
      <alignment horizontal="center" wrapText="1"/>
    </xf>
    <xf numFmtId="0" fontId="25" fillId="15" borderId="76" xfId="5" applyFont="1" applyBorder="1" applyAlignment="1">
      <alignment horizontal="center" wrapText="1"/>
    </xf>
    <xf numFmtId="0" fontId="4" fillId="0" borderId="77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20" fillId="13" borderId="66" xfId="3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4" fillId="0" borderId="80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18" fillId="0" borderId="81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/>
    </xf>
    <xf numFmtId="0" fontId="5" fillId="0" borderId="59" xfId="0" applyFont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/>
    </xf>
    <xf numFmtId="0" fontId="20" fillId="13" borderId="59" xfId="3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83" xfId="0" applyFont="1" applyFill="1" applyBorder="1" applyAlignment="1">
      <alignment horizontal="center"/>
    </xf>
    <xf numFmtId="0" fontId="5" fillId="0" borderId="59" xfId="0" applyFont="1" applyFill="1" applyBorder="1" applyAlignment="1">
      <alignment horizontal="center" vertical="center"/>
    </xf>
    <xf numFmtId="1" fontId="5" fillId="0" borderId="59" xfId="0" applyNumberFormat="1" applyFont="1" applyFill="1" applyBorder="1" applyAlignment="1">
      <alignment horizontal="center"/>
    </xf>
    <xf numFmtId="0" fontId="5" fillId="0" borderId="84" xfId="0" applyFont="1" applyFill="1" applyBorder="1" applyAlignment="1">
      <alignment horizontal="center"/>
    </xf>
    <xf numFmtId="0" fontId="5" fillId="0" borderId="85" xfId="0" applyFont="1" applyFill="1" applyBorder="1" applyAlignment="1">
      <alignment horizontal="center"/>
    </xf>
    <xf numFmtId="0" fontId="4" fillId="0" borderId="81" xfId="0" applyFont="1" applyFill="1" applyBorder="1" applyAlignment="1">
      <alignment horizontal="center"/>
    </xf>
    <xf numFmtId="0" fontId="4" fillId="0" borderId="82" xfId="0" applyFont="1" applyFill="1" applyBorder="1" applyAlignment="1">
      <alignment horizontal="center" vertical="center"/>
    </xf>
    <xf numFmtId="1" fontId="4" fillId="0" borderId="82" xfId="0" applyNumberFormat="1" applyFont="1" applyFill="1" applyBorder="1" applyAlignment="1">
      <alignment horizontal="center"/>
    </xf>
    <xf numFmtId="0" fontId="4" fillId="0" borderId="67" xfId="0" applyFont="1" applyFill="1" applyBorder="1" applyAlignment="1">
      <alignment horizontal="center"/>
    </xf>
    <xf numFmtId="0" fontId="5" fillId="0" borderId="86" xfId="0" applyFont="1" applyFill="1" applyBorder="1" applyAlignment="1">
      <alignment horizontal="center"/>
    </xf>
    <xf numFmtId="0" fontId="4" fillId="0" borderId="87" xfId="0" applyFont="1" applyFill="1" applyBorder="1" applyAlignment="1">
      <alignment horizontal="center"/>
    </xf>
    <xf numFmtId="0" fontId="20" fillId="13" borderId="61" xfId="3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61" xfId="0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4" fillId="0" borderId="73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25" fillId="15" borderId="74" xfId="5" applyFont="1" applyBorder="1" applyAlignment="1">
      <alignment horizontal="center" vertical="center" wrapText="1"/>
    </xf>
    <xf numFmtId="0" fontId="25" fillId="15" borderId="75" xfId="5" applyFont="1" applyBorder="1" applyAlignment="1">
      <alignment horizontal="center" vertical="center" wrapText="1"/>
    </xf>
    <xf numFmtId="0" fontId="25" fillId="15" borderId="75" xfId="5" applyFont="1" applyFill="1" applyBorder="1" applyAlignment="1">
      <alignment horizontal="center" vertical="center" wrapText="1"/>
    </xf>
    <xf numFmtId="0" fontId="25" fillId="15" borderId="76" xfId="5" applyFont="1" applyBorder="1" applyAlignment="1">
      <alignment horizontal="center" vertical="center" wrapText="1"/>
    </xf>
    <xf numFmtId="1" fontId="19" fillId="0" borderId="5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1" fontId="26" fillId="0" borderId="59" xfId="1" applyNumberFormat="1" applyFont="1" applyBorder="1" applyAlignment="1">
      <alignment horizontal="center"/>
    </xf>
    <xf numFmtId="1" fontId="26" fillId="0" borderId="61" xfId="1" applyNumberFormat="1" applyFont="1" applyBorder="1" applyAlignment="1">
      <alignment horizontal="center"/>
    </xf>
    <xf numFmtId="1" fontId="21" fillId="14" borderId="47" xfId="4" applyNumberFormat="1" applyFont="1" applyBorder="1" applyAlignment="1">
      <alignment horizontal="center"/>
    </xf>
    <xf numFmtId="1" fontId="19" fillId="16" borderId="69" xfId="6" applyNumberFormat="1" applyBorder="1" applyAlignment="1">
      <alignment horizontal="center"/>
    </xf>
    <xf numFmtId="1" fontId="23" fillId="0" borderId="23" xfId="0" applyNumberFormat="1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2" fontId="23" fillId="0" borderId="15" xfId="0" applyNumberFormat="1" applyFont="1" applyBorder="1" applyAlignment="1">
      <alignment horizontal="center"/>
    </xf>
  </cellXfs>
  <cellStyles count="7">
    <cellStyle name="40% - Accent1" xfId="6" builtinId="31"/>
    <cellStyle name="Bad" xfId="4" builtinId="27"/>
    <cellStyle name="Comma" xfId="2" builtinId="3"/>
    <cellStyle name="Good" xfId="3" builtinId="26"/>
    <cellStyle name="Neutral" xfId="5" builtinId="28"/>
    <cellStyle name="Normal" xfId="0" builtinId="0"/>
    <cellStyle name="Normal 2" xfId="1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lambda'!$K$3:$K$56</c:f>
              <c:numCache>
                <c:formatCode>General</c:formatCode>
                <c:ptCount val="54"/>
                <c:pt idx="0">
                  <c:v>136.09199999999998</c:v>
                </c:pt>
                <c:pt idx="1">
                  <c:v>40.483000000000004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168.92000000000002</c:v>
                </c:pt>
                <c:pt idx="5">
                  <c:v>96.95259999999999</c:v>
                </c:pt>
                <c:pt idx="6">
                  <c:v>239.92560000000003</c:v>
                </c:pt>
                <c:pt idx="7">
                  <c:v>199.77999999999997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155.30000000000001</c:v>
                </c:pt>
                <c:pt idx="12">
                  <c:v>170.98500000000001</c:v>
                </c:pt>
                <c:pt idx="13">
                  <c:v>101.87959999999998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155.30000000000001</c:v>
                </c:pt>
                <c:pt idx="18">
                  <c:v>199.7756</c:v>
                </c:pt>
                <c:pt idx="19">
                  <c:v>217.70439999999996</c:v>
                </c:pt>
                <c:pt idx="20">
                  <c:v>151.79399999999998</c:v>
                </c:pt>
                <c:pt idx="21">
                  <c:v>155.30000000000001</c:v>
                </c:pt>
                <c:pt idx="23">
                  <c:v>270.97160000000008</c:v>
                </c:pt>
                <c:pt idx="24">
                  <c:v>200.66340000000002</c:v>
                </c:pt>
                <c:pt idx="25">
                  <c:v>170.98500000000001</c:v>
                </c:pt>
                <c:pt idx="26">
                  <c:v>79.131599999999992</c:v>
                </c:pt>
                <c:pt idx="27">
                  <c:v>172.30340000000001</c:v>
                </c:pt>
                <c:pt idx="28">
                  <c:v>158.4366</c:v>
                </c:pt>
                <c:pt idx="29">
                  <c:v>194.85159999999996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440.9534000000001</c:v>
                </c:pt>
                <c:pt idx="36">
                  <c:v>477.69100000000003</c:v>
                </c:pt>
                <c:pt idx="37">
                  <c:v>132.38600000000002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89.326660000000004</c:v>
                </c:pt>
                <c:pt idx="41">
                  <c:v>65.516340000000014</c:v>
                </c:pt>
                <c:pt idx="42">
                  <c:v>98.161600000000021</c:v>
                </c:pt>
                <c:pt idx="43">
                  <c:v>169.7714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132.38600000000002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D-46B8-8A53-8197F9183597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lambda'!$P$3:$P$56</c:f>
              <c:numCache>
                <c:formatCode>General</c:formatCode>
                <c:ptCount val="54"/>
                <c:pt idx="0">
                  <c:v>36.091999999999985</c:v>
                </c:pt>
                <c:pt idx="1">
                  <c:v>-9.5169999999999959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-31.079999999999984</c:v>
                </c:pt>
                <c:pt idx="5">
                  <c:v>96.95259999999999</c:v>
                </c:pt>
                <c:pt idx="6">
                  <c:v>89.925600000000031</c:v>
                </c:pt>
                <c:pt idx="7">
                  <c:v>49.779999999999973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105.3</c:v>
                </c:pt>
                <c:pt idx="12">
                  <c:v>170.98500000000001</c:v>
                </c:pt>
                <c:pt idx="13">
                  <c:v>1.8795999999999822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105.3</c:v>
                </c:pt>
                <c:pt idx="18">
                  <c:v>49.775599999999997</c:v>
                </c:pt>
                <c:pt idx="19">
                  <c:v>217.70439999999996</c:v>
                </c:pt>
                <c:pt idx="20">
                  <c:v>101.794</c:v>
                </c:pt>
                <c:pt idx="21">
                  <c:v>105.3</c:v>
                </c:pt>
                <c:pt idx="23">
                  <c:v>-129.02839999999992</c:v>
                </c:pt>
                <c:pt idx="24">
                  <c:v>200.66340000000002</c:v>
                </c:pt>
                <c:pt idx="25">
                  <c:v>-79.014999999999986</c:v>
                </c:pt>
                <c:pt idx="26">
                  <c:v>79.131599999999992</c:v>
                </c:pt>
                <c:pt idx="27">
                  <c:v>-27.696599999999989</c:v>
                </c:pt>
                <c:pt idx="28">
                  <c:v>-41.563400000000001</c:v>
                </c:pt>
                <c:pt idx="29">
                  <c:v>-105.14840000000004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-359.0465999999999</c:v>
                </c:pt>
                <c:pt idx="36">
                  <c:v>-422.30899999999997</c:v>
                </c:pt>
                <c:pt idx="37">
                  <c:v>-17.613999999999976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-10.673339999999996</c:v>
                </c:pt>
                <c:pt idx="41">
                  <c:v>15.516340000000014</c:v>
                </c:pt>
                <c:pt idx="42">
                  <c:v>98.161600000000021</c:v>
                </c:pt>
                <c:pt idx="43">
                  <c:v>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-17.613999999999976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D-46B8-8A53-8197F918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01312"/>
        <c:axId val="188302848"/>
      </c:barChart>
      <c:catAx>
        <c:axId val="1883013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8302848"/>
        <c:crosses val="autoZero"/>
        <c:auto val="1"/>
        <c:lblAlgn val="ctr"/>
        <c:lblOffset val="100"/>
        <c:noMultiLvlLbl val="0"/>
      </c:catAx>
      <c:valAx>
        <c:axId val="18830284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013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BDF!$J$3:$J$56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1500</c:v>
                </c:pt>
                <c:pt idx="4">
                  <c:v>500</c:v>
                </c:pt>
                <c:pt idx="5">
                  <c:v>300</c:v>
                </c:pt>
                <c:pt idx="6">
                  <c:v>900</c:v>
                </c:pt>
                <c:pt idx="7">
                  <c:v>600</c:v>
                </c:pt>
                <c:pt idx="8">
                  <c:v>1050</c:v>
                </c:pt>
                <c:pt idx="9">
                  <c:v>800</c:v>
                </c:pt>
                <c:pt idx="10">
                  <c:v>200</c:v>
                </c:pt>
                <c:pt idx="12">
                  <c:v>1000</c:v>
                </c:pt>
                <c:pt idx="13">
                  <c:v>600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1600</c:v>
                </c:pt>
                <c:pt idx="24">
                  <c:v>1050</c:v>
                </c:pt>
                <c:pt idx="25">
                  <c:v>1000</c:v>
                </c:pt>
                <c:pt idx="26">
                  <c:v>450</c:v>
                </c:pt>
                <c:pt idx="27">
                  <c:v>600</c:v>
                </c:pt>
                <c:pt idx="28">
                  <c:v>800</c:v>
                </c:pt>
                <c:pt idx="29">
                  <c:v>750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2000</c:v>
                </c:pt>
                <c:pt idx="36">
                  <c:v>2250</c:v>
                </c:pt>
                <c:pt idx="37">
                  <c:v>600</c:v>
                </c:pt>
                <c:pt idx="38">
                  <c:v>1050</c:v>
                </c:pt>
                <c:pt idx="39">
                  <c:v>1050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7-4F64-98D6-E3F44FA4E3DE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Reroute_Highest!#REF!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7-4F64-98D6-E3F44FA4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60672"/>
        <c:axId val="198070656"/>
      </c:barChart>
      <c:catAx>
        <c:axId val="1980606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8070656"/>
        <c:crosses val="autoZero"/>
        <c:auto val="1"/>
        <c:lblAlgn val="ctr"/>
        <c:lblOffset val="100"/>
        <c:noMultiLvlLbl val="0"/>
      </c:catAx>
      <c:valAx>
        <c:axId val="19807065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0606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872692498683579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BDF!$Y$21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BDF!$X$22:$X$42</c:f>
              <c:strCache>
                <c:ptCount val="21"/>
                <c:pt idx="0">
                  <c:v>D -H</c:v>
                </c:pt>
                <c:pt idx="1">
                  <c:v>DO - F</c:v>
                </c:pt>
                <c:pt idx="2">
                  <c:v>F - S</c:v>
                </c:pt>
                <c:pt idx="3">
                  <c:v>L - N</c:v>
                </c:pt>
                <c:pt idx="4">
                  <c:v>F - L </c:v>
                </c:pt>
                <c:pt idx="5">
                  <c:v>F - N</c:v>
                </c:pt>
                <c:pt idx="6">
                  <c:v>L - S</c:v>
                </c:pt>
                <c:pt idx="7">
                  <c:v>M - S</c:v>
                </c:pt>
                <c:pt idx="8">
                  <c:v>N - S</c:v>
                </c:pt>
                <c:pt idx="9">
                  <c:v>D - F</c:v>
                </c:pt>
                <c:pt idx="10">
                  <c:v>H - HH</c:v>
                </c:pt>
                <c:pt idx="11">
                  <c:v>H - L</c:v>
                </c:pt>
                <c:pt idx="12">
                  <c:v>D - L</c:v>
                </c:pt>
                <c:pt idx="13">
                  <c:v>DO - H</c:v>
                </c:pt>
                <c:pt idx="14">
                  <c:v>F -H </c:v>
                </c:pt>
                <c:pt idx="15">
                  <c:v>H -K </c:v>
                </c:pt>
                <c:pt idx="16">
                  <c:v>B - H</c:v>
                </c:pt>
                <c:pt idx="18">
                  <c:v>L - M</c:v>
                </c:pt>
                <c:pt idx="19">
                  <c:v>L - U</c:v>
                </c:pt>
                <c:pt idx="20">
                  <c:v>Total </c:v>
                </c:pt>
              </c:strCache>
            </c:strRef>
          </c:cat>
          <c:val>
            <c:numRef>
              <c:f>BDF!$Y$22:$Y$42</c:f>
              <c:numCache>
                <c:formatCode>General</c:formatCode>
                <c:ptCount val="21"/>
                <c:pt idx="0">
                  <c:v>47</c:v>
                </c:pt>
                <c:pt idx="1">
                  <c:v>37</c:v>
                </c:pt>
                <c:pt idx="2">
                  <c:v>96</c:v>
                </c:pt>
                <c:pt idx="3">
                  <c:v>280</c:v>
                </c:pt>
                <c:pt idx="4">
                  <c:v>951</c:v>
                </c:pt>
                <c:pt idx="5">
                  <c:v>43</c:v>
                </c:pt>
                <c:pt idx="6">
                  <c:v>359</c:v>
                </c:pt>
                <c:pt idx="7">
                  <c:v>358</c:v>
                </c:pt>
                <c:pt idx="8">
                  <c:v>790</c:v>
                </c:pt>
                <c:pt idx="9">
                  <c:v>24</c:v>
                </c:pt>
                <c:pt idx="10">
                  <c:v>106</c:v>
                </c:pt>
                <c:pt idx="11">
                  <c:v>130</c:v>
                </c:pt>
                <c:pt idx="12">
                  <c:v>161</c:v>
                </c:pt>
                <c:pt idx="13">
                  <c:v>388</c:v>
                </c:pt>
                <c:pt idx="14">
                  <c:v>747</c:v>
                </c:pt>
                <c:pt idx="15">
                  <c:v>240</c:v>
                </c:pt>
                <c:pt idx="16">
                  <c:v>59</c:v>
                </c:pt>
                <c:pt idx="18">
                  <c:v>17.5</c:v>
                </c:pt>
                <c:pt idx="19">
                  <c:v>268</c:v>
                </c:pt>
                <c:pt idx="20">
                  <c:v>5101.5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9-4AAB-8E45-C4D542EC10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104960"/>
        <c:axId val="198106496"/>
      </c:barChart>
      <c:catAx>
        <c:axId val="1981049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8106496"/>
        <c:crosses val="autoZero"/>
        <c:auto val="1"/>
        <c:lblAlgn val="ctr"/>
        <c:lblOffset val="100"/>
        <c:noMultiLvlLbl val="0"/>
      </c:catAx>
      <c:valAx>
        <c:axId val="1981064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10496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906.61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569.96280000000002</c:v>
                </c:pt>
                <c:pt idx="7">
                  <c:v>399.89</c:v>
                </c:pt>
                <c:pt idx="8">
                  <c:v>633.85220000000004</c:v>
                </c:pt>
                <c:pt idx="9">
                  <c:v>479.22</c:v>
                </c:pt>
                <c:pt idx="10">
                  <c:v>177.65</c:v>
                </c:pt>
                <c:pt idx="12">
                  <c:v>585.49250000000006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386.15170000000001</c:v>
                </c:pt>
                <c:pt idx="16">
                  <c:v>479.2183</c:v>
                </c:pt>
                <c:pt idx="17">
                  <c:v>177.65</c:v>
                </c:pt>
                <c:pt idx="18">
                  <c:v>399.88779999999997</c:v>
                </c:pt>
                <c:pt idx="19">
                  <c:v>633.85220000000004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935.48580000000004</c:v>
                </c:pt>
                <c:pt idx="24">
                  <c:v>625.33169999999996</c:v>
                </c:pt>
                <c:pt idx="25">
                  <c:v>585.49250000000006</c:v>
                </c:pt>
                <c:pt idx="26">
                  <c:v>264.56579999999997</c:v>
                </c:pt>
                <c:pt idx="27">
                  <c:v>386.15170000000001</c:v>
                </c:pt>
                <c:pt idx="28">
                  <c:v>479.2183</c:v>
                </c:pt>
                <c:pt idx="29">
                  <c:v>472.42579999999998</c:v>
                </c:pt>
                <c:pt idx="30">
                  <c:v>906.61</c:v>
                </c:pt>
                <c:pt idx="31">
                  <c:v>264.56579999999997</c:v>
                </c:pt>
                <c:pt idx="32">
                  <c:v>708.52430000000004</c:v>
                </c:pt>
                <c:pt idx="33">
                  <c:v>386.15170000000001</c:v>
                </c:pt>
                <c:pt idx="34">
                  <c:v>1648.672</c:v>
                </c:pt>
                <c:pt idx="35">
                  <c:v>1220.4767000000002</c:v>
                </c:pt>
                <c:pt idx="36">
                  <c:v>1363.8454999999999</c:v>
                </c:pt>
                <c:pt idx="37">
                  <c:v>366.19299999999998</c:v>
                </c:pt>
                <c:pt idx="38">
                  <c:v>633.85220000000004</c:v>
                </c:pt>
                <c:pt idx="39">
                  <c:v>625.33169999999996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6-4DE0-B064-D9E9646AECD2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SDF!$Q$3:$Q$56</c:f>
              <c:numCache>
                <c:formatCode>General</c:formatCode>
                <c:ptCount val="54"/>
                <c:pt idx="0">
                  <c:v>36.091999999999985</c:v>
                </c:pt>
                <c:pt idx="1">
                  <c:v>-9.5169999999999959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-31.079999999999984</c:v>
                </c:pt>
                <c:pt idx="5">
                  <c:v>96.95259999999999</c:v>
                </c:pt>
                <c:pt idx="6">
                  <c:v>89.925600000000031</c:v>
                </c:pt>
                <c:pt idx="7">
                  <c:v>49.779999999999973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105.3</c:v>
                </c:pt>
                <c:pt idx="12">
                  <c:v>170.98500000000001</c:v>
                </c:pt>
                <c:pt idx="13">
                  <c:v>1.8795999999999822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155.30000000000001</c:v>
                </c:pt>
                <c:pt idx="18">
                  <c:v>199.7756</c:v>
                </c:pt>
                <c:pt idx="19">
                  <c:v>217.70439999999996</c:v>
                </c:pt>
                <c:pt idx="20">
                  <c:v>151.79399999999998</c:v>
                </c:pt>
                <c:pt idx="21">
                  <c:v>155.30000000000001</c:v>
                </c:pt>
                <c:pt idx="23">
                  <c:v>-129.02839999999992</c:v>
                </c:pt>
                <c:pt idx="24">
                  <c:v>200.66340000000002</c:v>
                </c:pt>
                <c:pt idx="25">
                  <c:v>-79.014999999999986</c:v>
                </c:pt>
                <c:pt idx="26">
                  <c:v>79.131599999999992</c:v>
                </c:pt>
                <c:pt idx="27">
                  <c:v>-27.696599999999989</c:v>
                </c:pt>
                <c:pt idx="28">
                  <c:v>-41.563400000000001</c:v>
                </c:pt>
                <c:pt idx="29">
                  <c:v>-105.14840000000004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-359.0465999999999</c:v>
                </c:pt>
                <c:pt idx="36">
                  <c:v>-422.30899999999997</c:v>
                </c:pt>
                <c:pt idx="37">
                  <c:v>-17.613999999999976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-10.673339999999996</c:v>
                </c:pt>
                <c:pt idx="41">
                  <c:v>15.516340000000014</c:v>
                </c:pt>
                <c:pt idx="42">
                  <c:v>98.161600000000021</c:v>
                </c:pt>
                <c:pt idx="43">
                  <c:v>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-17.613999999999976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6-4DE0-B064-D9E9646A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39072"/>
        <c:axId val="198740608"/>
      </c:barChart>
      <c:catAx>
        <c:axId val="1987390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8740608"/>
        <c:crosses val="autoZero"/>
        <c:auto val="1"/>
        <c:lblAlgn val="ctr"/>
        <c:lblOffset val="100"/>
        <c:noMultiLvlLbl val="0"/>
      </c:catAx>
      <c:valAx>
        <c:axId val="19874060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7390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1500</c:v>
                </c:pt>
                <c:pt idx="4">
                  <c:v>500</c:v>
                </c:pt>
                <c:pt idx="5">
                  <c:v>300</c:v>
                </c:pt>
                <c:pt idx="6">
                  <c:v>900</c:v>
                </c:pt>
                <c:pt idx="7">
                  <c:v>600</c:v>
                </c:pt>
                <c:pt idx="8">
                  <c:v>1050</c:v>
                </c:pt>
                <c:pt idx="9">
                  <c:v>800</c:v>
                </c:pt>
                <c:pt idx="10">
                  <c:v>200</c:v>
                </c:pt>
                <c:pt idx="12">
                  <c:v>1000</c:v>
                </c:pt>
                <c:pt idx="13">
                  <c:v>600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1600</c:v>
                </c:pt>
                <c:pt idx="24">
                  <c:v>1050</c:v>
                </c:pt>
                <c:pt idx="25">
                  <c:v>1000</c:v>
                </c:pt>
                <c:pt idx="26">
                  <c:v>450</c:v>
                </c:pt>
                <c:pt idx="27">
                  <c:v>600</c:v>
                </c:pt>
                <c:pt idx="28">
                  <c:v>800</c:v>
                </c:pt>
                <c:pt idx="29">
                  <c:v>750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2000</c:v>
                </c:pt>
                <c:pt idx="36">
                  <c:v>2250</c:v>
                </c:pt>
                <c:pt idx="37">
                  <c:v>600</c:v>
                </c:pt>
                <c:pt idx="38">
                  <c:v>1050</c:v>
                </c:pt>
                <c:pt idx="39">
                  <c:v>1050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B-42DB-94C1-428E3EF52C36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1500</c:v>
                </c:pt>
                <c:pt idx="4">
                  <c:v>300</c:v>
                </c:pt>
                <c:pt idx="5">
                  <c:v>300</c:v>
                </c:pt>
                <c:pt idx="6">
                  <c:v>750</c:v>
                </c:pt>
                <c:pt idx="7">
                  <c:v>450</c:v>
                </c:pt>
                <c:pt idx="8">
                  <c:v>1050</c:v>
                </c:pt>
                <c:pt idx="9">
                  <c:v>800</c:v>
                </c:pt>
                <c:pt idx="10">
                  <c:v>150</c:v>
                </c:pt>
                <c:pt idx="12">
                  <c:v>1000</c:v>
                </c:pt>
                <c:pt idx="13">
                  <c:v>500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1050</c:v>
                </c:pt>
                <c:pt idx="25">
                  <c:v>750</c:v>
                </c:pt>
                <c:pt idx="26">
                  <c:v>450</c:v>
                </c:pt>
                <c:pt idx="27">
                  <c:v>400</c:v>
                </c:pt>
                <c:pt idx="28">
                  <c:v>600</c:v>
                </c:pt>
                <c:pt idx="29">
                  <c:v>450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1200</c:v>
                </c:pt>
                <c:pt idx="36">
                  <c:v>1350</c:v>
                </c:pt>
                <c:pt idx="37">
                  <c:v>450</c:v>
                </c:pt>
                <c:pt idx="38">
                  <c:v>1050</c:v>
                </c:pt>
                <c:pt idx="39">
                  <c:v>1050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B-42DB-94C1-428E3EF5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14752"/>
        <c:axId val="199116288"/>
      </c:barChart>
      <c:catAx>
        <c:axId val="19911475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9116288"/>
        <c:crosses val="autoZero"/>
        <c:auto val="1"/>
        <c:lblAlgn val="ctr"/>
        <c:lblOffset val="100"/>
        <c:noMultiLvlLbl val="0"/>
      </c:catAx>
      <c:valAx>
        <c:axId val="1991162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114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SDF!$W$26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SDF!$V$27:$V$35</c:f>
              <c:strCache>
                <c:ptCount val="9"/>
                <c:pt idx="0">
                  <c:v>F - L</c:v>
                </c:pt>
                <c:pt idx="1">
                  <c:v>L - S</c:v>
                </c:pt>
                <c:pt idx="2">
                  <c:v>F - N</c:v>
                </c:pt>
                <c:pt idx="3">
                  <c:v>M - S</c:v>
                </c:pt>
                <c:pt idx="4">
                  <c:v>N - S</c:v>
                </c:pt>
                <c:pt idx="5">
                  <c:v>D - L </c:v>
                </c:pt>
                <c:pt idx="6">
                  <c:v>L - N</c:v>
                </c:pt>
                <c:pt idx="7">
                  <c:v>F - M</c:v>
                </c:pt>
                <c:pt idx="8">
                  <c:v>Total </c:v>
                </c:pt>
              </c:strCache>
            </c:strRef>
          </c:cat>
          <c:val>
            <c:numRef>
              <c:f>SDF!$W$27:$W$35</c:f>
              <c:numCache>
                <c:formatCode>General</c:formatCode>
                <c:ptCount val="9"/>
                <c:pt idx="0">
                  <c:v>330</c:v>
                </c:pt>
                <c:pt idx="1">
                  <c:v>525</c:v>
                </c:pt>
                <c:pt idx="2">
                  <c:v>106</c:v>
                </c:pt>
                <c:pt idx="3">
                  <c:v>450</c:v>
                </c:pt>
                <c:pt idx="4">
                  <c:v>413</c:v>
                </c:pt>
                <c:pt idx="5">
                  <c:v>57</c:v>
                </c:pt>
                <c:pt idx="6">
                  <c:v>108</c:v>
                </c:pt>
                <c:pt idx="7">
                  <c:v>51</c:v>
                </c:pt>
                <c:pt idx="8">
                  <c:v>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D-4478-B6AE-672F52B60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9137920"/>
        <c:axId val="199139712"/>
      </c:barChart>
      <c:catAx>
        <c:axId val="19913792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9139712"/>
        <c:crosses val="autoZero"/>
        <c:auto val="1"/>
        <c:lblAlgn val="ctr"/>
        <c:lblOffset val="100"/>
        <c:noMultiLvlLbl val="0"/>
      </c:catAx>
      <c:valAx>
        <c:axId val="19913971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13792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'Single-hop Reroute'!$U$65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'Single-hop Reroute'!$T$66:$T$90</c:f>
              <c:strCache>
                <c:ptCount val="25"/>
                <c:pt idx="0">
                  <c:v>B - H </c:v>
                </c:pt>
                <c:pt idx="1">
                  <c:v>D - F </c:v>
                </c:pt>
                <c:pt idx="2">
                  <c:v>D - H </c:v>
                </c:pt>
                <c:pt idx="3">
                  <c:v>H - HH </c:v>
                </c:pt>
                <c:pt idx="4">
                  <c:v>DO - F </c:v>
                </c:pt>
                <c:pt idx="5">
                  <c:v>DO - H </c:v>
                </c:pt>
                <c:pt idx="6">
                  <c:v>H - K </c:v>
                </c:pt>
                <c:pt idx="7">
                  <c:v>F - K </c:v>
                </c:pt>
                <c:pt idx="8">
                  <c:v>H - L </c:v>
                </c:pt>
                <c:pt idx="9">
                  <c:v>D - HH </c:v>
                </c:pt>
                <c:pt idx="10">
                  <c:v>F - H </c:v>
                </c:pt>
                <c:pt idx="11">
                  <c:v>F - HH</c:v>
                </c:pt>
                <c:pt idx="12">
                  <c:v>F - L </c:v>
                </c:pt>
                <c:pt idx="13">
                  <c:v>L - M </c:v>
                </c:pt>
                <c:pt idx="14">
                  <c:v>D - L </c:v>
                </c:pt>
                <c:pt idx="15">
                  <c:v>DO - H </c:v>
                </c:pt>
                <c:pt idx="16">
                  <c:v>F - S</c:v>
                </c:pt>
                <c:pt idx="17">
                  <c:v>L - N </c:v>
                </c:pt>
                <c:pt idx="18">
                  <c:v>N - S</c:v>
                </c:pt>
                <c:pt idx="19">
                  <c:v>F - N </c:v>
                </c:pt>
                <c:pt idx="20">
                  <c:v>L - S</c:v>
                </c:pt>
                <c:pt idx="21">
                  <c:v>M - S</c:v>
                </c:pt>
                <c:pt idx="22">
                  <c:v>L - U </c:v>
                </c:pt>
                <c:pt idx="23">
                  <c:v>F - M </c:v>
                </c:pt>
                <c:pt idx="24">
                  <c:v>Total </c:v>
                </c:pt>
              </c:strCache>
            </c:strRef>
          </c:cat>
          <c:val>
            <c:numRef>
              <c:f>'Single-hop Reroute'!$U$66:$U$90</c:f>
              <c:numCache>
                <c:formatCode>General</c:formatCode>
                <c:ptCount val="25"/>
                <c:pt idx="0">
                  <c:v>71</c:v>
                </c:pt>
                <c:pt idx="1">
                  <c:v>36</c:v>
                </c:pt>
                <c:pt idx="2">
                  <c:v>35</c:v>
                </c:pt>
                <c:pt idx="3">
                  <c:v>118</c:v>
                </c:pt>
                <c:pt idx="4">
                  <c:v>49</c:v>
                </c:pt>
                <c:pt idx="5">
                  <c:v>55.5</c:v>
                </c:pt>
                <c:pt idx="6">
                  <c:v>350</c:v>
                </c:pt>
                <c:pt idx="7">
                  <c:v>12.5</c:v>
                </c:pt>
                <c:pt idx="8">
                  <c:v>142</c:v>
                </c:pt>
                <c:pt idx="9">
                  <c:v>9.5</c:v>
                </c:pt>
                <c:pt idx="10">
                  <c:v>970</c:v>
                </c:pt>
                <c:pt idx="11">
                  <c:v>26.5</c:v>
                </c:pt>
                <c:pt idx="12">
                  <c:v>1344</c:v>
                </c:pt>
                <c:pt idx="13">
                  <c:v>116</c:v>
                </c:pt>
                <c:pt idx="14">
                  <c:v>363</c:v>
                </c:pt>
                <c:pt idx="15">
                  <c:v>407</c:v>
                </c:pt>
                <c:pt idx="16">
                  <c:v>204</c:v>
                </c:pt>
                <c:pt idx="17">
                  <c:v>512</c:v>
                </c:pt>
                <c:pt idx="18">
                  <c:v>955</c:v>
                </c:pt>
                <c:pt idx="19">
                  <c:v>100</c:v>
                </c:pt>
                <c:pt idx="20">
                  <c:v>416</c:v>
                </c:pt>
                <c:pt idx="21">
                  <c:v>415</c:v>
                </c:pt>
                <c:pt idx="22">
                  <c:v>648</c:v>
                </c:pt>
                <c:pt idx="23">
                  <c:v>44</c:v>
                </c:pt>
                <c:pt idx="24">
                  <c:v>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496A-BF87-5570D0578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580672"/>
        <c:axId val="197582208"/>
      </c:barChart>
      <c:catAx>
        <c:axId val="1975806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7582208"/>
        <c:crosses val="autoZero"/>
        <c:auto val="1"/>
        <c:lblAlgn val="ctr"/>
        <c:lblOffset val="100"/>
        <c:noMultiLvlLbl val="0"/>
      </c:catAx>
      <c:valAx>
        <c:axId val="19758220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75806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906.61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569.96280000000002</c:v>
                </c:pt>
                <c:pt idx="7">
                  <c:v>399.89</c:v>
                </c:pt>
                <c:pt idx="8">
                  <c:v>633.85220000000004</c:v>
                </c:pt>
                <c:pt idx="9">
                  <c:v>479.22</c:v>
                </c:pt>
                <c:pt idx="10">
                  <c:v>177.65</c:v>
                </c:pt>
                <c:pt idx="12">
                  <c:v>585.49250000000006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386.15170000000001</c:v>
                </c:pt>
                <c:pt idx="16">
                  <c:v>479.2183</c:v>
                </c:pt>
                <c:pt idx="17">
                  <c:v>177.65</c:v>
                </c:pt>
                <c:pt idx="18">
                  <c:v>399.88779999999997</c:v>
                </c:pt>
                <c:pt idx="19">
                  <c:v>633.85220000000004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935.48580000000004</c:v>
                </c:pt>
                <c:pt idx="24">
                  <c:v>625.33169999999996</c:v>
                </c:pt>
                <c:pt idx="25">
                  <c:v>585.49250000000006</c:v>
                </c:pt>
                <c:pt idx="26">
                  <c:v>264.56579999999997</c:v>
                </c:pt>
                <c:pt idx="27">
                  <c:v>386.15170000000001</c:v>
                </c:pt>
                <c:pt idx="28">
                  <c:v>479.2183</c:v>
                </c:pt>
                <c:pt idx="29">
                  <c:v>472.42579999999998</c:v>
                </c:pt>
                <c:pt idx="30">
                  <c:v>906.61</c:v>
                </c:pt>
                <c:pt idx="31">
                  <c:v>264.56579999999997</c:v>
                </c:pt>
                <c:pt idx="32">
                  <c:v>708.52430000000004</c:v>
                </c:pt>
                <c:pt idx="33">
                  <c:v>386.15170000000001</c:v>
                </c:pt>
                <c:pt idx="34">
                  <c:v>1648.672</c:v>
                </c:pt>
                <c:pt idx="35">
                  <c:v>1220.4767000000002</c:v>
                </c:pt>
                <c:pt idx="36">
                  <c:v>1363.8454999999999</c:v>
                </c:pt>
                <c:pt idx="37">
                  <c:v>366.19299999999998</c:v>
                </c:pt>
                <c:pt idx="38">
                  <c:v>633.85220000000004</c:v>
                </c:pt>
                <c:pt idx="39">
                  <c:v>625.33169999999996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6-4284-94D8-D433CDDDC008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'ES-EP'!$Q$3:$Q$56</c:f>
              <c:numCache>
                <c:formatCode>General</c:formatCode>
                <c:ptCount val="54"/>
                <c:pt idx="0">
                  <c:v>36.091999999999985</c:v>
                </c:pt>
                <c:pt idx="1">
                  <c:v>-9.5169999999999959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-31.079999999999984</c:v>
                </c:pt>
                <c:pt idx="5">
                  <c:v>96.95259999999999</c:v>
                </c:pt>
                <c:pt idx="6">
                  <c:v>89.925600000000031</c:v>
                </c:pt>
                <c:pt idx="7">
                  <c:v>49.779999999999973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105.3</c:v>
                </c:pt>
                <c:pt idx="12">
                  <c:v>170.98500000000001</c:v>
                </c:pt>
                <c:pt idx="13">
                  <c:v>1.8795999999999822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155.30000000000001</c:v>
                </c:pt>
                <c:pt idx="18">
                  <c:v>199.7756</c:v>
                </c:pt>
                <c:pt idx="19">
                  <c:v>217.70439999999996</c:v>
                </c:pt>
                <c:pt idx="20">
                  <c:v>151.79399999999998</c:v>
                </c:pt>
                <c:pt idx="21">
                  <c:v>155.30000000000001</c:v>
                </c:pt>
                <c:pt idx="23">
                  <c:v>-129.02839999999992</c:v>
                </c:pt>
                <c:pt idx="24">
                  <c:v>200.66340000000002</c:v>
                </c:pt>
                <c:pt idx="25">
                  <c:v>-79.014999999999986</c:v>
                </c:pt>
                <c:pt idx="26">
                  <c:v>79.131599999999992</c:v>
                </c:pt>
                <c:pt idx="27">
                  <c:v>-27.696599999999989</c:v>
                </c:pt>
                <c:pt idx="28">
                  <c:v>-41.563400000000001</c:v>
                </c:pt>
                <c:pt idx="29">
                  <c:v>-105.14840000000004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-359.0465999999999</c:v>
                </c:pt>
                <c:pt idx="36">
                  <c:v>-422.30899999999997</c:v>
                </c:pt>
                <c:pt idx="37">
                  <c:v>-17.613999999999976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-10.673339999999996</c:v>
                </c:pt>
                <c:pt idx="41">
                  <c:v>15.516340000000014</c:v>
                </c:pt>
                <c:pt idx="42">
                  <c:v>98.161600000000021</c:v>
                </c:pt>
                <c:pt idx="43">
                  <c:v>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-17.613999999999976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6-4284-94D8-D433CDDD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38336"/>
        <c:axId val="188639872"/>
      </c:barChart>
      <c:catAx>
        <c:axId val="1886383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8639872"/>
        <c:crosses val="autoZero"/>
        <c:auto val="1"/>
        <c:lblAlgn val="ctr"/>
        <c:lblOffset val="100"/>
        <c:noMultiLvlLbl val="0"/>
      </c:catAx>
      <c:valAx>
        <c:axId val="18863987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638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1500</c:v>
                </c:pt>
                <c:pt idx="4">
                  <c:v>500</c:v>
                </c:pt>
                <c:pt idx="5">
                  <c:v>300</c:v>
                </c:pt>
                <c:pt idx="6">
                  <c:v>900</c:v>
                </c:pt>
                <c:pt idx="7">
                  <c:v>600</c:v>
                </c:pt>
                <c:pt idx="8">
                  <c:v>1050</c:v>
                </c:pt>
                <c:pt idx="9">
                  <c:v>800</c:v>
                </c:pt>
                <c:pt idx="10">
                  <c:v>200</c:v>
                </c:pt>
                <c:pt idx="12">
                  <c:v>1000</c:v>
                </c:pt>
                <c:pt idx="13">
                  <c:v>600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1600</c:v>
                </c:pt>
                <c:pt idx="24">
                  <c:v>1050</c:v>
                </c:pt>
                <c:pt idx="25">
                  <c:v>1000</c:v>
                </c:pt>
                <c:pt idx="26">
                  <c:v>450</c:v>
                </c:pt>
                <c:pt idx="27">
                  <c:v>600</c:v>
                </c:pt>
                <c:pt idx="28">
                  <c:v>800</c:v>
                </c:pt>
                <c:pt idx="29">
                  <c:v>750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2000</c:v>
                </c:pt>
                <c:pt idx="36">
                  <c:v>2250</c:v>
                </c:pt>
                <c:pt idx="37">
                  <c:v>600</c:v>
                </c:pt>
                <c:pt idx="38">
                  <c:v>1050</c:v>
                </c:pt>
                <c:pt idx="39">
                  <c:v>1050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7-4CB3-95B9-8EB67498FE71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1500</c:v>
                </c:pt>
                <c:pt idx="4">
                  <c:v>300</c:v>
                </c:pt>
                <c:pt idx="5">
                  <c:v>300</c:v>
                </c:pt>
                <c:pt idx="6">
                  <c:v>750</c:v>
                </c:pt>
                <c:pt idx="7">
                  <c:v>450</c:v>
                </c:pt>
                <c:pt idx="8">
                  <c:v>1050</c:v>
                </c:pt>
                <c:pt idx="9">
                  <c:v>800</c:v>
                </c:pt>
                <c:pt idx="10">
                  <c:v>150</c:v>
                </c:pt>
                <c:pt idx="12">
                  <c:v>1000</c:v>
                </c:pt>
                <c:pt idx="13">
                  <c:v>500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1050</c:v>
                </c:pt>
                <c:pt idx="25">
                  <c:v>750</c:v>
                </c:pt>
                <c:pt idx="26">
                  <c:v>450</c:v>
                </c:pt>
                <c:pt idx="27">
                  <c:v>400</c:v>
                </c:pt>
                <c:pt idx="28">
                  <c:v>600</c:v>
                </c:pt>
                <c:pt idx="29">
                  <c:v>450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1200</c:v>
                </c:pt>
                <c:pt idx="36">
                  <c:v>1350</c:v>
                </c:pt>
                <c:pt idx="37">
                  <c:v>450</c:v>
                </c:pt>
                <c:pt idx="38">
                  <c:v>1050</c:v>
                </c:pt>
                <c:pt idx="39">
                  <c:v>1050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7-4CB3-95B9-8EB67498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37632"/>
        <c:axId val="199239168"/>
      </c:barChart>
      <c:catAx>
        <c:axId val="19923763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9239168"/>
        <c:crosses val="autoZero"/>
        <c:auto val="1"/>
        <c:lblAlgn val="ctr"/>
        <c:lblOffset val="100"/>
        <c:noMultiLvlLbl val="0"/>
      </c:catAx>
      <c:valAx>
        <c:axId val="19923916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237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'ES-EP'!$W$26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'ES-EP'!$V$27:$V$32</c:f>
              <c:strCache>
                <c:ptCount val="6"/>
                <c:pt idx="0">
                  <c:v>F - H</c:v>
                </c:pt>
                <c:pt idx="1">
                  <c:v>F - K</c:v>
                </c:pt>
                <c:pt idx="2">
                  <c:v>F - N</c:v>
                </c:pt>
                <c:pt idx="3">
                  <c:v>F - S</c:v>
                </c:pt>
                <c:pt idx="5">
                  <c:v>Total </c:v>
                </c:pt>
              </c:strCache>
            </c:strRef>
          </c:cat>
          <c:val>
            <c:numRef>
              <c:f>'ES-EP'!$W$27:$W$32</c:f>
              <c:numCache>
                <c:formatCode>General</c:formatCode>
                <c:ptCount val="6"/>
                <c:pt idx="0">
                  <c:v>78</c:v>
                </c:pt>
                <c:pt idx="1">
                  <c:v>93</c:v>
                </c:pt>
                <c:pt idx="2">
                  <c:v>267</c:v>
                </c:pt>
                <c:pt idx="3">
                  <c:v>361</c:v>
                </c:pt>
                <c:pt idx="5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D-415A-BFCD-E1009B26FA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974080"/>
        <c:axId val="198979968"/>
      </c:barChart>
      <c:catAx>
        <c:axId val="1989740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8979968"/>
        <c:crosses val="autoZero"/>
        <c:auto val="1"/>
        <c:lblAlgn val="ctr"/>
        <c:lblOffset val="100"/>
        <c:noMultiLvlLbl val="0"/>
      </c:catAx>
      <c:valAx>
        <c:axId val="19897996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97408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906.61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569.96280000000002</c:v>
                </c:pt>
                <c:pt idx="7">
                  <c:v>399.89</c:v>
                </c:pt>
                <c:pt idx="8">
                  <c:v>633.85220000000004</c:v>
                </c:pt>
                <c:pt idx="9">
                  <c:v>479.22</c:v>
                </c:pt>
                <c:pt idx="10">
                  <c:v>177.65</c:v>
                </c:pt>
                <c:pt idx="12">
                  <c:v>585.49250000000006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386.15170000000001</c:v>
                </c:pt>
                <c:pt idx="16">
                  <c:v>479.2183</c:v>
                </c:pt>
                <c:pt idx="17">
                  <c:v>177.65</c:v>
                </c:pt>
                <c:pt idx="18">
                  <c:v>399.88779999999997</c:v>
                </c:pt>
                <c:pt idx="19">
                  <c:v>633.85220000000004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935.48580000000004</c:v>
                </c:pt>
                <c:pt idx="24">
                  <c:v>625.33169999999996</c:v>
                </c:pt>
                <c:pt idx="25">
                  <c:v>585.49250000000006</c:v>
                </c:pt>
                <c:pt idx="26">
                  <c:v>264.56579999999997</c:v>
                </c:pt>
                <c:pt idx="27">
                  <c:v>386.15170000000001</c:v>
                </c:pt>
                <c:pt idx="28">
                  <c:v>479.2183</c:v>
                </c:pt>
                <c:pt idx="29">
                  <c:v>472.42579999999998</c:v>
                </c:pt>
                <c:pt idx="30">
                  <c:v>906.61</c:v>
                </c:pt>
                <c:pt idx="31">
                  <c:v>264.56579999999997</c:v>
                </c:pt>
                <c:pt idx="32">
                  <c:v>708.52430000000004</c:v>
                </c:pt>
                <c:pt idx="33">
                  <c:v>386.15170000000001</c:v>
                </c:pt>
                <c:pt idx="34">
                  <c:v>1648.672</c:v>
                </c:pt>
                <c:pt idx="35">
                  <c:v>1220.4767000000002</c:v>
                </c:pt>
                <c:pt idx="36">
                  <c:v>1363.8454999999999</c:v>
                </c:pt>
                <c:pt idx="37">
                  <c:v>366.19299999999998</c:v>
                </c:pt>
                <c:pt idx="38">
                  <c:v>633.85220000000004</c:v>
                </c:pt>
                <c:pt idx="39">
                  <c:v>625.33169999999996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706-8398-425368AE689F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'US-EP'!$Q$3:$Q$56</c:f>
              <c:numCache>
                <c:formatCode>General</c:formatCode>
                <c:ptCount val="54"/>
                <c:pt idx="0">
                  <c:v>36.091999999999985</c:v>
                </c:pt>
                <c:pt idx="1">
                  <c:v>-9.5169999999999959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-31.079999999999984</c:v>
                </c:pt>
                <c:pt idx="5">
                  <c:v>96.95259999999999</c:v>
                </c:pt>
                <c:pt idx="6">
                  <c:v>89.925600000000031</c:v>
                </c:pt>
                <c:pt idx="7">
                  <c:v>49.779999999999973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105.3</c:v>
                </c:pt>
                <c:pt idx="12">
                  <c:v>170.98500000000001</c:v>
                </c:pt>
                <c:pt idx="13">
                  <c:v>1.8795999999999822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155.30000000000001</c:v>
                </c:pt>
                <c:pt idx="18">
                  <c:v>199.7756</c:v>
                </c:pt>
                <c:pt idx="19">
                  <c:v>217.70439999999996</c:v>
                </c:pt>
                <c:pt idx="20">
                  <c:v>151.79399999999998</c:v>
                </c:pt>
                <c:pt idx="21">
                  <c:v>155.30000000000001</c:v>
                </c:pt>
                <c:pt idx="23">
                  <c:v>-129.02839999999992</c:v>
                </c:pt>
                <c:pt idx="24">
                  <c:v>200.66340000000002</c:v>
                </c:pt>
                <c:pt idx="25">
                  <c:v>-79.014999999999986</c:v>
                </c:pt>
                <c:pt idx="26">
                  <c:v>79.131599999999992</c:v>
                </c:pt>
                <c:pt idx="27">
                  <c:v>-27.696599999999989</c:v>
                </c:pt>
                <c:pt idx="28">
                  <c:v>-41.563400000000001</c:v>
                </c:pt>
                <c:pt idx="29">
                  <c:v>-105.14840000000004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-359.0465999999999</c:v>
                </c:pt>
                <c:pt idx="36">
                  <c:v>-422.30899999999997</c:v>
                </c:pt>
                <c:pt idx="37">
                  <c:v>-17.613999999999976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-10.673339999999996</c:v>
                </c:pt>
                <c:pt idx="41">
                  <c:v>15.516340000000014</c:v>
                </c:pt>
                <c:pt idx="42">
                  <c:v>98.161600000000021</c:v>
                </c:pt>
                <c:pt idx="43">
                  <c:v>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-17.613999999999976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0-4706-8398-425368AE6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76096"/>
        <c:axId val="199081984"/>
      </c:barChart>
      <c:catAx>
        <c:axId val="1990760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9081984"/>
        <c:crosses val="autoZero"/>
        <c:auto val="1"/>
        <c:lblAlgn val="ctr"/>
        <c:lblOffset val="100"/>
        <c:noMultiLvlLbl val="0"/>
      </c:catAx>
      <c:valAx>
        <c:axId val="19908198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76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6-47CB-A9E0-B78997C1A735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6-47CB-A9E0-B78997C1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02720"/>
        <c:axId val="188744064"/>
      </c:barChart>
      <c:catAx>
        <c:axId val="18910272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8744064"/>
        <c:crosses val="autoZero"/>
        <c:auto val="1"/>
        <c:lblAlgn val="ctr"/>
        <c:lblOffset val="100"/>
        <c:noMultiLvlLbl val="0"/>
      </c:catAx>
      <c:valAx>
        <c:axId val="18874406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1027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1500</c:v>
                </c:pt>
                <c:pt idx="4">
                  <c:v>500</c:v>
                </c:pt>
                <c:pt idx="5">
                  <c:v>300</c:v>
                </c:pt>
                <c:pt idx="6">
                  <c:v>900</c:v>
                </c:pt>
                <c:pt idx="7">
                  <c:v>600</c:v>
                </c:pt>
                <c:pt idx="8">
                  <c:v>1050</c:v>
                </c:pt>
                <c:pt idx="9">
                  <c:v>800</c:v>
                </c:pt>
                <c:pt idx="10">
                  <c:v>200</c:v>
                </c:pt>
                <c:pt idx="12">
                  <c:v>1000</c:v>
                </c:pt>
                <c:pt idx="13">
                  <c:v>600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1600</c:v>
                </c:pt>
                <c:pt idx="24">
                  <c:v>1050</c:v>
                </c:pt>
                <c:pt idx="25">
                  <c:v>1000</c:v>
                </c:pt>
                <c:pt idx="26">
                  <c:v>450</c:v>
                </c:pt>
                <c:pt idx="27">
                  <c:v>600</c:v>
                </c:pt>
                <c:pt idx="28">
                  <c:v>800</c:v>
                </c:pt>
                <c:pt idx="29">
                  <c:v>750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2000</c:v>
                </c:pt>
                <c:pt idx="36">
                  <c:v>2250</c:v>
                </c:pt>
                <c:pt idx="37">
                  <c:v>600</c:v>
                </c:pt>
                <c:pt idx="38">
                  <c:v>1050</c:v>
                </c:pt>
                <c:pt idx="39">
                  <c:v>1050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5-4D75-A9BB-0C2AEE3E7380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1500</c:v>
                </c:pt>
                <c:pt idx="4">
                  <c:v>300</c:v>
                </c:pt>
                <c:pt idx="5">
                  <c:v>300</c:v>
                </c:pt>
                <c:pt idx="6">
                  <c:v>750</c:v>
                </c:pt>
                <c:pt idx="7">
                  <c:v>450</c:v>
                </c:pt>
                <c:pt idx="8">
                  <c:v>1050</c:v>
                </c:pt>
                <c:pt idx="9">
                  <c:v>800</c:v>
                </c:pt>
                <c:pt idx="10">
                  <c:v>150</c:v>
                </c:pt>
                <c:pt idx="12">
                  <c:v>1000</c:v>
                </c:pt>
                <c:pt idx="13">
                  <c:v>500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1050</c:v>
                </c:pt>
                <c:pt idx="25">
                  <c:v>750</c:v>
                </c:pt>
                <c:pt idx="26">
                  <c:v>450</c:v>
                </c:pt>
                <c:pt idx="27">
                  <c:v>400</c:v>
                </c:pt>
                <c:pt idx="28">
                  <c:v>600</c:v>
                </c:pt>
                <c:pt idx="29">
                  <c:v>450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1200</c:v>
                </c:pt>
                <c:pt idx="36">
                  <c:v>1350</c:v>
                </c:pt>
                <c:pt idx="37">
                  <c:v>450</c:v>
                </c:pt>
                <c:pt idx="38">
                  <c:v>1050</c:v>
                </c:pt>
                <c:pt idx="39">
                  <c:v>1050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5-4D75-A9BB-0C2AEE3E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74656"/>
        <c:axId val="199576192"/>
      </c:barChart>
      <c:catAx>
        <c:axId val="1995746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9576192"/>
        <c:crosses val="autoZero"/>
        <c:auto val="1"/>
        <c:lblAlgn val="ctr"/>
        <c:lblOffset val="100"/>
        <c:noMultiLvlLbl val="0"/>
      </c:catAx>
      <c:valAx>
        <c:axId val="19957619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5746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'US-EP'!$W$26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'US-EP'!$V$27:$V$32</c:f>
              <c:strCache>
                <c:ptCount val="6"/>
                <c:pt idx="0">
                  <c:v>F - H</c:v>
                </c:pt>
                <c:pt idx="1">
                  <c:v>F - K</c:v>
                </c:pt>
                <c:pt idx="2">
                  <c:v>F - N</c:v>
                </c:pt>
                <c:pt idx="3">
                  <c:v>F - S</c:v>
                </c:pt>
                <c:pt idx="5">
                  <c:v>Total </c:v>
                </c:pt>
              </c:strCache>
            </c:strRef>
          </c:cat>
          <c:val>
            <c:numRef>
              <c:f>'US-EP'!$W$27:$W$32</c:f>
              <c:numCache>
                <c:formatCode>General</c:formatCode>
                <c:ptCount val="6"/>
                <c:pt idx="0">
                  <c:v>44</c:v>
                </c:pt>
                <c:pt idx="1">
                  <c:v>68</c:v>
                </c:pt>
                <c:pt idx="2">
                  <c:v>186</c:v>
                </c:pt>
                <c:pt idx="3">
                  <c:v>300</c:v>
                </c:pt>
                <c:pt idx="5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4-44F4-AA1C-1F259B1F5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9618560"/>
        <c:axId val="199620096"/>
      </c:barChart>
      <c:catAx>
        <c:axId val="1996185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9620096"/>
        <c:crosses val="autoZero"/>
        <c:auto val="1"/>
        <c:lblAlgn val="ctr"/>
        <c:lblOffset val="100"/>
        <c:noMultiLvlLbl val="0"/>
      </c:catAx>
      <c:valAx>
        <c:axId val="1996200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61856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906.61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569.96280000000002</c:v>
                </c:pt>
                <c:pt idx="7">
                  <c:v>399.89</c:v>
                </c:pt>
                <c:pt idx="8">
                  <c:v>633.85220000000004</c:v>
                </c:pt>
                <c:pt idx="9">
                  <c:v>479.22</c:v>
                </c:pt>
                <c:pt idx="10">
                  <c:v>177.65</c:v>
                </c:pt>
                <c:pt idx="12">
                  <c:v>585.49250000000006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386.15170000000001</c:v>
                </c:pt>
                <c:pt idx="16">
                  <c:v>479.2183</c:v>
                </c:pt>
                <c:pt idx="17">
                  <c:v>177.65</c:v>
                </c:pt>
                <c:pt idx="18">
                  <c:v>399.88779999999997</c:v>
                </c:pt>
                <c:pt idx="19">
                  <c:v>633.85220000000004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935.48580000000004</c:v>
                </c:pt>
                <c:pt idx="24">
                  <c:v>625.33169999999996</c:v>
                </c:pt>
                <c:pt idx="25">
                  <c:v>585.49250000000006</c:v>
                </c:pt>
                <c:pt idx="26">
                  <c:v>264.56579999999997</c:v>
                </c:pt>
                <c:pt idx="27">
                  <c:v>386.15170000000001</c:v>
                </c:pt>
                <c:pt idx="28">
                  <c:v>479.2183</c:v>
                </c:pt>
                <c:pt idx="29">
                  <c:v>472.42579999999998</c:v>
                </c:pt>
                <c:pt idx="30">
                  <c:v>906.61</c:v>
                </c:pt>
                <c:pt idx="31">
                  <c:v>264.56579999999997</c:v>
                </c:pt>
                <c:pt idx="32">
                  <c:v>708.52430000000004</c:v>
                </c:pt>
                <c:pt idx="33">
                  <c:v>386.15170000000001</c:v>
                </c:pt>
                <c:pt idx="34">
                  <c:v>1648.672</c:v>
                </c:pt>
                <c:pt idx="35">
                  <c:v>1220.4767000000002</c:v>
                </c:pt>
                <c:pt idx="36">
                  <c:v>1363.8454999999999</c:v>
                </c:pt>
                <c:pt idx="37">
                  <c:v>366.19299999999998</c:v>
                </c:pt>
                <c:pt idx="38">
                  <c:v>633.85220000000004</c:v>
                </c:pt>
                <c:pt idx="39">
                  <c:v>625.33169999999996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7-4537-AC7B-69953DA2A977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'US-UP'!$Q$3:$Q$56</c:f>
              <c:numCache>
                <c:formatCode>General</c:formatCode>
                <c:ptCount val="54"/>
                <c:pt idx="0">
                  <c:v>36.091999999999985</c:v>
                </c:pt>
                <c:pt idx="1">
                  <c:v>-9.5169999999999959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-31.079999999999984</c:v>
                </c:pt>
                <c:pt idx="5">
                  <c:v>96.95259999999999</c:v>
                </c:pt>
                <c:pt idx="6">
                  <c:v>89.925600000000031</c:v>
                </c:pt>
                <c:pt idx="7">
                  <c:v>49.779999999999973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105.3</c:v>
                </c:pt>
                <c:pt idx="12">
                  <c:v>170.98500000000001</c:v>
                </c:pt>
                <c:pt idx="13">
                  <c:v>1.8795999999999822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155.30000000000001</c:v>
                </c:pt>
                <c:pt idx="18">
                  <c:v>199.7756</c:v>
                </c:pt>
                <c:pt idx="19">
                  <c:v>217.70439999999996</c:v>
                </c:pt>
                <c:pt idx="20">
                  <c:v>151.79399999999998</c:v>
                </c:pt>
                <c:pt idx="21">
                  <c:v>155.30000000000001</c:v>
                </c:pt>
                <c:pt idx="23">
                  <c:v>-129.02839999999992</c:v>
                </c:pt>
                <c:pt idx="24">
                  <c:v>200.66340000000002</c:v>
                </c:pt>
                <c:pt idx="25">
                  <c:v>-79.014999999999986</c:v>
                </c:pt>
                <c:pt idx="26">
                  <c:v>79.131599999999992</c:v>
                </c:pt>
                <c:pt idx="27">
                  <c:v>-27.696599999999989</c:v>
                </c:pt>
                <c:pt idx="28">
                  <c:v>-41.563400000000001</c:v>
                </c:pt>
                <c:pt idx="29">
                  <c:v>-105.14840000000004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-359.0465999999999</c:v>
                </c:pt>
                <c:pt idx="36">
                  <c:v>-422.30899999999997</c:v>
                </c:pt>
                <c:pt idx="37">
                  <c:v>-17.613999999999976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-10.673339999999996</c:v>
                </c:pt>
                <c:pt idx="41">
                  <c:v>15.516340000000014</c:v>
                </c:pt>
                <c:pt idx="42">
                  <c:v>98.161600000000021</c:v>
                </c:pt>
                <c:pt idx="43">
                  <c:v>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-17.613999999999976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7-4537-AC7B-69953DA2A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32608"/>
        <c:axId val="199734400"/>
      </c:barChart>
      <c:catAx>
        <c:axId val="1997326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9734400"/>
        <c:crosses val="autoZero"/>
        <c:auto val="1"/>
        <c:lblAlgn val="ctr"/>
        <c:lblOffset val="100"/>
        <c:noMultiLvlLbl val="0"/>
      </c:catAx>
      <c:valAx>
        <c:axId val="19973440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32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1500</c:v>
                </c:pt>
                <c:pt idx="4">
                  <c:v>500</c:v>
                </c:pt>
                <c:pt idx="5">
                  <c:v>300</c:v>
                </c:pt>
                <c:pt idx="6">
                  <c:v>900</c:v>
                </c:pt>
                <c:pt idx="7">
                  <c:v>600</c:v>
                </c:pt>
                <c:pt idx="8">
                  <c:v>1050</c:v>
                </c:pt>
                <c:pt idx="9">
                  <c:v>800</c:v>
                </c:pt>
                <c:pt idx="10">
                  <c:v>200</c:v>
                </c:pt>
                <c:pt idx="12">
                  <c:v>1000</c:v>
                </c:pt>
                <c:pt idx="13">
                  <c:v>600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1600</c:v>
                </c:pt>
                <c:pt idx="24">
                  <c:v>1050</c:v>
                </c:pt>
                <c:pt idx="25">
                  <c:v>1000</c:v>
                </c:pt>
                <c:pt idx="26">
                  <c:v>450</c:v>
                </c:pt>
                <c:pt idx="27">
                  <c:v>600</c:v>
                </c:pt>
                <c:pt idx="28">
                  <c:v>800</c:v>
                </c:pt>
                <c:pt idx="29">
                  <c:v>750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2000</c:v>
                </c:pt>
                <c:pt idx="36">
                  <c:v>2250</c:v>
                </c:pt>
                <c:pt idx="37">
                  <c:v>600</c:v>
                </c:pt>
                <c:pt idx="38">
                  <c:v>1050</c:v>
                </c:pt>
                <c:pt idx="39">
                  <c:v>1050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FDC-A35C-D636C3A6FFB4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1500</c:v>
                </c:pt>
                <c:pt idx="4">
                  <c:v>300</c:v>
                </c:pt>
                <c:pt idx="5">
                  <c:v>300</c:v>
                </c:pt>
                <c:pt idx="6">
                  <c:v>750</c:v>
                </c:pt>
                <c:pt idx="7">
                  <c:v>450</c:v>
                </c:pt>
                <c:pt idx="8">
                  <c:v>1050</c:v>
                </c:pt>
                <c:pt idx="9">
                  <c:v>800</c:v>
                </c:pt>
                <c:pt idx="10">
                  <c:v>150</c:v>
                </c:pt>
                <c:pt idx="12">
                  <c:v>1000</c:v>
                </c:pt>
                <c:pt idx="13">
                  <c:v>500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1050</c:v>
                </c:pt>
                <c:pt idx="25">
                  <c:v>750</c:v>
                </c:pt>
                <c:pt idx="26">
                  <c:v>450</c:v>
                </c:pt>
                <c:pt idx="27">
                  <c:v>400</c:v>
                </c:pt>
                <c:pt idx="28">
                  <c:v>600</c:v>
                </c:pt>
                <c:pt idx="29">
                  <c:v>450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1200</c:v>
                </c:pt>
                <c:pt idx="36">
                  <c:v>1350</c:v>
                </c:pt>
                <c:pt idx="37">
                  <c:v>450</c:v>
                </c:pt>
                <c:pt idx="38">
                  <c:v>1050</c:v>
                </c:pt>
                <c:pt idx="39">
                  <c:v>1050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A-4FDC-A35C-D636C3A6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46144"/>
        <c:axId val="199852032"/>
      </c:barChart>
      <c:catAx>
        <c:axId val="1998461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9852032"/>
        <c:crosses val="autoZero"/>
        <c:auto val="1"/>
        <c:lblAlgn val="ctr"/>
        <c:lblOffset val="100"/>
        <c:noMultiLvlLbl val="0"/>
      </c:catAx>
      <c:valAx>
        <c:axId val="19985203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46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'US-UP'!$W$26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'US-UP'!$V$27:$V$32</c:f>
              <c:strCache>
                <c:ptCount val="6"/>
                <c:pt idx="0">
                  <c:v>F - H</c:v>
                </c:pt>
                <c:pt idx="1">
                  <c:v>H - L</c:v>
                </c:pt>
                <c:pt idx="2">
                  <c:v>F - N</c:v>
                </c:pt>
                <c:pt idx="3">
                  <c:v>F - S</c:v>
                </c:pt>
                <c:pt idx="5">
                  <c:v>Total </c:v>
                </c:pt>
              </c:strCache>
            </c:strRef>
          </c:cat>
          <c:val>
            <c:numRef>
              <c:f>'US-UP'!$W$27:$W$32</c:f>
              <c:numCache>
                <c:formatCode>General</c:formatCode>
                <c:ptCount val="6"/>
                <c:pt idx="0">
                  <c:v>44</c:v>
                </c:pt>
                <c:pt idx="1">
                  <c:v>20</c:v>
                </c:pt>
                <c:pt idx="2">
                  <c:v>65</c:v>
                </c:pt>
                <c:pt idx="3">
                  <c:v>150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9-4096-B266-8A975C8BB1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9873664"/>
        <c:axId val="199875200"/>
      </c:barChart>
      <c:catAx>
        <c:axId val="19987366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9875200"/>
        <c:crosses val="autoZero"/>
        <c:auto val="1"/>
        <c:lblAlgn val="ctr"/>
        <c:lblOffset val="100"/>
        <c:noMultiLvlLbl val="0"/>
      </c:catAx>
      <c:valAx>
        <c:axId val="19987520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7366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US!$I$3:$I$56</c:f>
              <c:numCache>
                <c:formatCode>General</c:formatCode>
                <c:ptCount val="54"/>
                <c:pt idx="0">
                  <c:v>268.04599999999999</c:v>
                </c:pt>
                <c:pt idx="1">
                  <c:v>120.2415</c:v>
                </c:pt>
                <c:pt idx="2">
                  <c:v>198.47629999999998</c:v>
                </c:pt>
                <c:pt idx="3">
                  <c:v>906.61</c:v>
                </c:pt>
                <c:pt idx="4">
                  <c:v>334.46000000000004</c:v>
                </c:pt>
                <c:pt idx="5">
                  <c:v>198.47629999999998</c:v>
                </c:pt>
                <c:pt idx="6">
                  <c:v>569.96280000000002</c:v>
                </c:pt>
                <c:pt idx="7">
                  <c:v>399.89</c:v>
                </c:pt>
                <c:pt idx="8">
                  <c:v>633.85220000000004</c:v>
                </c:pt>
                <c:pt idx="9">
                  <c:v>479.22</c:v>
                </c:pt>
                <c:pt idx="10">
                  <c:v>177.65</c:v>
                </c:pt>
                <c:pt idx="12">
                  <c:v>585.49250000000006</c:v>
                </c:pt>
                <c:pt idx="13">
                  <c:v>350.93979999999999</c:v>
                </c:pt>
                <c:pt idx="14">
                  <c:v>264.56579999999997</c:v>
                </c:pt>
                <c:pt idx="15">
                  <c:v>386.15170000000001</c:v>
                </c:pt>
                <c:pt idx="16">
                  <c:v>479.2183</c:v>
                </c:pt>
                <c:pt idx="17">
                  <c:v>177.65</c:v>
                </c:pt>
                <c:pt idx="18">
                  <c:v>399.88779999999997</c:v>
                </c:pt>
                <c:pt idx="19">
                  <c:v>633.85220000000004</c:v>
                </c:pt>
                <c:pt idx="20">
                  <c:v>175.89699999999999</c:v>
                </c:pt>
                <c:pt idx="21">
                  <c:v>177.65</c:v>
                </c:pt>
                <c:pt idx="23">
                  <c:v>935.48580000000004</c:v>
                </c:pt>
                <c:pt idx="24">
                  <c:v>625.33169999999996</c:v>
                </c:pt>
                <c:pt idx="25">
                  <c:v>585.49250000000006</c:v>
                </c:pt>
                <c:pt idx="26">
                  <c:v>264.56579999999997</c:v>
                </c:pt>
                <c:pt idx="27">
                  <c:v>386.15170000000001</c:v>
                </c:pt>
                <c:pt idx="28">
                  <c:v>479.2183</c:v>
                </c:pt>
                <c:pt idx="29">
                  <c:v>472.42579999999998</c:v>
                </c:pt>
                <c:pt idx="30">
                  <c:v>906.61</c:v>
                </c:pt>
                <c:pt idx="31">
                  <c:v>264.56579999999997</c:v>
                </c:pt>
                <c:pt idx="32">
                  <c:v>708.52430000000004</c:v>
                </c:pt>
                <c:pt idx="33">
                  <c:v>386.15170000000001</c:v>
                </c:pt>
                <c:pt idx="34">
                  <c:v>1648.672</c:v>
                </c:pt>
                <c:pt idx="35">
                  <c:v>1220.4767000000002</c:v>
                </c:pt>
                <c:pt idx="36">
                  <c:v>1363.8454999999999</c:v>
                </c:pt>
                <c:pt idx="37">
                  <c:v>366.19299999999998</c:v>
                </c:pt>
                <c:pt idx="38">
                  <c:v>633.85220000000004</c:v>
                </c:pt>
                <c:pt idx="39">
                  <c:v>625.33169999999996</c:v>
                </c:pt>
                <c:pt idx="40">
                  <c:v>169.66333</c:v>
                </c:pt>
                <c:pt idx="41">
                  <c:v>132.75817000000001</c:v>
                </c:pt>
                <c:pt idx="42">
                  <c:v>274.08080000000001</c:v>
                </c:pt>
                <c:pt idx="43">
                  <c:v>284.88569999999999</c:v>
                </c:pt>
                <c:pt idx="44">
                  <c:v>212.4315</c:v>
                </c:pt>
                <c:pt idx="45">
                  <c:v>103.836</c:v>
                </c:pt>
                <c:pt idx="46">
                  <c:v>274.08080000000001</c:v>
                </c:pt>
                <c:pt idx="47">
                  <c:v>103.836</c:v>
                </c:pt>
                <c:pt idx="48">
                  <c:v>103.836</c:v>
                </c:pt>
                <c:pt idx="49">
                  <c:v>263.12469999999996</c:v>
                </c:pt>
                <c:pt idx="50">
                  <c:v>212.4315</c:v>
                </c:pt>
                <c:pt idx="51">
                  <c:v>166.70167000000001</c:v>
                </c:pt>
                <c:pt idx="52">
                  <c:v>366.19299999999998</c:v>
                </c:pt>
                <c:pt idx="53">
                  <c:v>263.12469999999996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3-4A9C-8207-AEA47FCC9F3F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US!$Q$3:$Q$56</c:f>
              <c:numCache>
                <c:formatCode>General</c:formatCode>
                <c:ptCount val="54"/>
                <c:pt idx="0">
                  <c:v>36.091999999999985</c:v>
                </c:pt>
                <c:pt idx="1">
                  <c:v>-9.5169999999999959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-31.079999999999984</c:v>
                </c:pt>
                <c:pt idx="5">
                  <c:v>96.95259999999999</c:v>
                </c:pt>
                <c:pt idx="6">
                  <c:v>89.925600000000031</c:v>
                </c:pt>
                <c:pt idx="7">
                  <c:v>49.779999999999973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105.3</c:v>
                </c:pt>
                <c:pt idx="12">
                  <c:v>170.98500000000001</c:v>
                </c:pt>
                <c:pt idx="13">
                  <c:v>1.8795999999999822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155.30000000000001</c:v>
                </c:pt>
                <c:pt idx="18">
                  <c:v>199.7756</c:v>
                </c:pt>
                <c:pt idx="19">
                  <c:v>217.70439999999996</c:v>
                </c:pt>
                <c:pt idx="20">
                  <c:v>151.79399999999998</c:v>
                </c:pt>
                <c:pt idx="21">
                  <c:v>155.30000000000001</c:v>
                </c:pt>
                <c:pt idx="23">
                  <c:v>-129.02839999999992</c:v>
                </c:pt>
                <c:pt idx="24">
                  <c:v>200.66340000000002</c:v>
                </c:pt>
                <c:pt idx="25">
                  <c:v>-79.014999999999986</c:v>
                </c:pt>
                <c:pt idx="26">
                  <c:v>79.131599999999992</c:v>
                </c:pt>
                <c:pt idx="27">
                  <c:v>-27.696599999999989</c:v>
                </c:pt>
                <c:pt idx="28">
                  <c:v>-41.563400000000001</c:v>
                </c:pt>
                <c:pt idx="29">
                  <c:v>-105.14840000000004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-359.0465999999999</c:v>
                </c:pt>
                <c:pt idx="36">
                  <c:v>-422.30899999999997</c:v>
                </c:pt>
                <c:pt idx="37">
                  <c:v>-17.613999999999976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-10.673339999999996</c:v>
                </c:pt>
                <c:pt idx="41">
                  <c:v>15.516340000000014</c:v>
                </c:pt>
                <c:pt idx="42">
                  <c:v>98.161600000000021</c:v>
                </c:pt>
                <c:pt idx="43">
                  <c:v>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-17.613999999999976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3-4A9C-8207-AEA47FCC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20736"/>
        <c:axId val="200022272"/>
      </c:barChart>
      <c:catAx>
        <c:axId val="2000207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0022272"/>
        <c:crosses val="autoZero"/>
        <c:auto val="1"/>
        <c:lblAlgn val="ctr"/>
        <c:lblOffset val="100"/>
        <c:noMultiLvlLbl val="0"/>
      </c:catAx>
      <c:valAx>
        <c:axId val="20002227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0207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US!$E$3:$E$56</c:f>
              <c:numCache>
                <c:formatCode>General</c:formatCode>
                <c:ptCount val="54"/>
                <c:pt idx="0">
                  <c:v>400</c:v>
                </c:pt>
                <c:pt idx="1">
                  <c:v>200</c:v>
                </c:pt>
                <c:pt idx="2">
                  <c:v>300</c:v>
                </c:pt>
                <c:pt idx="3">
                  <c:v>1500</c:v>
                </c:pt>
                <c:pt idx="4">
                  <c:v>500</c:v>
                </c:pt>
                <c:pt idx="5">
                  <c:v>300</c:v>
                </c:pt>
                <c:pt idx="6">
                  <c:v>900</c:v>
                </c:pt>
                <c:pt idx="7">
                  <c:v>600</c:v>
                </c:pt>
                <c:pt idx="8">
                  <c:v>1050</c:v>
                </c:pt>
                <c:pt idx="9">
                  <c:v>800</c:v>
                </c:pt>
                <c:pt idx="10">
                  <c:v>200</c:v>
                </c:pt>
                <c:pt idx="12">
                  <c:v>1000</c:v>
                </c:pt>
                <c:pt idx="13">
                  <c:v>600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1600</c:v>
                </c:pt>
                <c:pt idx="24">
                  <c:v>1050</c:v>
                </c:pt>
                <c:pt idx="25">
                  <c:v>1000</c:v>
                </c:pt>
                <c:pt idx="26">
                  <c:v>450</c:v>
                </c:pt>
                <c:pt idx="27">
                  <c:v>600</c:v>
                </c:pt>
                <c:pt idx="28">
                  <c:v>800</c:v>
                </c:pt>
                <c:pt idx="29">
                  <c:v>750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2000</c:v>
                </c:pt>
                <c:pt idx="36">
                  <c:v>2250</c:v>
                </c:pt>
                <c:pt idx="37">
                  <c:v>600</c:v>
                </c:pt>
                <c:pt idx="38">
                  <c:v>1050</c:v>
                </c:pt>
                <c:pt idx="39">
                  <c:v>1050</c:v>
                </c:pt>
                <c:pt idx="40">
                  <c:v>250</c:v>
                </c:pt>
                <c:pt idx="41">
                  <c:v>200</c:v>
                </c:pt>
                <c:pt idx="42">
                  <c:v>450</c:v>
                </c:pt>
                <c:pt idx="43">
                  <c:v>400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600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D-4DF4-BBA5-D4F480F4A0CD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US!$M$3:$M$56</c:f>
              <c:numCache>
                <c:formatCode>General</c:formatCode>
                <c:ptCount val="54"/>
                <c:pt idx="0">
                  <c:v>300</c:v>
                </c:pt>
                <c:pt idx="1">
                  <c:v>150</c:v>
                </c:pt>
                <c:pt idx="2">
                  <c:v>300</c:v>
                </c:pt>
                <c:pt idx="3">
                  <c:v>1500</c:v>
                </c:pt>
                <c:pt idx="4">
                  <c:v>300</c:v>
                </c:pt>
                <c:pt idx="5">
                  <c:v>300</c:v>
                </c:pt>
                <c:pt idx="6">
                  <c:v>750</c:v>
                </c:pt>
                <c:pt idx="7">
                  <c:v>450</c:v>
                </c:pt>
                <c:pt idx="8">
                  <c:v>1050</c:v>
                </c:pt>
                <c:pt idx="9">
                  <c:v>800</c:v>
                </c:pt>
                <c:pt idx="10">
                  <c:v>150</c:v>
                </c:pt>
                <c:pt idx="12">
                  <c:v>1000</c:v>
                </c:pt>
                <c:pt idx="13">
                  <c:v>500</c:v>
                </c:pt>
                <c:pt idx="14">
                  <c:v>450</c:v>
                </c:pt>
                <c:pt idx="15">
                  <c:v>600</c:v>
                </c:pt>
                <c:pt idx="16">
                  <c:v>800</c:v>
                </c:pt>
                <c:pt idx="17">
                  <c:v>200</c:v>
                </c:pt>
                <c:pt idx="18">
                  <c:v>600</c:v>
                </c:pt>
                <c:pt idx="19">
                  <c:v>1050</c:v>
                </c:pt>
                <c:pt idx="20">
                  <c:v>200</c:v>
                </c:pt>
                <c:pt idx="21">
                  <c:v>200</c:v>
                </c:pt>
                <c:pt idx="23">
                  <c:v>1200</c:v>
                </c:pt>
                <c:pt idx="24">
                  <c:v>1050</c:v>
                </c:pt>
                <c:pt idx="25">
                  <c:v>750</c:v>
                </c:pt>
                <c:pt idx="26">
                  <c:v>450</c:v>
                </c:pt>
                <c:pt idx="27">
                  <c:v>400</c:v>
                </c:pt>
                <c:pt idx="28">
                  <c:v>600</c:v>
                </c:pt>
                <c:pt idx="29">
                  <c:v>450</c:v>
                </c:pt>
                <c:pt idx="30">
                  <c:v>1500</c:v>
                </c:pt>
                <c:pt idx="31">
                  <c:v>450</c:v>
                </c:pt>
                <c:pt idx="32">
                  <c:v>1200</c:v>
                </c:pt>
                <c:pt idx="33">
                  <c:v>600</c:v>
                </c:pt>
                <c:pt idx="34">
                  <c:v>2800</c:v>
                </c:pt>
                <c:pt idx="35">
                  <c:v>1200</c:v>
                </c:pt>
                <c:pt idx="36">
                  <c:v>1350</c:v>
                </c:pt>
                <c:pt idx="37">
                  <c:v>450</c:v>
                </c:pt>
                <c:pt idx="38">
                  <c:v>1050</c:v>
                </c:pt>
                <c:pt idx="39">
                  <c:v>1050</c:v>
                </c:pt>
                <c:pt idx="40">
                  <c:v>150</c:v>
                </c:pt>
                <c:pt idx="41">
                  <c:v>150</c:v>
                </c:pt>
                <c:pt idx="42">
                  <c:v>450</c:v>
                </c:pt>
                <c:pt idx="43">
                  <c:v>300</c:v>
                </c:pt>
                <c:pt idx="44">
                  <c:v>300</c:v>
                </c:pt>
                <c:pt idx="45">
                  <c:v>150</c:v>
                </c:pt>
                <c:pt idx="46">
                  <c:v>450</c:v>
                </c:pt>
                <c:pt idx="47">
                  <c:v>150</c:v>
                </c:pt>
                <c:pt idx="48">
                  <c:v>150</c:v>
                </c:pt>
                <c:pt idx="49">
                  <c:v>400</c:v>
                </c:pt>
                <c:pt idx="50">
                  <c:v>300</c:v>
                </c:pt>
                <c:pt idx="51">
                  <c:v>200</c:v>
                </c:pt>
                <c:pt idx="52">
                  <c:v>450</c:v>
                </c:pt>
                <c:pt idx="5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D-4DF4-BBA5-D4F480F4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52096"/>
        <c:axId val="200053888"/>
      </c:barChart>
      <c:catAx>
        <c:axId val="2000520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0053888"/>
        <c:crosses val="autoZero"/>
        <c:auto val="1"/>
        <c:lblAlgn val="ctr"/>
        <c:lblOffset val="100"/>
        <c:noMultiLvlLbl val="0"/>
      </c:catAx>
      <c:valAx>
        <c:axId val="20005388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0520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US!$W$26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US!$V$27:$V$32</c:f>
              <c:strCache>
                <c:ptCount val="6"/>
                <c:pt idx="2">
                  <c:v>F - N</c:v>
                </c:pt>
                <c:pt idx="3">
                  <c:v>F - S</c:v>
                </c:pt>
                <c:pt idx="5">
                  <c:v>Total </c:v>
                </c:pt>
              </c:strCache>
            </c:strRef>
          </c:cat>
          <c:val>
            <c:numRef>
              <c:f>US!$W$27:$W$32</c:f>
              <c:numCache>
                <c:formatCode>General</c:formatCode>
                <c:ptCount val="6"/>
                <c:pt idx="2">
                  <c:v>56</c:v>
                </c:pt>
                <c:pt idx="3">
                  <c:v>40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7-4302-BE50-5F0135AA8F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079616"/>
        <c:axId val="200105984"/>
      </c:barChart>
      <c:catAx>
        <c:axId val="2000796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200105984"/>
        <c:crosses val="autoZero"/>
        <c:auto val="1"/>
        <c:lblAlgn val="ctr"/>
        <c:lblOffset val="100"/>
        <c:noMultiLvlLbl val="0"/>
      </c:catAx>
      <c:valAx>
        <c:axId val="20010598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07961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FlowThinning!$H$4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FlowThinning!$G$5:$G$7</c:f>
              <c:numCache>
                <c:formatCode>General</c:formatCode>
                <c:ptCount val="3"/>
              </c:numCache>
            </c:numRef>
          </c:cat>
          <c:val>
            <c:numRef>
              <c:f>FlowThinning!$H$5:$H$7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570-41F2-B81A-FA25145F2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FlowThinningModularCapacities!$G$5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FlowThinningModularCapacities!$F$6:$F$8</c:f>
              <c:numCache>
                <c:formatCode>General</c:formatCode>
                <c:ptCount val="3"/>
              </c:numCache>
            </c:numRef>
          </c:cat>
          <c:val>
            <c:numRef>
              <c:f>FlowThinningModularCapacities!$G$6:$G$8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4290-4854-B59F-F7D6C54393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Reroute'!$K$3:$K$56</c:f>
              <c:numCache>
                <c:formatCode>General</c:formatCode>
                <c:ptCount val="54"/>
                <c:pt idx="0">
                  <c:v>136.09199999999998</c:v>
                </c:pt>
                <c:pt idx="1">
                  <c:v>40.483000000000004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168.92000000000002</c:v>
                </c:pt>
                <c:pt idx="5">
                  <c:v>96.95259999999999</c:v>
                </c:pt>
                <c:pt idx="6">
                  <c:v>239.92560000000003</c:v>
                </c:pt>
                <c:pt idx="7">
                  <c:v>199.77999999999997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155.30000000000001</c:v>
                </c:pt>
                <c:pt idx="12">
                  <c:v>170.98500000000001</c:v>
                </c:pt>
                <c:pt idx="13">
                  <c:v>101.87959999999998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155.30000000000001</c:v>
                </c:pt>
                <c:pt idx="18">
                  <c:v>199.7756</c:v>
                </c:pt>
                <c:pt idx="19">
                  <c:v>217.70439999999996</c:v>
                </c:pt>
                <c:pt idx="20">
                  <c:v>151.79399999999998</c:v>
                </c:pt>
                <c:pt idx="21">
                  <c:v>155.30000000000001</c:v>
                </c:pt>
                <c:pt idx="23">
                  <c:v>270.97160000000008</c:v>
                </c:pt>
                <c:pt idx="24">
                  <c:v>200.66340000000002</c:v>
                </c:pt>
                <c:pt idx="25">
                  <c:v>170.98500000000001</c:v>
                </c:pt>
                <c:pt idx="26">
                  <c:v>79.131599999999992</c:v>
                </c:pt>
                <c:pt idx="27">
                  <c:v>172.30340000000001</c:v>
                </c:pt>
                <c:pt idx="28">
                  <c:v>158.4366</c:v>
                </c:pt>
                <c:pt idx="29">
                  <c:v>194.85159999999996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440.9534000000001</c:v>
                </c:pt>
                <c:pt idx="36">
                  <c:v>477.69100000000003</c:v>
                </c:pt>
                <c:pt idx="37">
                  <c:v>132.38600000000002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89.326660000000004</c:v>
                </c:pt>
                <c:pt idx="41">
                  <c:v>65.516340000000014</c:v>
                </c:pt>
                <c:pt idx="42">
                  <c:v>98.161600000000021</c:v>
                </c:pt>
                <c:pt idx="43">
                  <c:v>169.7714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132.38600000000002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A-40D4-82BD-DB7EA468F2B6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Reroute'!$P$3:$P$56</c:f>
              <c:numCache>
                <c:formatCode>General</c:formatCode>
                <c:ptCount val="54"/>
                <c:pt idx="0">
                  <c:v>36.091999999999985</c:v>
                </c:pt>
                <c:pt idx="1">
                  <c:v>-9.5169999999999959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-31.079999999999984</c:v>
                </c:pt>
                <c:pt idx="5">
                  <c:v>96.95259999999999</c:v>
                </c:pt>
                <c:pt idx="6">
                  <c:v>89.925600000000031</c:v>
                </c:pt>
                <c:pt idx="7">
                  <c:v>49.779999999999973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105.3</c:v>
                </c:pt>
                <c:pt idx="12">
                  <c:v>170.98500000000001</c:v>
                </c:pt>
                <c:pt idx="13">
                  <c:v>1.8795999999999822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105.3</c:v>
                </c:pt>
                <c:pt idx="18">
                  <c:v>49.775599999999997</c:v>
                </c:pt>
                <c:pt idx="19">
                  <c:v>217.70439999999996</c:v>
                </c:pt>
                <c:pt idx="20">
                  <c:v>101.794</c:v>
                </c:pt>
                <c:pt idx="21">
                  <c:v>105.3</c:v>
                </c:pt>
                <c:pt idx="23">
                  <c:v>-129.02839999999992</c:v>
                </c:pt>
                <c:pt idx="24">
                  <c:v>200.66340000000002</c:v>
                </c:pt>
                <c:pt idx="25">
                  <c:v>-79.014999999999986</c:v>
                </c:pt>
                <c:pt idx="26">
                  <c:v>79.131599999999992</c:v>
                </c:pt>
                <c:pt idx="27">
                  <c:v>-27.696599999999989</c:v>
                </c:pt>
                <c:pt idx="28">
                  <c:v>-41.563400000000001</c:v>
                </c:pt>
                <c:pt idx="29">
                  <c:v>-105.14840000000004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-359.0465999999999</c:v>
                </c:pt>
                <c:pt idx="36">
                  <c:v>-422.30899999999997</c:v>
                </c:pt>
                <c:pt idx="37">
                  <c:v>-17.613999999999976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-10.673339999999996</c:v>
                </c:pt>
                <c:pt idx="41">
                  <c:v>15.516340000000014</c:v>
                </c:pt>
                <c:pt idx="42">
                  <c:v>98.161600000000021</c:v>
                </c:pt>
                <c:pt idx="43">
                  <c:v>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-17.613999999999976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A-40D4-82BD-DB7EA468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19424"/>
        <c:axId val="189325312"/>
      </c:barChart>
      <c:catAx>
        <c:axId val="18931942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9325312"/>
        <c:crosses val="autoZero"/>
        <c:auto val="1"/>
        <c:lblAlgn val="ctr"/>
        <c:lblOffset val="100"/>
        <c:noMultiLvlLbl val="0"/>
      </c:catAx>
      <c:valAx>
        <c:axId val="18932531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3194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AffineFlowThinning!$F$6:$F$14</c:f>
              <c:strCache>
                <c:ptCount val="9"/>
                <c:pt idx="0">
                  <c:v>D - DO</c:v>
                </c:pt>
                <c:pt idx="1">
                  <c:v>D - M</c:v>
                </c:pt>
                <c:pt idx="2">
                  <c:v>DO - F</c:v>
                </c:pt>
                <c:pt idx="3">
                  <c:v>F - H</c:v>
                </c:pt>
                <c:pt idx="4">
                  <c:v>F - K</c:v>
                </c:pt>
                <c:pt idx="5">
                  <c:v>F - N</c:v>
                </c:pt>
                <c:pt idx="6">
                  <c:v>F - S</c:v>
                </c:pt>
                <c:pt idx="7">
                  <c:v>F - U</c:v>
                </c:pt>
                <c:pt idx="8">
                  <c:v>H - HH</c:v>
                </c:pt>
              </c:strCache>
            </c:strRef>
          </c:cat>
          <c:val>
            <c:numRef>
              <c:f>AffineFlowThinning!$G$6:$G$14</c:f>
              <c:numCache>
                <c:formatCode>0</c:formatCode>
                <c:ptCount val="9"/>
                <c:pt idx="0">
                  <c:v>90</c:v>
                </c:pt>
                <c:pt idx="1">
                  <c:v>13</c:v>
                </c:pt>
                <c:pt idx="2">
                  <c:v>159</c:v>
                </c:pt>
                <c:pt idx="3">
                  <c:v>230</c:v>
                </c:pt>
                <c:pt idx="4">
                  <c:v>220</c:v>
                </c:pt>
                <c:pt idx="5">
                  <c:v>769</c:v>
                </c:pt>
                <c:pt idx="6">
                  <c:v>909</c:v>
                </c:pt>
                <c:pt idx="7">
                  <c:v>130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29F-83D8-26937585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AffineFlowThinningModularCapaci!$H$4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AffineFlowThinningModularCapaci!$G$5:$G$24</c:f>
              <c:strCache>
                <c:ptCount val="20"/>
                <c:pt idx="0">
                  <c:v>B - H</c:v>
                </c:pt>
                <c:pt idx="1">
                  <c:v>B - HH</c:v>
                </c:pt>
                <c:pt idx="2">
                  <c:v>D - DO</c:v>
                </c:pt>
                <c:pt idx="3">
                  <c:v>D - F</c:v>
                </c:pt>
                <c:pt idx="4">
                  <c:v>D - H</c:v>
                </c:pt>
                <c:pt idx="5">
                  <c:v>D - K</c:v>
                </c:pt>
                <c:pt idx="6">
                  <c:v>D - M</c:v>
                </c:pt>
                <c:pt idx="7">
                  <c:v>DO - F</c:v>
                </c:pt>
                <c:pt idx="8">
                  <c:v>DO - H</c:v>
                </c:pt>
                <c:pt idx="9">
                  <c:v>F - H</c:v>
                </c:pt>
                <c:pt idx="10">
                  <c:v>F - HH</c:v>
                </c:pt>
                <c:pt idx="11">
                  <c:v>F - K</c:v>
                </c:pt>
                <c:pt idx="12">
                  <c:v>F - L</c:v>
                </c:pt>
                <c:pt idx="13">
                  <c:v>F - N</c:v>
                </c:pt>
                <c:pt idx="14">
                  <c:v>F - S</c:v>
                </c:pt>
                <c:pt idx="15">
                  <c:v>F - U</c:v>
                </c:pt>
                <c:pt idx="16">
                  <c:v>H - HH</c:v>
                </c:pt>
                <c:pt idx="17">
                  <c:v>H - K</c:v>
                </c:pt>
                <c:pt idx="18">
                  <c:v>L - S</c:v>
                </c:pt>
                <c:pt idx="19">
                  <c:v>N - S</c:v>
                </c:pt>
              </c:strCache>
            </c:strRef>
          </c:cat>
          <c:val>
            <c:numRef>
              <c:f>AffineFlowThinningModularCapaci!$H$5:$H$24</c:f>
              <c:numCache>
                <c:formatCode>0</c:formatCode>
                <c:ptCount val="20"/>
                <c:pt idx="0">
                  <c:v>1</c:v>
                </c:pt>
                <c:pt idx="1">
                  <c:v>23</c:v>
                </c:pt>
                <c:pt idx="2">
                  <c:v>120</c:v>
                </c:pt>
                <c:pt idx="3">
                  <c:v>205</c:v>
                </c:pt>
                <c:pt idx="4">
                  <c:v>9</c:v>
                </c:pt>
                <c:pt idx="5">
                  <c:v>103</c:v>
                </c:pt>
                <c:pt idx="6">
                  <c:v>68</c:v>
                </c:pt>
                <c:pt idx="7">
                  <c:v>146</c:v>
                </c:pt>
                <c:pt idx="8">
                  <c:v>10</c:v>
                </c:pt>
                <c:pt idx="9">
                  <c:v>352</c:v>
                </c:pt>
                <c:pt idx="10">
                  <c:v>16</c:v>
                </c:pt>
                <c:pt idx="11">
                  <c:v>332</c:v>
                </c:pt>
                <c:pt idx="12">
                  <c:v>8</c:v>
                </c:pt>
                <c:pt idx="13">
                  <c:v>832</c:v>
                </c:pt>
                <c:pt idx="14">
                  <c:v>1137</c:v>
                </c:pt>
                <c:pt idx="15">
                  <c:v>123</c:v>
                </c:pt>
                <c:pt idx="16">
                  <c:v>56</c:v>
                </c:pt>
                <c:pt idx="17">
                  <c:v>39</c:v>
                </c:pt>
                <c:pt idx="18">
                  <c:v>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4D78-BBE3-F78661395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conclusion!$C$5</c:f>
              <c:strCache>
                <c:ptCount val="1"/>
                <c:pt idx="0">
                  <c:v>C_failure (Gbps)</c:v>
                </c:pt>
              </c:strCache>
            </c:strRef>
          </c:tx>
          <c:invertIfNegative val="0"/>
          <c:cat>
            <c:strRef>
              <c:f>conclusion!$B$6:$B$20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US-EP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conclusion!$C$6:$C$20</c:f>
              <c:numCache>
                <c:formatCode>General</c:formatCode>
                <c:ptCount val="15"/>
                <c:pt idx="0">
                  <c:v>10850</c:v>
                </c:pt>
                <c:pt idx="1">
                  <c:v>1800</c:v>
                </c:pt>
                <c:pt idx="2">
                  <c:v>1750</c:v>
                </c:pt>
                <c:pt idx="3">
                  <c:v>7100</c:v>
                </c:pt>
                <c:pt idx="4">
                  <c:v>4300</c:v>
                </c:pt>
                <c:pt idx="5">
                  <c:v>9700</c:v>
                </c:pt>
                <c:pt idx="6">
                  <c:v>2500</c:v>
                </c:pt>
                <c:pt idx="7">
                  <c:v>1300</c:v>
                </c:pt>
                <c:pt idx="8">
                  <c:v>1000</c:v>
                </c:pt>
                <c:pt idx="9">
                  <c:v>600</c:v>
                </c:pt>
                <c:pt idx="10">
                  <c:v>400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6-4E16-A6E2-60A62277E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81536"/>
        <c:axId val="197683072"/>
      </c:barChart>
      <c:catAx>
        <c:axId val="19768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683072"/>
        <c:crosses val="autoZero"/>
        <c:auto val="1"/>
        <c:lblAlgn val="ctr"/>
        <c:lblOffset val="100"/>
        <c:noMultiLvlLbl val="0"/>
      </c:catAx>
      <c:valAx>
        <c:axId val="1976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conclusion!$D$5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conclusion!$B$6:$B$20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US-EP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conclusion!$D$6:$D$20</c:f>
              <c:numCache>
                <c:formatCode>General</c:formatCode>
                <c:ptCount val="15"/>
                <c:pt idx="0">
                  <c:v>1073.6500000000001</c:v>
                </c:pt>
                <c:pt idx="1">
                  <c:v>245.47559999999999</c:v>
                </c:pt>
                <c:pt idx="2">
                  <c:v>219.5823</c:v>
                </c:pt>
                <c:pt idx="3">
                  <c:v>716.08079999999995</c:v>
                </c:pt>
                <c:pt idx="4">
                  <c:v>506.51139999999998</c:v>
                </c:pt>
                <c:pt idx="5">
                  <c:v>1027.5519999999999</c:v>
                </c:pt>
                <c:pt idx="6">
                  <c:v>313.68900000000002</c:v>
                </c:pt>
                <c:pt idx="7">
                  <c:v>158.21340000000001</c:v>
                </c:pt>
                <c:pt idx="8">
                  <c:v>125.4756</c:v>
                </c:pt>
                <c:pt idx="9">
                  <c:v>77.737799999999993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3-478F-B0DC-DD12F38F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03552"/>
        <c:axId val="197705088"/>
      </c:barChart>
      <c:catAx>
        <c:axId val="19770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705088"/>
        <c:crosses val="autoZero"/>
        <c:auto val="1"/>
        <c:lblAlgn val="ctr"/>
        <c:lblOffset val="100"/>
        <c:noMultiLvlLbl val="0"/>
      </c:catAx>
      <c:valAx>
        <c:axId val="1977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0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conclusion!$D$47</c:f>
              <c:strCache>
                <c:ptCount val="1"/>
                <c:pt idx="0">
                  <c:v>Spare Capacity (Gbps)</c:v>
                </c:pt>
              </c:strCache>
            </c:strRef>
          </c:tx>
          <c:invertIfNegative val="0"/>
          <c:cat>
            <c:strRef>
              <c:f>conclusion!$B$48:$B$62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conclusion!$D$48:$D$62</c:f>
              <c:numCache>
                <c:formatCode>General</c:formatCode>
                <c:ptCount val="15"/>
                <c:pt idx="0">
                  <c:v>10850</c:v>
                </c:pt>
                <c:pt idx="1">
                  <c:v>1800</c:v>
                </c:pt>
                <c:pt idx="2">
                  <c:v>1750</c:v>
                </c:pt>
                <c:pt idx="3">
                  <c:v>7100</c:v>
                </c:pt>
                <c:pt idx="4">
                  <c:v>4300</c:v>
                </c:pt>
                <c:pt idx="5">
                  <c:v>9700</c:v>
                </c:pt>
                <c:pt idx="6">
                  <c:v>2500</c:v>
                </c:pt>
                <c:pt idx="7">
                  <c:v>1300</c:v>
                </c:pt>
                <c:pt idx="8">
                  <c:v>1000</c:v>
                </c:pt>
                <c:pt idx="9">
                  <c:v>600</c:v>
                </c:pt>
                <c:pt idx="10">
                  <c:v>400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5-4021-8080-A6B22ED0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conclusion!$E$47</c:f>
              <c:strCache>
                <c:ptCount val="1"/>
                <c:pt idx="0">
                  <c:v>Total Capacity (Gbps)</c:v>
                </c:pt>
              </c:strCache>
            </c:strRef>
          </c:tx>
          <c:invertIfNegative val="0"/>
          <c:cat>
            <c:strRef>
              <c:f>conclusion!$B$48:$B$62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conclusion!$E$48:$E$62</c:f>
              <c:numCache>
                <c:formatCode>General</c:formatCode>
                <c:ptCount val="15"/>
                <c:pt idx="0">
                  <c:v>58650</c:v>
                </c:pt>
                <c:pt idx="1">
                  <c:v>49600</c:v>
                </c:pt>
                <c:pt idx="2">
                  <c:v>49550</c:v>
                </c:pt>
                <c:pt idx="3">
                  <c:v>54900</c:v>
                </c:pt>
                <c:pt idx="4">
                  <c:v>52100</c:v>
                </c:pt>
                <c:pt idx="5">
                  <c:v>57500</c:v>
                </c:pt>
                <c:pt idx="6">
                  <c:v>50300</c:v>
                </c:pt>
                <c:pt idx="7">
                  <c:v>49100</c:v>
                </c:pt>
                <c:pt idx="8">
                  <c:v>48800</c:v>
                </c:pt>
                <c:pt idx="9">
                  <c:v>48400</c:v>
                </c:pt>
                <c:pt idx="10">
                  <c:v>48200</c:v>
                </c:pt>
                <c:pt idx="12">
                  <c:v>45200</c:v>
                </c:pt>
                <c:pt idx="1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E-4C0B-AF8C-DB75C0CD8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conclusion!$C$47</c:f>
              <c:strCache>
                <c:ptCount val="1"/>
                <c:pt idx="0">
                  <c:v>Working Capacity (Gbps)</c:v>
                </c:pt>
              </c:strCache>
            </c:strRef>
          </c:tx>
          <c:invertIfNegative val="0"/>
          <c:cat>
            <c:strRef>
              <c:f>conclusion!$B$48:$B$62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conclusion!$C$48:$C$62</c:f>
              <c:numCache>
                <c:formatCode>General</c:formatCode>
                <c:ptCount val="15"/>
                <c:pt idx="0">
                  <c:v>47800</c:v>
                </c:pt>
                <c:pt idx="1">
                  <c:v>47800</c:v>
                </c:pt>
                <c:pt idx="2">
                  <c:v>47800</c:v>
                </c:pt>
                <c:pt idx="3">
                  <c:v>47800</c:v>
                </c:pt>
                <c:pt idx="4">
                  <c:v>47800</c:v>
                </c:pt>
                <c:pt idx="5">
                  <c:v>47800</c:v>
                </c:pt>
                <c:pt idx="6">
                  <c:v>47800</c:v>
                </c:pt>
                <c:pt idx="7">
                  <c:v>47800</c:v>
                </c:pt>
                <c:pt idx="8">
                  <c:v>47800</c:v>
                </c:pt>
                <c:pt idx="9">
                  <c:v>47800</c:v>
                </c:pt>
                <c:pt idx="10">
                  <c:v>47800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B-4823-9DC3-10F0BAC2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09218540624234"/>
          <c:y val="0.20302802921649268"/>
          <c:w val="0.74930218081152222"/>
          <c:h val="0.3829150005224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conclusion!$D$65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conclusion!$B$66:$B$80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conclusion!$D$66:$D$80</c:f>
              <c:numCache>
                <c:formatCode>General</c:formatCode>
                <c:ptCount val="15"/>
                <c:pt idx="0">
                  <c:v>5167</c:v>
                </c:pt>
                <c:pt idx="1">
                  <c:v>4339</c:v>
                </c:pt>
                <c:pt idx="2">
                  <c:v>4313</c:v>
                </c:pt>
                <c:pt idx="3">
                  <c:v>4809</c:v>
                </c:pt>
                <c:pt idx="4">
                  <c:v>4599</c:v>
                </c:pt>
                <c:pt idx="5">
                  <c:v>5121</c:v>
                </c:pt>
                <c:pt idx="6">
                  <c:v>4407</c:v>
                </c:pt>
                <c:pt idx="7">
                  <c:v>4251</c:v>
                </c:pt>
                <c:pt idx="8">
                  <c:v>4219</c:v>
                </c:pt>
                <c:pt idx="9">
                  <c:v>4171</c:v>
                </c:pt>
                <c:pt idx="10">
                  <c:v>4153</c:v>
                </c:pt>
                <c:pt idx="12">
                  <c:v>2762</c:v>
                </c:pt>
                <c:pt idx="14">
                  <c:v>2763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F-4FD9-8CB4-68F70DB2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53664"/>
        <c:axId val="191155200"/>
      </c:barChart>
      <c:catAx>
        <c:axId val="191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55200"/>
        <c:crosses val="autoZero"/>
        <c:auto val="1"/>
        <c:lblAlgn val="ctr"/>
        <c:lblOffset val="100"/>
        <c:noMultiLvlLbl val="0"/>
      </c:catAx>
      <c:valAx>
        <c:axId val="191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4BE1-85D9-4A8F2E8BB0D9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4BE1-85D9-4A8F2E8B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09280"/>
        <c:axId val="197810816"/>
      </c:barChart>
      <c:catAx>
        <c:axId val="1978092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7810816"/>
        <c:crosses val="autoZero"/>
        <c:auto val="1"/>
        <c:lblAlgn val="ctr"/>
        <c:lblOffset val="100"/>
        <c:noMultiLvlLbl val="0"/>
      </c:catAx>
      <c:valAx>
        <c:axId val="19781081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8092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= 0 Extra Capacity Needed (G)"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Capacity Needed (G)"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'Multiple-path Reroute'!$T$4:$T$20</c:f>
              <c:strCache>
                <c:ptCount val="17"/>
                <c:pt idx="3">
                  <c:v>F - K </c:v>
                </c:pt>
                <c:pt idx="4">
                  <c:v>D - L </c:v>
                </c:pt>
                <c:pt idx="6">
                  <c:v>F - H </c:v>
                </c:pt>
                <c:pt idx="7">
                  <c:v>H - L </c:v>
                </c:pt>
                <c:pt idx="8">
                  <c:v>L - M</c:v>
                </c:pt>
                <c:pt idx="10">
                  <c:v>F - S</c:v>
                </c:pt>
                <c:pt idx="12">
                  <c:v>F - N</c:v>
                </c:pt>
                <c:pt idx="13">
                  <c:v>L - U</c:v>
                </c:pt>
                <c:pt idx="16">
                  <c:v>Total</c:v>
                </c:pt>
              </c:strCache>
            </c:strRef>
          </c:cat>
          <c:val>
            <c:numRef>
              <c:f>'Multiple-path Reroute'!$U$4:$U$20</c:f>
              <c:numCache>
                <c:formatCode>General</c:formatCode>
                <c:ptCount val="17"/>
                <c:pt idx="3">
                  <c:v>40</c:v>
                </c:pt>
                <c:pt idx="4">
                  <c:v>123</c:v>
                </c:pt>
                <c:pt idx="6">
                  <c:v>44.41</c:v>
                </c:pt>
                <c:pt idx="7">
                  <c:v>9</c:v>
                </c:pt>
                <c:pt idx="8">
                  <c:v>56</c:v>
                </c:pt>
                <c:pt idx="10">
                  <c:v>306</c:v>
                </c:pt>
                <c:pt idx="12">
                  <c:v>186</c:v>
                </c:pt>
                <c:pt idx="13">
                  <c:v>15</c:v>
                </c:pt>
                <c:pt idx="16">
                  <c:v>779.41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A-4F78-8690-3488924ABF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7846528"/>
        <c:axId val="197848064"/>
      </c:barChart>
      <c:catAx>
        <c:axId val="19784652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7848064"/>
        <c:crosses val="autoZero"/>
        <c:auto val="1"/>
        <c:lblAlgn val="ctr"/>
        <c:lblOffset val="100"/>
        <c:noMultiLvlLbl val="0"/>
      </c:catAx>
      <c:valAx>
        <c:axId val="19784806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78465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0&lt;alpha&lt;1'!$K$3:$K$56</c:f>
              <c:numCache>
                <c:formatCode>General</c:formatCode>
                <c:ptCount val="54"/>
                <c:pt idx="0">
                  <c:v>136.09199999999998</c:v>
                </c:pt>
                <c:pt idx="1">
                  <c:v>40.483000000000004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168.92000000000002</c:v>
                </c:pt>
                <c:pt idx="5">
                  <c:v>96.95259999999999</c:v>
                </c:pt>
                <c:pt idx="6">
                  <c:v>239.92560000000003</c:v>
                </c:pt>
                <c:pt idx="7">
                  <c:v>199.77999999999997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155.30000000000001</c:v>
                </c:pt>
                <c:pt idx="12">
                  <c:v>170.98500000000001</c:v>
                </c:pt>
                <c:pt idx="13">
                  <c:v>101.87959999999998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155.30000000000001</c:v>
                </c:pt>
                <c:pt idx="18">
                  <c:v>199.7756</c:v>
                </c:pt>
                <c:pt idx="19">
                  <c:v>217.70439999999996</c:v>
                </c:pt>
                <c:pt idx="20">
                  <c:v>151.79399999999998</c:v>
                </c:pt>
                <c:pt idx="21">
                  <c:v>155.30000000000001</c:v>
                </c:pt>
                <c:pt idx="23">
                  <c:v>270.97160000000008</c:v>
                </c:pt>
                <c:pt idx="24">
                  <c:v>200.66340000000002</c:v>
                </c:pt>
                <c:pt idx="25">
                  <c:v>170.98500000000001</c:v>
                </c:pt>
                <c:pt idx="26">
                  <c:v>79.131599999999992</c:v>
                </c:pt>
                <c:pt idx="27">
                  <c:v>172.30340000000001</c:v>
                </c:pt>
                <c:pt idx="28">
                  <c:v>158.4366</c:v>
                </c:pt>
                <c:pt idx="29">
                  <c:v>194.85159999999996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440.9534000000001</c:v>
                </c:pt>
                <c:pt idx="36">
                  <c:v>477.69100000000003</c:v>
                </c:pt>
                <c:pt idx="37">
                  <c:v>132.38600000000002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89.326660000000004</c:v>
                </c:pt>
                <c:pt idx="41">
                  <c:v>65.516340000000014</c:v>
                </c:pt>
                <c:pt idx="42">
                  <c:v>98.161600000000021</c:v>
                </c:pt>
                <c:pt idx="43">
                  <c:v>169.7714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132.38600000000002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1-4B29-B8EA-A94508AD5858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0&lt;alpha&lt;1'!$P$3:$P$56</c:f>
              <c:numCache>
                <c:formatCode>General</c:formatCode>
                <c:ptCount val="54"/>
                <c:pt idx="0">
                  <c:v>36.091999999999985</c:v>
                </c:pt>
                <c:pt idx="1">
                  <c:v>-9.5169999999999959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-31.079999999999984</c:v>
                </c:pt>
                <c:pt idx="5">
                  <c:v>96.95259999999999</c:v>
                </c:pt>
                <c:pt idx="6">
                  <c:v>89.925600000000031</c:v>
                </c:pt>
                <c:pt idx="7">
                  <c:v>49.779999999999973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105.3</c:v>
                </c:pt>
                <c:pt idx="12">
                  <c:v>170.98500000000001</c:v>
                </c:pt>
                <c:pt idx="13">
                  <c:v>1.8795999999999822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105.3</c:v>
                </c:pt>
                <c:pt idx="18">
                  <c:v>49.775599999999997</c:v>
                </c:pt>
                <c:pt idx="19">
                  <c:v>217.70439999999996</c:v>
                </c:pt>
                <c:pt idx="20">
                  <c:v>101.794</c:v>
                </c:pt>
                <c:pt idx="21">
                  <c:v>105.3</c:v>
                </c:pt>
                <c:pt idx="23">
                  <c:v>-129.02839999999992</c:v>
                </c:pt>
                <c:pt idx="24">
                  <c:v>200.66340000000002</c:v>
                </c:pt>
                <c:pt idx="25">
                  <c:v>-79.014999999999986</c:v>
                </c:pt>
                <c:pt idx="26">
                  <c:v>79.131599999999992</c:v>
                </c:pt>
                <c:pt idx="27">
                  <c:v>-27.696599999999989</c:v>
                </c:pt>
                <c:pt idx="28">
                  <c:v>-41.563400000000001</c:v>
                </c:pt>
                <c:pt idx="29">
                  <c:v>-105.14840000000004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-359.0465999999999</c:v>
                </c:pt>
                <c:pt idx="36">
                  <c:v>-422.30899999999997</c:v>
                </c:pt>
                <c:pt idx="37">
                  <c:v>-17.613999999999976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-10.673339999999996</c:v>
                </c:pt>
                <c:pt idx="41">
                  <c:v>15.516340000000014</c:v>
                </c:pt>
                <c:pt idx="42">
                  <c:v>98.161600000000021</c:v>
                </c:pt>
                <c:pt idx="43">
                  <c:v>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-17.613999999999976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1-4B29-B8EA-A94508AD5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95136"/>
        <c:axId val="198017408"/>
      </c:barChart>
      <c:catAx>
        <c:axId val="1979951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8017408"/>
        <c:crosses val="autoZero"/>
        <c:auto val="1"/>
        <c:lblAlgn val="ctr"/>
        <c:lblOffset val="100"/>
        <c:noMultiLvlLbl val="0"/>
      </c:catAx>
      <c:valAx>
        <c:axId val="19801740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951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5-4EC5-8EEE-051E4E7546E1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5-4EC5-8EEE-051E4E75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79008"/>
        <c:axId val="198380544"/>
      </c:barChart>
      <c:catAx>
        <c:axId val="1983790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8380544"/>
        <c:crosses val="autoZero"/>
        <c:auto val="1"/>
        <c:lblAlgn val="ctr"/>
        <c:lblOffset val="100"/>
        <c:noMultiLvlLbl val="0"/>
      </c:catAx>
      <c:valAx>
        <c:axId val="19838054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790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0&lt;alpha&lt;1 Extra Capacity Needed(G)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'Selective 0&lt;alpha&lt;1'!$V$33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'Selective 0&lt;alpha&lt;1'!$U$34:$U$41</c:f>
              <c:strCache>
                <c:ptCount val="8"/>
                <c:pt idx="0">
                  <c:v>F - H </c:v>
                </c:pt>
                <c:pt idx="1">
                  <c:v>DO - F </c:v>
                </c:pt>
                <c:pt idx="2">
                  <c:v>F - N</c:v>
                </c:pt>
                <c:pt idx="3">
                  <c:v>F - S</c:v>
                </c:pt>
                <c:pt idx="4">
                  <c:v>F - K </c:v>
                </c:pt>
                <c:pt idx="5">
                  <c:v>D - L</c:v>
                </c:pt>
                <c:pt idx="6">
                  <c:v>D - F</c:v>
                </c:pt>
                <c:pt idx="7">
                  <c:v>Total </c:v>
                </c:pt>
              </c:strCache>
            </c:strRef>
          </c:cat>
          <c:val>
            <c:numRef>
              <c:f>'Selective 0&lt;alpha&lt;1'!$V$34:$V$41</c:f>
              <c:numCache>
                <c:formatCode>General</c:formatCode>
                <c:ptCount val="8"/>
                <c:pt idx="0">
                  <c:v>107.85</c:v>
                </c:pt>
                <c:pt idx="1">
                  <c:v>21.47</c:v>
                </c:pt>
                <c:pt idx="2">
                  <c:v>289.83</c:v>
                </c:pt>
                <c:pt idx="3">
                  <c:v>375.69</c:v>
                </c:pt>
                <c:pt idx="4">
                  <c:v>78.91</c:v>
                </c:pt>
                <c:pt idx="5">
                  <c:v>41.17</c:v>
                </c:pt>
                <c:pt idx="6">
                  <c:v>20.149999999999999</c:v>
                </c:pt>
                <c:pt idx="7">
                  <c:v>935.06999999999982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E-4C76-A6AE-96D8E4BAB1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418816"/>
        <c:axId val="198420352"/>
      </c:barChart>
      <c:catAx>
        <c:axId val="19841881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8420352"/>
        <c:crosses val="autoZero"/>
        <c:auto val="1"/>
        <c:lblAlgn val="ctr"/>
        <c:lblOffset val="100"/>
        <c:noMultiLvlLbl val="0"/>
      </c:catAx>
      <c:valAx>
        <c:axId val="19842035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84188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BDF!$K$3:$K$56</c:f>
              <c:numCache>
                <c:formatCode>General</c:formatCode>
                <c:ptCount val="54"/>
                <c:pt idx="0">
                  <c:v>136.09199999999998</c:v>
                </c:pt>
                <c:pt idx="1">
                  <c:v>40.483000000000004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168.92000000000002</c:v>
                </c:pt>
                <c:pt idx="5">
                  <c:v>96.95259999999999</c:v>
                </c:pt>
                <c:pt idx="6">
                  <c:v>239.92560000000003</c:v>
                </c:pt>
                <c:pt idx="7">
                  <c:v>199.77999999999997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155.30000000000001</c:v>
                </c:pt>
                <c:pt idx="11">
                  <c:v>0</c:v>
                </c:pt>
                <c:pt idx="12">
                  <c:v>170.98500000000001</c:v>
                </c:pt>
                <c:pt idx="13">
                  <c:v>101.87959999999998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155.30000000000001</c:v>
                </c:pt>
                <c:pt idx="18">
                  <c:v>199.7756</c:v>
                </c:pt>
                <c:pt idx="19">
                  <c:v>217.70439999999996</c:v>
                </c:pt>
                <c:pt idx="20">
                  <c:v>151.79399999999998</c:v>
                </c:pt>
                <c:pt idx="21">
                  <c:v>155.30000000000001</c:v>
                </c:pt>
                <c:pt idx="22">
                  <c:v>0</c:v>
                </c:pt>
                <c:pt idx="23">
                  <c:v>270.97160000000008</c:v>
                </c:pt>
                <c:pt idx="24">
                  <c:v>200.66340000000002</c:v>
                </c:pt>
                <c:pt idx="25">
                  <c:v>170.98500000000001</c:v>
                </c:pt>
                <c:pt idx="26">
                  <c:v>79.131599999999992</c:v>
                </c:pt>
                <c:pt idx="27">
                  <c:v>172.30340000000001</c:v>
                </c:pt>
                <c:pt idx="28">
                  <c:v>158.4366</c:v>
                </c:pt>
                <c:pt idx="29">
                  <c:v>194.85159999999996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440.9534000000001</c:v>
                </c:pt>
                <c:pt idx="36">
                  <c:v>477.69100000000003</c:v>
                </c:pt>
                <c:pt idx="37">
                  <c:v>132.38600000000002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89.326660000000004</c:v>
                </c:pt>
                <c:pt idx="41">
                  <c:v>65.516340000000014</c:v>
                </c:pt>
                <c:pt idx="42">
                  <c:v>98.161600000000021</c:v>
                </c:pt>
                <c:pt idx="43">
                  <c:v>169.7714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132.38600000000002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D-4765-9B36-6AE514CB3DE7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BDF!$S$3:$S$56</c:f>
              <c:numCache>
                <c:formatCode>General</c:formatCode>
                <c:ptCount val="54"/>
                <c:pt idx="0">
                  <c:v>36.091999999999985</c:v>
                </c:pt>
                <c:pt idx="1">
                  <c:v>-9.5169999999999959</c:v>
                </c:pt>
                <c:pt idx="2">
                  <c:v>96.95259999999999</c:v>
                </c:pt>
                <c:pt idx="3">
                  <c:v>313.22000000000003</c:v>
                </c:pt>
                <c:pt idx="4">
                  <c:v>-31.079999999999984</c:v>
                </c:pt>
                <c:pt idx="5">
                  <c:v>96.95259999999999</c:v>
                </c:pt>
                <c:pt idx="6">
                  <c:v>89.925600000000031</c:v>
                </c:pt>
                <c:pt idx="7">
                  <c:v>49.779999999999973</c:v>
                </c:pt>
                <c:pt idx="8">
                  <c:v>217.70439999999996</c:v>
                </c:pt>
                <c:pt idx="9">
                  <c:v>158.44000000000005</c:v>
                </c:pt>
                <c:pt idx="10">
                  <c:v>105.3</c:v>
                </c:pt>
                <c:pt idx="12">
                  <c:v>170.98500000000001</c:v>
                </c:pt>
                <c:pt idx="13">
                  <c:v>1.8795999999999822</c:v>
                </c:pt>
                <c:pt idx="14">
                  <c:v>79.131599999999992</c:v>
                </c:pt>
                <c:pt idx="15">
                  <c:v>172.30340000000001</c:v>
                </c:pt>
                <c:pt idx="16">
                  <c:v>158.4366</c:v>
                </c:pt>
                <c:pt idx="17">
                  <c:v>105.3</c:v>
                </c:pt>
                <c:pt idx="18">
                  <c:v>49.775599999999997</c:v>
                </c:pt>
                <c:pt idx="19">
                  <c:v>217.70439999999996</c:v>
                </c:pt>
                <c:pt idx="20">
                  <c:v>101.794</c:v>
                </c:pt>
                <c:pt idx="21">
                  <c:v>105.3</c:v>
                </c:pt>
                <c:pt idx="23">
                  <c:v>-129.02839999999992</c:v>
                </c:pt>
                <c:pt idx="24">
                  <c:v>200.66340000000002</c:v>
                </c:pt>
                <c:pt idx="25">
                  <c:v>-79.014999999999986</c:v>
                </c:pt>
                <c:pt idx="26">
                  <c:v>79.131599999999992</c:v>
                </c:pt>
                <c:pt idx="27">
                  <c:v>-27.696599999999989</c:v>
                </c:pt>
                <c:pt idx="28">
                  <c:v>-41.563400000000001</c:v>
                </c:pt>
                <c:pt idx="29">
                  <c:v>-105.14840000000004</c:v>
                </c:pt>
                <c:pt idx="30">
                  <c:v>313.22000000000003</c:v>
                </c:pt>
                <c:pt idx="31">
                  <c:v>79.131599999999992</c:v>
                </c:pt>
                <c:pt idx="32">
                  <c:v>217.04859999999996</c:v>
                </c:pt>
                <c:pt idx="33">
                  <c:v>172.30340000000001</c:v>
                </c:pt>
                <c:pt idx="34">
                  <c:v>497.34400000000005</c:v>
                </c:pt>
                <c:pt idx="35">
                  <c:v>-359.0465999999999</c:v>
                </c:pt>
                <c:pt idx="36">
                  <c:v>-422.30899999999997</c:v>
                </c:pt>
                <c:pt idx="37">
                  <c:v>-17.613999999999976</c:v>
                </c:pt>
                <c:pt idx="38">
                  <c:v>217.70439999999996</c:v>
                </c:pt>
                <c:pt idx="39">
                  <c:v>200.66340000000002</c:v>
                </c:pt>
                <c:pt idx="40">
                  <c:v>-10.673339999999996</c:v>
                </c:pt>
                <c:pt idx="41">
                  <c:v>15.516340000000014</c:v>
                </c:pt>
                <c:pt idx="42">
                  <c:v>98.161600000000021</c:v>
                </c:pt>
                <c:pt idx="43">
                  <c:v>69.7714</c:v>
                </c:pt>
                <c:pt idx="44">
                  <c:v>124.863</c:v>
                </c:pt>
                <c:pt idx="45">
                  <c:v>57.671999999999997</c:v>
                </c:pt>
                <c:pt idx="46">
                  <c:v>98.161600000000021</c:v>
                </c:pt>
                <c:pt idx="47">
                  <c:v>57.671999999999997</c:v>
                </c:pt>
                <c:pt idx="48">
                  <c:v>57.671999999999997</c:v>
                </c:pt>
                <c:pt idx="49">
                  <c:v>126.24939999999998</c:v>
                </c:pt>
                <c:pt idx="50">
                  <c:v>124.863</c:v>
                </c:pt>
                <c:pt idx="51">
                  <c:v>133.40334000000001</c:v>
                </c:pt>
                <c:pt idx="52">
                  <c:v>-17.613999999999976</c:v>
                </c:pt>
                <c:pt idx="53">
                  <c:v>126.24939999999998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D-4765-9B36-6AE514CB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38208"/>
        <c:axId val="198239744"/>
      </c:barChart>
      <c:catAx>
        <c:axId val="1982382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8239744"/>
        <c:crosses val="autoZero"/>
        <c:auto val="1"/>
        <c:lblAlgn val="ctr"/>
        <c:lblOffset val="100"/>
        <c:noMultiLvlLbl val="0"/>
      </c:catAx>
      <c:valAx>
        <c:axId val="19823974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382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2</xdr:row>
      <xdr:rowOff>95250</xdr:rowOff>
    </xdr:from>
    <xdr:to>
      <xdr:col>18</xdr:col>
      <xdr:colOff>461010</xdr:colOff>
      <xdr:row>25</xdr:row>
      <xdr:rowOff>123825</xdr:rowOff>
    </xdr:to>
    <xdr:pic>
      <xdr:nvPicPr>
        <xdr:cNvPr id="350" name="Picture 34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76250"/>
          <a:ext cx="3718560" cy="4200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38100</xdr:colOff>
      <xdr:row>2</xdr:row>
      <xdr:rowOff>129267</xdr:rowOff>
    </xdr:from>
    <xdr:to>
      <xdr:col>26</xdr:col>
      <xdr:colOff>636494</xdr:colOff>
      <xdr:row>25</xdr:row>
      <xdr:rowOff>171450</xdr:rowOff>
    </xdr:to>
    <xdr:pic>
      <xdr:nvPicPr>
        <xdr:cNvPr id="352" name="Picture 35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500742"/>
          <a:ext cx="4027394" cy="42141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19</xdr:col>
      <xdr:colOff>647700</xdr:colOff>
      <xdr:row>9</xdr:row>
      <xdr:rowOff>76201</xdr:rowOff>
    </xdr:from>
    <xdr:to>
      <xdr:col>20</xdr:col>
      <xdr:colOff>126410</xdr:colOff>
      <xdr:row>22</xdr:row>
      <xdr:rowOff>22106</xdr:rowOff>
    </xdr:to>
    <xdr:sp macro="" textlink="">
      <xdr:nvSpPr>
        <xdr:cNvPr id="353" name="AutoShape 39"/>
        <xdr:cNvSpPr>
          <a:spLocks noChangeArrowheads="1"/>
        </xdr:cNvSpPr>
      </xdr:nvSpPr>
      <xdr:spPr bwMode="gray">
        <a:xfrm rot="5400000">
          <a:off x="15730302" y="2919649"/>
          <a:ext cx="2422405" cy="16451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FCCFF"/>
            </a:gs>
            <a:gs pos="78999">
              <a:srgbClr val="E20074"/>
            </a:gs>
            <a:gs pos="100000">
              <a:schemeClr val="tx2"/>
            </a:gs>
          </a:gsLst>
          <a:lin ang="10800000"/>
        </a:gradFill>
        <a:ln w="12700" algn="ctr">
          <a:solidFill>
            <a:schemeClr val="tx2"/>
          </a:solidFill>
          <a:round/>
          <a:headEnd/>
          <a:tailEnd/>
        </a:ln>
      </xdr:spPr>
      <xdr:txBody>
        <a:bodyPr rot="10800000" vert="eaVert" wrap="square" lIns="79383" tIns="0" rIns="0" bIns="0"/>
        <a:lstStyle>
          <a:defPPr>
            <a:defRPr lang="de-DE"/>
          </a:defPPr>
          <a:lvl1pPr marL="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7607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5214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72821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304288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88036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45643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03250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60857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43259" indent="-243259" algn="ctr">
            <a:spcBef>
              <a:spcPct val="0"/>
            </a:spcBef>
            <a:defRPr/>
          </a:pPr>
          <a:endParaRPr lang="en-GB" sz="1800">
            <a:solidFill>
              <a:schemeClr val="bg1"/>
            </a:solidFill>
            <a:latin typeface="Tele-GroteskFet" pitchFamily="2" charset="0"/>
            <a:cs typeface="Arial" charset="0"/>
          </a:endParaRPr>
        </a:p>
      </xdr:txBody>
    </xdr:sp>
    <xdr:clientData/>
  </xdr:twoCellAnchor>
  <xdr:oneCellAnchor>
    <xdr:from>
      <xdr:col>17</xdr:col>
      <xdr:colOff>190500</xdr:colOff>
      <xdr:row>6</xdr:row>
      <xdr:rowOff>95250</xdr:rowOff>
    </xdr:from>
    <xdr:ext cx="519693" cy="264560"/>
    <xdr:sp macro="" textlink="">
      <xdr:nvSpPr>
        <xdr:cNvPr id="2" name="TextBox 1"/>
        <xdr:cNvSpPr txBox="1"/>
      </xdr:nvSpPr>
      <xdr:spPr>
        <a:xfrm>
          <a:off x="14973300" y="12001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15</xdr:col>
      <xdr:colOff>238125</xdr:colOff>
      <xdr:row>8</xdr:row>
      <xdr:rowOff>38100</xdr:rowOff>
    </xdr:from>
    <xdr:ext cx="745910" cy="264560"/>
    <xdr:sp macro="" textlink="">
      <xdr:nvSpPr>
        <xdr:cNvPr id="7" name="TextBox 6"/>
        <xdr:cNvSpPr txBox="1"/>
      </xdr:nvSpPr>
      <xdr:spPr>
        <a:xfrm>
          <a:off x="13649325" y="150495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15</xdr:col>
      <xdr:colOff>361950</xdr:colOff>
      <xdr:row>4</xdr:row>
      <xdr:rowOff>85725</xdr:rowOff>
    </xdr:from>
    <xdr:ext cx="716671" cy="264560"/>
    <xdr:sp macro="" textlink="">
      <xdr:nvSpPr>
        <xdr:cNvPr id="8" name="TextBox 7"/>
        <xdr:cNvSpPr txBox="1"/>
      </xdr:nvSpPr>
      <xdr:spPr>
        <a:xfrm>
          <a:off x="13773150" y="819150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16</xdr:col>
      <xdr:colOff>676275</xdr:colOff>
      <xdr:row>11</xdr:row>
      <xdr:rowOff>133350</xdr:rowOff>
    </xdr:from>
    <xdr:ext cx="575222" cy="264560"/>
    <xdr:sp macro="" textlink="">
      <xdr:nvSpPr>
        <xdr:cNvPr id="9" name="TextBox 8"/>
        <xdr:cNvSpPr txBox="1"/>
      </xdr:nvSpPr>
      <xdr:spPr>
        <a:xfrm>
          <a:off x="14773275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14</xdr:col>
      <xdr:colOff>171450</xdr:colOff>
      <xdr:row>9</xdr:row>
      <xdr:rowOff>123825</xdr:rowOff>
    </xdr:from>
    <xdr:ext cx="777329" cy="264560"/>
    <xdr:sp macro="" textlink="">
      <xdr:nvSpPr>
        <xdr:cNvPr id="10" name="TextBox 9"/>
        <xdr:cNvSpPr txBox="1"/>
      </xdr:nvSpPr>
      <xdr:spPr>
        <a:xfrm>
          <a:off x="12896850" y="1771650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85725</xdr:colOff>
      <xdr:row>10</xdr:row>
      <xdr:rowOff>85725</xdr:rowOff>
    </xdr:from>
    <xdr:ext cx="869405" cy="264560"/>
    <xdr:sp macro="" textlink="">
      <xdr:nvSpPr>
        <xdr:cNvPr id="11" name="TextBox 10"/>
        <xdr:cNvSpPr txBox="1"/>
      </xdr:nvSpPr>
      <xdr:spPr>
        <a:xfrm>
          <a:off x="12125325" y="19145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50"/>
            <a:t>Duesseldorf</a:t>
          </a:r>
          <a:endParaRPr lang="ur-PK" sz="1050"/>
        </a:p>
      </xdr:txBody>
    </xdr:sp>
    <xdr:clientData/>
  </xdr:oneCellAnchor>
  <xdr:oneCellAnchor>
    <xdr:from>
      <xdr:col>21</xdr:col>
      <xdr:colOff>666750</xdr:colOff>
      <xdr:row>10</xdr:row>
      <xdr:rowOff>104775</xdr:rowOff>
    </xdr:from>
    <xdr:ext cx="777329" cy="264560"/>
    <xdr:sp macro="" textlink="">
      <xdr:nvSpPr>
        <xdr:cNvPr id="12" name="TextBox 11"/>
        <xdr:cNvSpPr txBox="1"/>
      </xdr:nvSpPr>
      <xdr:spPr>
        <a:xfrm>
          <a:off x="18192750" y="1933575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457200</xdr:colOff>
      <xdr:row>14</xdr:row>
      <xdr:rowOff>171450</xdr:rowOff>
    </xdr:from>
    <xdr:ext cx="438838" cy="264560"/>
    <xdr:sp macro="" textlink="">
      <xdr:nvSpPr>
        <xdr:cNvPr id="13" name="TextBox 12"/>
        <xdr:cNvSpPr txBox="1"/>
      </xdr:nvSpPr>
      <xdr:spPr>
        <a:xfrm>
          <a:off x="12496800" y="272415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21</xdr:col>
      <xdr:colOff>581025</xdr:colOff>
      <xdr:row>15</xdr:row>
      <xdr:rowOff>85725</xdr:rowOff>
    </xdr:from>
    <xdr:ext cx="438838" cy="264560"/>
    <xdr:sp macro="" textlink="">
      <xdr:nvSpPr>
        <xdr:cNvPr id="14" name="TextBox 13"/>
        <xdr:cNvSpPr txBox="1"/>
      </xdr:nvSpPr>
      <xdr:spPr>
        <a:xfrm>
          <a:off x="18107025" y="281940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24</xdr:col>
      <xdr:colOff>552450</xdr:colOff>
      <xdr:row>11</xdr:row>
      <xdr:rowOff>133350</xdr:rowOff>
    </xdr:from>
    <xdr:ext cx="575222" cy="264560"/>
    <xdr:sp macro="" textlink="">
      <xdr:nvSpPr>
        <xdr:cNvPr id="15" name="TextBox 14"/>
        <xdr:cNvSpPr txBox="1"/>
      </xdr:nvSpPr>
      <xdr:spPr>
        <a:xfrm>
          <a:off x="20135850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24</xdr:col>
      <xdr:colOff>657225</xdr:colOff>
      <xdr:row>7</xdr:row>
      <xdr:rowOff>104775</xdr:rowOff>
    </xdr:from>
    <xdr:ext cx="519693" cy="264560"/>
    <xdr:sp macro="" textlink="">
      <xdr:nvSpPr>
        <xdr:cNvPr id="16" name="TextBox 15"/>
        <xdr:cNvSpPr txBox="1"/>
      </xdr:nvSpPr>
      <xdr:spPr>
        <a:xfrm>
          <a:off x="20240625" y="13906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23</xdr:col>
      <xdr:colOff>371475</xdr:colOff>
      <xdr:row>6</xdr:row>
      <xdr:rowOff>9525</xdr:rowOff>
    </xdr:from>
    <xdr:ext cx="716671" cy="264560"/>
    <xdr:sp macro="" textlink="">
      <xdr:nvSpPr>
        <xdr:cNvPr id="17" name="TextBox 16"/>
        <xdr:cNvSpPr txBox="1"/>
      </xdr:nvSpPr>
      <xdr:spPr>
        <a:xfrm>
          <a:off x="19269075" y="1114425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23</xdr:col>
      <xdr:colOff>333375</xdr:colOff>
      <xdr:row>9</xdr:row>
      <xdr:rowOff>66675</xdr:rowOff>
    </xdr:from>
    <xdr:ext cx="745910" cy="264560"/>
    <xdr:sp macro="" textlink="">
      <xdr:nvSpPr>
        <xdr:cNvPr id="18" name="TextBox 17"/>
        <xdr:cNvSpPr txBox="1"/>
      </xdr:nvSpPr>
      <xdr:spPr>
        <a:xfrm>
          <a:off x="19230975" y="171450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22</xdr:col>
      <xdr:colOff>561975</xdr:colOff>
      <xdr:row>15</xdr:row>
      <xdr:rowOff>123825</xdr:rowOff>
    </xdr:from>
    <xdr:ext cx="718082" cy="264560"/>
    <xdr:sp macro="" textlink="">
      <xdr:nvSpPr>
        <xdr:cNvPr id="20" name="TextBox 19"/>
        <xdr:cNvSpPr txBox="1"/>
      </xdr:nvSpPr>
      <xdr:spPr>
        <a:xfrm>
          <a:off x="18773775" y="285750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14</xdr:col>
      <xdr:colOff>466725</xdr:colOff>
      <xdr:row>15</xdr:row>
      <xdr:rowOff>28575</xdr:rowOff>
    </xdr:from>
    <xdr:ext cx="718082" cy="264560"/>
    <xdr:sp macro="" textlink="">
      <xdr:nvSpPr>
        <xdr:cNvPr id="21" name="TextBox 20"/>
        <xdr:cNvSpPr txBox="1"/>
      </xdr:nvSpPr>
      <xdr:spPr>
        <a:xfrm>
          <a:off x="13192125" y="276225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20</xdr:col>
      <xdr:colOff>666750</xdr:colOff>
      <xdr:row>11</xdr:row>
      <xdr:rowOff>133350</xdr:rowOff>
    </xdr:from>
    <xdr:ext cx="869405" cy="264560"/>
    <xdr:sp macro="" textlink="">
      <xdr:nvSpPr>
        <xdr:cNvPr id="22" name="TextBox 21"/>
        <xdr:cNvSpPr txBox="1"/>
      </xdr:nvSpPr>
      <xdr:spPr>
        <a:xfrm>
          <a:off x="17506950" y="21431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Duesseldorf</a:t>
          </a:r>
          <a:endParaRPr lang="ur-PK" sz="1100"/>
        </a:p>
      </xdr:txBody>
    </xdr:sp>
    <xdr:clientData/>
  </xdr:oneCellAnchor>
  <xdr:oneCellAnchor>
    <xdr:from>
      <xdr:col>24</xdr:col>
      <xdr:colOff>47625</xdr:colOff>
      <xdr:row>17</xdr:row>
      <xdr:rowOff>114300</xdr:rowOff>
    </xdr:from>
    <xdr:ext cx="733085" cy="264560"/>
    <xdr:sp macro="" textlink="">
      <xdr:nvSpPr>
        <xdr:cNvPr id="23" name="TextBox 22"/>
        <xdr:cNvSpPr txBox="1"/>
      </xdr:nvSpPr>
      <xdr:spPr>
        <a:xfrm>
          <a:off x="19631025" y="3209925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16</xdr:col>
      <xdr:colOff>0</xdr:colOff>
      <xdr:row>17</xdr:row>
      <xdr:rowOff>85725</xdr:rowOff>
    </xdr:from>
    <xdr:ext cx="733085" cy="264560"/>
    <xdr:sp macro="" textlink="">
      <xdr:nvSpPr>
        <xdr:cNvPr id="24" name="TextBox 23"/>
        <xdr:cNvSpPr txBox="1"/>
      </xdr:nvSpPr>
      <xdr:spPr>
        <a:xfrm>
          <a:off x="14097000" y="3181350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14</xdr:col>
      <xdr:colOff>314325</xdr:colOff>
      <xdr:row>19</xdr:row>
      <xdr:rowOff>9525</xdr:rowOff>
    </xdr:from>
    <xdr:ext cx="695832" cy="264560"/>
    <xdr:sp macro="" textlink="">
      <xdr:nvSpPr>
        <xdr:cNvPr id="25" name="TextBox 24"/>
        <xdr:cNvSpPr txBox="1"/>
      </xdr:nvSpPr>
      <xdr:spPr>
        <a:xfrm>
          <a:off x="13039725" y="3467100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15</xdr:col>
      <xdr:colOff>180975</xdr:colOff>
      <xdr:row>23</xdr:row>
      <xdr:rowOff>47625</xdr:rowOff>
    </xdr:from>
    <xdr:ext cx="420243" cy="264560"/>
    <xdr:sp macro="" textlink="">
      <xdr:nvSpPr>
        <xdr:cNvPr id="26" name="TextBox 25"/>
        <xdr:cNvSpPr txBox="1"/>
      </xdr:nvSpPr>
      <xdr:spPr>
        <a:xfrm>
          <a:off x="13592175" y="422910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23</xdr:col>
      <xdr:colOff>238125</xdr:colOff>
      <xdr:row>23</xdr:row>
      <xdr:rowOff>28575</xdr:rowOff>
    </xdr:from>
    <xdr:ext cx="420243" cy="264560"/>
    <xdr:sp macro="" textlink="">
      <xdr:nvSpPr>
        <xdr:cNvPr id="27" name="TextBox 26"/>
        <xdr:cNvSpPr txBox="1"/>
      </xdr:nvSpPr>
      <xdr:spPr>
        <a:xfrm>
          <a:off x="19135725" y="421005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22</xdr:col>
      <xdr:colOff>171450</xdr:colOff>
      <xdr:row>19</xdr:row>
      <xdr:rowOff>95250</xdr:rowOff>
    </xdr:from>
    <xdr:ext cx="695832" cy="264560"/>
    <xdr:sp macro="" textlink="">
      <xdr:nvSpPr>
        <xdr:cNvPr id="28" name="TextBox 27"/>
        <xdr:cNvSpPr txBox="1"/>
      </xdr:nvSpPr>
      <xdr:spPr>
        <a:xfrm>
          <a:off x="18383250" y="3552825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24</xdr:col>
      <xdr:colOff>457200</xdr:colOff>
      <xdr:row>22</xdr:row>
      <xdr:rowOff>85725</xdr:rowOff>
    </xdr:from>
    <xdr:ext cx="619657" cy="264560"/>
    <xdr:sp macro="" textlink="">
      <xdr:nvSpPr>
        <xdr:cNvPr id="29" name="TextBox 28"/>
        <xdr:cNvSpPr txBox="1"/>
      </xdr:nvSpPr>
      <xdr:spPr>
        <a:xfrm>
          <a:off x="20040600" y="408622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  <xdr:oneCellAnchor>
    <xdr:from>
      <xdr:col>16</xdr:col>
      <xdr:colOff>476250</xdr:colOff>
      <xdr:row>22</xdr:row>
      <xdr:rowOff>66675</xdr:rowOff>
    </xdr:from>
    <xdr:ext cx="619657" cy="264560"/>
    <xdr:sp macro="" textlink="">
      <xdr:nvSpPr>
        <xdr:cNvPr id="30" name="TextBox 29"/>
        <xdr:cNvSpPr txBox="1"/>
      </xdr:nvSpPr>
      <xdr:spPr>
        <a:xfrm>
          <a:off x="14573250" y="406717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1185334</xdr:colOff>
      <xdr:row>38</xdr:row>
      <xdr:rowOff>120649</xdr:rowOff>
    </xdr:from>
    <xdr:to>
      <xdr:col>27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1185334</xdr:colOff>
      <xdr:row>38</xdr:row>
      <xdr:rowOff>120649</xdr:rowOff>
    </xdr:from>
    <xdr:to>
      <xdr:col>27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281781</xdr:colOff>
      <xdr:row>13</xdr:row>
      <xdr:rowOff>169599</xdr:rowOff>
    </xdr:from>
    <xdr:to>
      <xdr:col>9</xdr:col>
      <xdr:colOff>573013</xdr:colOff>
      <xdr:row>28</xdr:row>
      <xdr:rowOff>174361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694531</xdr:colOff>
      <xdr:row>13</xdr:row>
      <xdr:rowOff>169598</xdr:rowOff>
    </xdr:from>
    <xdr:to>
      <xdr:col>8</xdr:col>
      <xdr:colOff>162719</xdr:colOff>
      <xdr:row>28</xdr:row>
      <xdr:rowOff>174360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20</xdr:row>
      <xdr:rowOff>75406</xdr:rowOff>
    </xdr:from>
    <xdr:to>
      <xdr:col>11</xdr:col>
      <xdr:colOff>369886</xdr:colOff>
      <xdr:row>35</xdr:row>
      <xdr:rowOff>80169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38892</xdr:colOff>
      <xdr:row>28</xdr:row>
      <xdr:rowOff>8731</xdr:rowOff>
    </xdr:from>
    <xdr:to>
      <xdr:col>14</xdr:col>
      <xdr:colOff>381000</xdr:colOff>
      <xdr:row>42</xdr:row>
      <xdr:rowOff>172244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154780</xdr:colOff>
      <xdr:row>1</xdr:row>
      <xdr:rowOff>128588</xdr:rowOff>
    </xdr:from>
    <xdr:to>
      <xdr:col>10</xdr:col>
      <xdr:colOff>23813</xdr:colOff>
      <xdr:row>16</xdr:row>
      <xdr:rowOff>14288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18</xdr:row>
      <xdr:rowOff>104775</xdr:rowOff>
    </xdr:from>
    <xdr:to>
      <xdr:col>10</xdr:col>
      <xdr:colOff>119063</xdr:colOff>
      <xdr:row>32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83345</xdr:colOff>
      <xdr:row>39</xdr:row>
      <xdr:rowOff>0</xdr:rowOff>
    </xdr:from>
    <xdr:to>
      <xdr:col>12</xdr:col>
      <xdr:colOff>1309689</xdr:colOff>
      <xdr:row>53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</xdr:colOff>
      <xdr:row>54</xdr:row>
      <xdr:rowOff>142875</xdr:rowOff>
    </xdr:from>
    <xdr:to>
      <xdr:col>12</xdr:col>
      <xdr:colOff>1297782</xdr:colOff>
      <xdr:row>69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35719</xdr:colOff>
      <xdr:row>70</xdr:row>
      <xdr:rowOff>95250</xdr:rowOff>
    </xdr:from>
    <xdr:to>
      <xdr:col>12</xdr:col>
      <xdr:colOff>1262064</xdr:colOff>
      <xdr:row>84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214313</xdr:colOff>
      <xdr:row>82</xdr:row>
      <xdr:rowOff>154782</xdr:rowOff>
    </xdr:from>
    <xdr:to>
      <xdr:col>5</xdr:col>
      <xdr:colOff>178594</xdr:colOff>
      <xdr:row>97</xdr:row>
      <xdr:rowOff>40482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18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18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18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18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656166</xdr:colOff>
      <xdr:row>2</xdr:row>
      <xdr:rowOff>179917</xdr:rowOff>
    </xdr:from>
    <xdr:to>
      <xdr:col>39</xdr:col>
      <xdr:colOff>10583</xdr:colOff>
      <xdr:row>19</xdr:row>
      <xdr:rowOff>59266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19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19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22</xdr:row>
      <xdr:rowOff>120649</xdr:rowOff>
    </xdr:from>
    <xdr:to>
      <xdr:col>40</xdr:col>
      <xdr:colOff>52916</xdr:colOff>
      <xdr:row>38</xdr:row>
      <xdr:rowOff>69849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22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22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137584</xdr:colOff>
      <xdr:row>20</xdr:row>
      <xdr:rowOff>107157</xdr:rowOff>
    </xdr:from>
    <xdr:to>
      <xdr:col>42</xdr:col>
      <xdr:colOff>369093</xdr:colOff>
      <xdr:row>38</xdr:row>
      <xdr:rowOff>34396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1185334</xdr:colOff>
      <xdr:row>38</xdr:row>
      <xdr:rowOff>120649</xdr:rowOff>
    </xdr:from>
    <xdr:to>
      <xdr:col>27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457199</xdr:colOff>
      <xdr:row>71</xdr:row>
      <xdr:rowOff>11905</xdr:rowOff>
    </xdr:from>
    <xdr:to>
      <xdr:col>35</xdr:col>
      <xdr:colOff>311944</xdr:colOff>
      <xdr:row>89</xdr:row>
      <xdr:rowOff>59531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1185334</xdr:colOff>
      <xdr:row>38</xdr:row>
      <xdr:rowOff>120649</xdr:rowOff>
    </xdr:from>
    <xdr:to>
      <xdr:col>27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20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20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1185334</xdr:colOff>
      <xdr:row>38</xdr:row>
      <xdr:rowOff>120649</xdr:rowOff>
    </xdr:from>
    <xdr:to>
      <xdr:col>27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5Results%20(Autosav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50%25Results%20(Repai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_linksErrorFree"/>
      <sheetName val="MPLS_Demands"/>
      <sheetName val="Shut-off lambda"/>
      <sheetName val="Multiple-path Reroute"/>
      <sheetName val="Selective 0&lt;alpha&lt;1"/>
      <sheetName val="BDF"/>
      <sheetName val="SDF"/>
      <sheetName val="Single-hop Reroute"/>
      <sheetName val="NoRerouting"/>
      <sheetName val="ES-EP"/>
      <sheetName val="US-EP"/>
      <sheetName val="US-UP"/>
      <sheetName val="US"/>
      <sheetName val="FlowThinning"/>
      <sheetName val="FlowThinningModularCapacities"/>
      <sheetName val="AffineFlowThinning"/>
      <sheetName val="AffineFlowThinningModularCapaci"/>
      <sheetName val="conclu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8">
          <cell r="J8" t="str">
            <v>F</v>
          </cell>
        </row>
        <row r="9">
          <cell r="J9" t="str">
            <v>H</v>
          </cell>
        </row>
        <row r="10">
          <cell r="J10" t="str">
            <v>HH</v>
          </cell>
        </row>
        <row r="11">
          <cell r="J11" t="str">
            <v>K</v>
          </cell>
        </row>
        <row r="12">
          <cell r="J12" t="str">
            <v>L</v>
          </cell>
        </row>
        <row r="13">
          <cell r="J13" t="str">
            <v>M</v>
          </cell>
        </row>
        <row r="14">
          <cell r="J14" t="str">
            <v>N</v>
          </cell>
        </row>
      </sheetData>
      <sheetData sheetId="15"/>
      <sheetData sheetId="16">
        <row r="4">
          <cell r="H4" t="str">
            <v>Extra Capacity Needed %</v>
          </cell>
        </row>
        <row r="5">
          <cell r="G5">
            <v>4</v>
          </cell>
          <cell r="H5">
            <v>2.7397260273972601</v>
          </cell>
        </row>
        <row r="6">
          <cell r="G6">
            <v>44</v>
          </cell>
          <cell r="H6">
            <v>78.571428571428569</v>
          </cell>
        </row>
        <row r="7">
          <cell r="G7">
            <v>98</v>
          </cell>
          <cell r="H7">
            <v>48.514851485148512</v>
          </cell>
        </row>
        <row r="8">
          <cell r="G8">
            <v>65</v>
          </cell>
          <cell r="H8">
            <v>19.402985074626866</v>
          </cell>
        </row>
        <row r="9">
          <cell r="G9">
            <v>70</v>
          </cell>
          <cell r="H9">
            <v>14.583333333333334</v>
          </cell>
        </row>
        <row r="10">
          <cell r="G10">
            <v>35</v>
          </cell>
          <cell r="H10">
            <v>13.20754716981132</v>
          </cell>
        </row>
        <row r="11">
          <cell r="G11">
            <v>26</v>
          </cell>
          <cell r="H11">
            <v>11.607142857142858</v>
          </cell>
        </row>
        <row r="12">
          <cell r="G12">
            <v>124</v>
          </cell>
          <cell r="H12">
            <v>44.927536231884055</v>
          </cell>
        </row>
        <row r="13">
          <cell r="G13">
            <v>65</v>
          </cell>
          <cell r="H13">
            <v>185.71428571428572</v>
          </cell>
        </row>
        <row r="14">
          <cell r="G14">
            <v>155</v>
          </cell>
          <cell r="H14">
            <v>22.302158273381295</v>
          </cell>
        </row>
        <row r="15">
          <cell r="G15">
            <v>185</v>
          </cell>
          <cell r="H15">
            <v>69.811320754716974</v>
          </cell>
        </row>
        <row r="16">
          <cell r="G16">
            <v>15</v>
          </cell>
          <cell r="H16">
            <v>3.0927835051546393</v>
          </cell>
        </row>
        <row r="17">
          <cell r="G17">
            <v>30</v>
          </cell>
          <cell r="H17">
            <v>2.5641025641025639</v>
          </cell>
        </row>
        <row r="18">
          <cell r="G18">
            <v>431</v>
          </cell>
          <cell r="H18">
            <v>56.046814044213264</v>
          </cell>
        </row>
        <row r="19">
          <cell r="G19">
            <v>603</v>
          </cell>
          <cell r="H19">
            <v>67.224080267558534</v>
          </cell>
        </row>
        <row r="20">
          <cell r="G20">
            <v>71</v>
          </cell>
          <cell r="H20">
            <v>31.004366812227076</v>
          </cell>
        </row>
        <row r="21">
          <cell r="G21">
            <v>53</v>
          </cell>
          <cell r="H21">
            <v>54.639175257731956</v>
          </cell>
        </row>
        <row r="22">
          <cell r="G22">
            <v>58</v>
          </cell>
          <cell r="H22">
            <v>138.0952380952381</v>
          </cell>
        </row>
        <row r="23">
          <cell r="G23">
            <v>10</v>
          </cell>
          <cell r="H23">
            <v>11.111111111111111</v>
          </cell>
        </row>
        <row r="24">
          <cell r="G24">
            <v>6</v>
          </cell>
          <cell r="H24">
            <v>4.1666666666666661</v>
          </cell>
        </row>
        <row r="25">
          <cell r="G25">
            <v>9</v>
          </cell>
          <cell r="H25">
            <v>4.7120418848167542</v>
          </cell>
        </row>
        <row r="26">
          <cell r="G26">
            <v>45</v>
          </cell>
          <cell r="H26">
            <v>81.818181818181827</v>
          </cell>
        </row>
        <row r="27">
          <cell r="G27">
            <v>83</v>
          </cell>
          <cell r="H27">
            <v>488.23529411764707</v>
          </cell>
        </row>
        <row r="28">
          <cell r="G28">
            <v>2285</v>
          </cell>
          <cell r="H28"/>
        </row>
      </sheetData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_linksErrorFree"/>
      <sheetName val="MPLS_Demands"/>
      <sheetName val="Shut-off lambda"/>
      <sheetName val="Selective 0&lt;alpha&lt;1"/>
      <sheetName val="Multiple-path Reroute"/>
      <sheetName val="BDF"/>
      <sheetName val="SDF"/>
      <sheetName val="Single-hop Reroute"/>
      <sheetName val="No-Rerouting"/>
      <sheetName val="ES-EP"/>
      <sheetName val="US-EP"/>
      <sheetName val="US-UP"/>
      <sheetName val="US"/>
      <sheetName val="FlowThinning"/>
      <sheetName val="FlowThinningModularCapacities"/>
      <sheetName val="AffineFlowThinning"/>
      <sheetName val="AffineFlowThinningModularCapaci"/>
      <sheetName val="conclu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">
          <cell r="H4" t="str">
            <v>Extra Capacity Needed(G)</v>
          </cell>
        </row>
      </sheetData>
      <sheetData sheetId="14">
        <row r="5">
          <cell r="G5" t="str">
            <v>Extra Capacity Needed(G)</v>
          </cell>
        </row>
      </sheetData>
      <sheetData sheetId="15" refreshError="1"/>
      <sheetData sheetId="16" refreshError="1"/>
      <sheetData sheetId="17">
        <row r="41">
          <cell r="C41" t="str">
            <v>Working Capacity (Gbps)</v>
          </cell>
          <cell r="D41" t="str">
            <v>Spare Capacity (Gbps)</v>
          </cell>
          <cell r="E41" t="str">
            <v>Total Capacity (Gbps)</v>
          </cell>
        </row>
        <row r="42">
          <cell r="B42" t="str">
            <v>Shut-off lambda</v>
          </cell>
          <cell r="C42">
            <v>39100</v>
          </cell>
          <cell r="D42">
            <v>7250</v>
          </cell>
          <cell r="E42">
            <v>46350</v>
          </cell>
        </row>
        <row r="43">
          <cell r="B43" t="str">
            <v>Multiple-path Reroute</v>
          </cell>
          <cell r="C43">
            <v>39100</v>
          </cell>
          <cell r="D43">
            <v>800</v>
          </cell>
          <cell r="E43">
            <v>39900</v>
          </cell>
        </row>
        <row r="44">
          <cell r="B44" t="str">
            <v>Selective 0&lt;alpha&lt;1</v>
          </cell>
          <cell r="C44">
            <v>39100</v>
          </cell>
          <cell r="D44">
            <v>1050</v>
          </cell>
          <cell r="E44">
            <v>40150</v>
          </cell>
        </row>
        <row r="45">
          <cell r="B45" t="str">
            <v>BDF</v>
          </cell>
          <cell r="C45">
            <v>39100</v>
          </cell>
          <cell r="D45">
            <v>4150</v>
          </cell>
          <cell r="E45">
            <v>43250</v>
          </cell>
        </row>
        <row r="46">
          <cell r="B46" t="str">
            <v>SDF</v>
          </cell>
          <cell r="C46">
            <v>39100</v>
          </cell>
          <cell r="D46">
            <v>2500</v>
          </cell>
          <cell r="E46">
            <v>41600</v>
          </cell>
        </row>
        <row r="47">
          <cell r="B47" t="str">
            <v>Single-hop Reroute</v>
          </cell>
          <cell r="C47">
            <v>39100</v>
          </cell>
          <cell r="D47">
            <v>5600</v>
          </cell>
          <cell r="E47">
            <v>44700</v>
          </cell>
        </row>
        <row r="48">
          <cell r="B48" t="str">
            <v>NoRerouting</v>
          </cell>
          <cell r="C48">
            <v>39100</v>
          </cell>
          <cell r="D48">
            <v>1650</v>
          </cell>
          <cell r="E48">
            <v>40750</v>
          </cell>
        </row>
        <row r="49">
          <cell r="B49" t="str">
            <v>ES-ES</v>
          </cell>
          <cell r="C49">
            <v>39100</v>
          </cell>
          <cell r="D49">
            <v>1050</v>
          </cell>
          <cell r="E49">
            <v>40150</v>
          </cell>
        </row>
        <row r="50">
          <cell r="B50" t="str">
            <v>US-EP</v>
          </cell>
          <cell r="C50">
            <v>39100</v>
          </cell>
          <cell r="D50">
            <v>800</v>
          </cell>
          <cell r="E50">
            <v>39900</v>
          </cell>
        </row>
        <row r="51">
          <cell r="B51" t="str">
            <v>US-UP</v>
          </cell>
          <cell r="C51">
            <v>39100</v>
          </cell>
          <cell r="D51">
            <v>200</v>
          </cell>
          <cell r="E51">
            <v>39300</v>
          </cell>
        </row>
        <row r="52">
          <cell r="B52" t="str">
            <v>US</v>
          </cell>
          <cell r="C52">
            <v>39100</v>
          </cell>
          <cell r="D52">
            <v>0</v>
          </cell>
          <cell r="E52">
            <v>39100</v>
          </cell>
        </row>
        <row r="53">
          <cell r="B53" t="str">
            <v>Flow Thinning</v>
          </cell>
          <cell r="D53">
            <v>0</v>
          </cell>
        </row>
        <row r="54">
          <cell r="B54" t="str">
            <v>Flow Thinning with modular capacities</v>
          </cell>
          <cell r="D54">
            <v>0</v>
          </cell>
          <cell r="E54">
            <v>33800</v>
          </cell>
        </row>
        <row r="55">
          <cell r="B55" t="str">
            <v>Affine Flow Thinning</v>
          </cell>
          <cell r="D55">
            <v>0</v>
          </cell>
        </row>
        <row r="56">
          <cell r="B56" t="str">
            <v>Affine Flow Thinning with modular capacities</v>
          </cell>
          <cell r="D56">
            <v>0</v>
          </cell>
          <cell r="E56">
            <v>33800</v>
          </cell>
        </row>
        <row r="59">
          <cell r="D59" t="str">
            <v>CAPEX (SCU)</v>
          </cell>
        </row>
        <row r="60">
          <cell r="B60" t="str">
            <v>Shut-off lambda</v>
          </cell>
          <cell r="D60">
            <v>4115</v>
          </cell>
        </row>
        <row r="61">
          <cell r="B61" t="str">
            <v>Multiple-path Reroute</v>
          </cell>
          <cell r="D61">
            <v>3468</v>
          </cell>
        </row>
        <row r="62">
          <cell r="B62" t="str">
            <v>Selective 0&lt;alpha&lt;1</v>
          </cell>
          <cell r="D62">
            <v>3500</v>
          </cell>
        </row>
        <row r="63">
          <cell r="B63" t="str">
            <v>BDF</v>
          </cell>
          <cell r="D63">
            <v>3808</v>
          </cell>
        </row>
        <row r="64">
          <cell r="B64" t="str">
            <v>SDF</v>
          </cell>
          <cell r="D64">
            <v>3670</v>
          </cell>
        </row>
        <row r="65">
          <cell r="B65" t="str">
            <v>Single-hop Reroute</v>
          </cell>
          <cell r="D65">
            <v>3964</v>
          </cell>
        </row>
        <row r="66">
          <cell r="B66" t="str">
            <v>NoRerouting</v>
          </cell>
          <cell r="D66">
            <v>3565</v>
          </cell>
        </row>
        <row r="67">
          <cell r="B67" t="str">
            <v>ES-ES</v>
          </cell>
          <cell r="D67">
            <v>3500</v>
          </cell>
        </row>
        <row r="68">
          <cell r="B68" t="str">
            <v>US-EP</v>
          </cell>
          <cell r="D68">
            <v>3468</v>
          </cell>
        </row>
        <row r="69">
          <cell r="B69" t="str">
            <v>US-UP</v>
          </cell>
          <cell r="D69">
            <v>3390</v>
          </cell>
        </row>
        <row r="70">
          <cell r="B70" t="str">
            <v>US</v>
          </cell>
          <cell r="D70">
            <v>3360</v>
          </cell>
        </row>
        <row r="71">
          <cell r="B71" t="str">
            <v>Flow Thinning</v>
          </cell>
        </row>
        <row r="72">
          <cell r="B72" t="str">
            <v>Flow Thinning with modular capacities</v>
          </cell>
          <cell r="D72">
            <v>2204</v>
          </cell>
        </row>
        <row r="73">
          <cell r="B73" t="str">
            <v>Affine Flow Thinning</v>
          </cell>
        </row>
        <row r="74">
          <cell r="B74" t="str">
            <v>Affine Flow Thinning with modular capacities</v>
          </cell>
          <cell r="D74">
            <v>2204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638" displayName="Table638" ref="A3:C4" totalsRowShown="0" headerRowDxfId="126" dataDxfId="125" headerRowBorderDxfId="124" headerRowCellStyle="Neutral" dataCellStyle="Comma">
  <tableColumns count="3">
    <tableColumn id="1" name="IP Links" dataDxfId="123" dataCellStyle="Comma"/>
    <tableColumn id="2" name="Working capacity of IP link e [Gbit/s]:" dataDxfId="122" dataCellStyle="Comma"/>
    <tableColumn id="4" name="Spare capacity of IP link e [Gbit/s]:" dataDxfId="121" dataCellStyle="Comma">
      <calculatedColumnFormula>D4-B4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4"/>
  <sheetViews>
    <sheetView topLeftCell="A8" zoomScaleNormal="100" workbookViewId="0">
      <selection activeCell="E24" sqref="E24"/>
    </sheetView>
  </sheetViews>
  <sheetFormatPr defaultRowHeight="15" x14ac:dyDescent="0.25"/>
  <cols>
    <col min="2" max="2" width="13.140625" customWidth="1"/>
    <col min="3" max="3" width="12.42578125" customWidth="1"/>
    <col min="4" max="4" width="18.42578125" customWidth="1"/>
    <col min="5" max="5" width="17.42578125" customWidth="1"/>
    <col min="6" max="8" width="22.28515625" customWidth="1"/>
    <col min="9" max="9" width="18.5703125" customWidth="1"/>
    <col min="10" max="10" width="17.140625" customWidth="1"/>
    <col min="11" max="12" width="17" customWidth="1"/>
  </cols>
  <sheetData>
    <row r="1" spans="1:23" x14ac:dyDescent="0.25">
      <c r="A1" s="4" t="s">
        <v>32</v>
      </c>
      <c r="B1" s="4" t="s">
        <v>35</v>
      </c>
      <c r="C1" s="4" t="s">
        <v>34</v>
      </c>
      <c r="D1" s="4" t="s">
        <v>1</v>
      </c>
      <c r="E1" s="4" t="s">
        <v>41</v>
      </c>
      <c r="F1" s="4" t="s">
        <v>37</v>
      </c>
      <c r="G1" s="299" t="s">
        <v>459</v>
      </c>
      <c r="H1" s="299" t="s">
        <v>461</v>
      </c>
      <c r="I1" s="299" t="s">
        <v>43</v>
      </c>
      <c r="J1" s="4" t="s">
        <v>33</v>
      </c>
      <c r="K1" s="4" t="s">
        <v>42</v>
      </c>
      <c r="L1" s="4" t="s">
        <v>79</v>
      </c>
    </row>
    <row r="2" spans="1:23" x14ac:dyDescent="0.25">
      <c r="A2" s="5" t="s">
        <v>0</v>
      </c>
      <c r="B2" s="6" t="s">
        <v>72</v>
      </c>
      <c r="C2" s="7">
        <v>774.56</v>
      </c>
      <c r="D2" s="8" t="s">
        <v>75</v>
      </c>
      <c r="E2" s="7">
        <v>150</v>
      </c>
      <c r="F2" s="7">
        <v>593.39250000000004</v>
      </c>
      <c r="G2" s="11">
        <v>2</v>
      </c>
      <c r="H2" s="11">
        <f>G2*F2</f>
        <v>1186.7850000000001</v>
      </c>
      <c r="I2" s="11">
        <f>CEILING(H2/(E2*0.84),1)</f>
        <v>10</v>
      </c>
      <c r="J2" s="7">
        <f>I2*E2</f>
        <v>1500</v>
      </c>
      <c r="K2" s="7">
        <f>J2-H2</f>
        <v>313.21499999999992</v>
      </c>
      <c r="L2" s="9">
        <f>(H2/J2)*100</f>
        <v>79.119</v>
      </c>
      <c r="P2" s="3" t="s">
        <v>39</v>
      </c>
      <c r="W2" s="3" t="s">
        <v>40</v>
      </c>
    </row>
    <row r="3" spans="1:23" x14ac:dyDescent="0.25">
      <c r="A3" s="5" t="s">
        <v>2</v>
      </c>
      <c r="B3" s="10" t="s">
        <v>73</v>
      </c>
      <c r="C3" s="11">
        <v>386.9</v>
      </c>
      <c r="D3" s="11" t="s">
        <v>76</v>
      </c>
      <c r="E3" s="11">
        <v>200</v>
      </c>
      <c r="F3" s="11">
        <v>131.95400000000001</v>
      </c>
      <c r="G3" s="300">
        <v>2</v>
      </c>
      <c r="H3" s="11">
        <f t="shared" ref="H3:H32" si="0">G3*F3</f>
        <v>263.90800000000002</v>
      </c>
      <c r="I3" s="11">
        <f t="shared" ref="I3:I32" si="1">CEILING(H3/(E3*0.84),1)</f>
        <v>2</v>
      </c>
      <c r="J3" s="11">
        <f t="shared" ref="J3:J32" si="2">I3*E3</f>
        <v>400</v>
      </c>
      <c r="K3" s="380">
        <f t="shared" ref="K3:K33" si="3">J3-H3</f>
        <v>136.09199999999998</v>
      </c>
      <c r="L3" s="12">
        <f t="shared" ref="L3:L32" si="4">(H3/J3)*100</f>
        <v>65.977000000000004</v>
      </c>
    </row>
    <row r="4" spans="1:23" x14ac:dyDescent="0.25">
      <c r="A4" s="5" t="s">
        <v>3</v>
      </c>
      <c r="B4" s="10" t="s">
        <v>44</v>
      </c>
      <c r="C4" s="11">
        <v>424.31</v>
      </c>
      <c r="D4" s="13" t="s">
        <v>76</v>
      </c>
      <c r="E4" s="11">
        <v>200</v>
      </c>
      <c r="F4" s="11">
        <v>79.758499999999998</v>
      </c>
      <c r="G4" s="300">
        <v>2</v>
      </c>
      <c r="H4" s="11">
        <f t="shared" si="0"/>
        <v>159.517</v>
      </c>
      <c r="I4" s="11">
        <f t="shared" si="1"/>
        <v>1</v>
      </c>
      <c r="J4" s="11">
        <f t="shared" si="2"/>
        <v>200</v>
      </c>
      <c r="K4" s="380">
        <f t="shared" si="3"/>
        <v>40.483000000000004</v>
      </c>
      <c r="L4" s="12">
        <f t="shared" si="4"/>
        <v>79.758499999999998</v>
      </c>
      <c r="P4" s="1"/>
    </row>
    <row r="5" spans="1:23" x14ac:dyDescent="0.25">
      <c r="A5" s="5" t="s">
        <v>4</v>
      </c>
      <c r="B5" s="10" t="s">
        <v>45</v>
      </c>
      <c r="C5" s="11">
        <v>221.095</v>
      </c>
      <c r="D5" s="11" t="s">
        <v>77</v>
      </c>
      <c r="E5" s="11">
        <v>250</v>
      </c>
      <c r="F5" s="11">
        <v>165.54</v>
      </c>
      <c r="G5" s="300">
        <v>2</v>
      </c>
      <c r="H5" s="11">
        <f t="shared" si="0"/>
        <v>331.08</v>
      </c>
      <c r="I5" s="11">
        <f t="shared" si="1"/>
        <v>2</v>
      </c>
      <c r="J5" s="11">
        <f t="shared" si="2"/>
        <v>500</v>
      </c>
      <c r="K5" s="380">
        <f t="shared" si="3"/>
        <v>168.92000000000002</v>
      </c>
      <c r="L5" s="12">
        <f t="shared" si="4"/>
        <v>66.215999999999994</v>
      </c>
      <c r="O5" s="2" t="s">
        <v>38</v>
      </c>
      <c r="P5" s="1"/>
    </row>
    <row r="6" spans="1:23" x14ac:dyDescent="0.25">
      <c r="A6" s="5" t="s">
        <v>5</v>
      </c>
      <c r="B6" s="10" t="s">
        <v>46</v>
      </c>
      <c r="C6" s="11">
        <v>87.444999999999993</v>
      </c>
      <c r="D6" s="11" t="s">
        <v>78</v>
      </c>
      <c r="E6" s="11">
        <v>300</v>
      </c>
      <c r="F6" s="11">
        <v>330.03719999999998</v>
      </c>
      <c r="G6" s="300">
        <v>2</v>
      </c>
      <c r="H6" s="11">
        <f t="shared" si="0"/>
        <v>660.07439999999997</v>
      </c>
      <c r="I6" s="11">
        <f t="shared" si="1"/>
        <v>3</v>
      </c>
      <c r="J6" s="11">
        <f t="shared" si="2"/>
        <v>900</v>
      </c>
      <c r="K6" s="380">
        <f t="shared" si="3"/>
        <v>239.92560000000003</v>
      </c>
      <c r="L6" s="12">
        <f t="shared" si="4"/>
        <v>73.3416</v>
      </c>
      <c r="P6" s="1"/>
    </row>
    <row r="7" spans="1:23" x14ac:dyDescent="0.25">
      <c r="A7" s="5" t="s">
        <v>6</v>
      </c>
      <c r="B7" s="10" t="s">
        <v>47</v>
      </c>
      <c r="C7" s="11">
        <v>341.46499999999997</v>
      </c>
      <c r="D7" s="11" t="s">
        <v>76</v>
      </c>
      <c r="E7" s="11">
        <v>200</v>
      </c>
      <c r="F7" s="11">
        <v>414.50749999999999</v>
      </c>
      <c r="G7" s="300">
        <v>2</v>
      </c>
      <c r="H7" s="11">
        <f t="shared" si="0"/>
        <v>829.01499999999999</v>
      </c>
      <c r="I7" s="11">
        <f t="shared" si="1"/>
        <v>5</v>
      </c>
      <c r="J7" s="11">
        <f t="shared" si="2"/>
        <v>1000</v>
      </c>
      <c r="K7" s="380">
        <f t="shared" si="3"/>
        <v>170.98500000000001</v>
      </c>
      <c r="L7" s="12">
        <f t="shared" si="4"/>
        <v>82.901499999999999</v>
      </c>
      <c r="P7" s="1"/>
    </row>
    <row r="8" spans="1:23" x14ac:dyDescent="0.25">
      <c r="A8" s="5" t="s">
        <v>7</v>
      </c>
      <c r="B8" s="10" t="s">
        <v>48</v>
      </c>
      <c r="C8" s="11">
        <v>457.755</v>
      </c>
      <c r="D8" s="13" t="s">
        <v>76</v>
      </c>
      <c r="E8" s="11">
        <v>200</v>
      </c>
      <c r="F8" s="11">
        <v>200.1122</v>
      </c>
      <c r="G8" s="300">
        <v>2</v>
      </c>
      <c r="H8" s="11">
        <f t="shared" si="0"/>
        <v>400.2244</v>
      </c>
      <c r="I8" s="11">
        <f t="shared" si="1"/>
        <v>3</v>
      </c>
      <c r="J8" s="11">
        <f t="shared" si="2"/>
        <v>600</v>
      </c>
      <c r="K8" s="380">
        <f t="shared" si="3"/>
        <v>199.7756</v>
      </c>
      <c r="L8" s="12">
        <f t="shared" si="4"/>
        <v>66.704066666666677</v>
      </c>
      <c r="P8" s="1"/>
    </row>
    <row r="9" spans="1:23" x14ac:dyDescent="0.25">
      <c r="A9" s="5" t="s">
        <v>8</v>
      </c>
      <c r="B9" s="10" t="s">
        <v>74</v>
      </c>
      <c r="C9" s="11">
        <v>632.29499999999996</v>
      </c>
      <c r="D9" s="13" t="s">
        <v>75</v>
      </c>
      <c r="E9" s="11">
        <v>150</v>
      </c>
      <c r="F9" s="20">
        <v>416.14780000000002</v>
      </c>
      <c r="G9" s="300">
        <v>2</v>
      </c>
      <c r="H9" s="11">
        <f t="shared" si="0"/>
        <v>832.29560000000004</v>
      </c>
      <c r="I9" s="11">
        <f t="shared" si="1"/>
        <v>7</v>
      </c>
      <c r="J9" s="11">
        <f t="shared" si="2"/>
        <v>1050</v>
      </c>
      <c r="K9" s="380">
        <f t="shared" si="3"/>
        <v>217.70439999999996</v>
      </c>
      <c r="L9" s="12">
        <f t="shared" si="4"/>
        <v>79.266247619047618</v>
      </c>
      <c r="P9" s="1"/>
    </row>
    <row r="10" spans="1:23" x14ac:dyDescent="0.25">
      <c r="A10" s="5" t="s">
        <v>9</v>
      </c>
      <c r="B10" s="10" t="s">
        <v>49</v>
      </c>
      <c r="C10" s="11">
        <v>72.555000000000007</v>
      </c>
      <c r="D10" s="11" t="s">
        <v>78</v>
      </c>
      <c r="E10" s="11">
        <v>300</v>
      </c>
      <c r="F10" s="11">
        <v>249.06020000000001</v>
      </c>
      <c r="G10" s="300">
        <v>2</v>
      </c>
      <c r="H10" s="11">
        <f t="shared" si="0"/>
        <v>498.12040000000002</v>
      </c>
      <c r="I10" s="11">
        <f t="shared" si="1"/>
        <v>2</v>
      </c>
      <c r="J10" s="11">
        <f t="shared" si="2"/>
        <v>600</v>
      </c>
      <c r="K10" s="380">
        <f t="shared" si="3"/>
        <v>101.87959999999998</v>
      </c>
      <c r="L10" s="12">
        <f t="shared" si="4"/>
        <v>83.020066666666665</v>
      </c>
      <c r="P10" s="1"/>
    </row>
    <row r="11" spans="1:23" x14ac:dyDescent="0.25">
      <c r="A11" s="5" t="s">
        <v>10</v>
      </c>
      <c r="B11" s="10" t="s">
        <v>50</v>
      </c>
      <c r="C11" s="11">
        <v>894.93</v>
      </c>
      <c r="D11" s="13" t="s">
        <v>75</v>
      </c>
      <c r="E11" s="11">
        <v>150</v>
      </c>
      <c r="F11" s="11">
        <v>185.4342</v>
      </c>
      <c r="G11" s="300">
        <v>2</v>
      </c>
      <c r="H11" s="11">
        <f t="shared" si="0"/>
        <v>370.86840000000001</v>
      </c>
      <c r="I11" s="11">
        <f t="shared" si="1"/>
        <v>3</v>
      </c>
      <c r="J11" s="11">
        <f t="shared" si="2"/>
        <v>450</v>
      </c>
      <c r="K11" s="380">
        <f t="shared" si="3"/>
        <v>79.131599999999992</v>
      </c>
      <c r="L11" s="12">
        <f t="shared" si="4"/>
        <v>82.415199999999999</v>
      </c>
      <c r="P11" s="1"/>
    </row>
    <row r="12" spans="1:23" x14ac:dyDescent="0.25">
      <c r="A12" s="5" t="s">
        <v>11</v>
      </c>
      <c r="B12" s="10" t="s">
        <v>51</v>
      </c>
      <c r="C12" s="11">
        <v>839.23</v>
      </c>
      <c r="D12" s="13" t="s">
        <v>75</v>
      </c>
      <c r="E12" s="11">
        <v>150</v>
      </c>
      <c r="F12" s="11">
        <v>213.84829999999999</v>
      </c>
      <c r="G12" s="300">
        <v>2</v>
      </c>
      <c r="H12" s="11">
        <f t="shared" si="0"/>
        <v>427.69659999999999</v>
      </c>
      <c r="I12" s="11">
        <f t="shared" si="1"/>
        <v>4</v>
      </c>
      <c r="J12" s="11">
        <f t="shared" si="2"/>
        <v>600</v>
      </c>
      <c r="K12" s="380">
        <f t="shared" si="3"/>
        <v>172.30340000000001</v>
      </c>
      <c r="L12" s="12">
        <f t="shared" si="4"/>
        <v>71.28276666666666</v>
      </c>
      <c r="P12" s="1"/>
    </row>
    <row r="13" spans="1:23" x14ac:dyDescent="0.25">
      <c r="A13" s="5" t="s">
        <v>12</v>
      </c>
      <c r="B13" s="10" t="s">
        <v>52</v>
      </c>
      <c r="C13" s="11">
        <v>428.91</v>
      </c>
      <c r="D13" s="13" t="s">
        <v>76</v>
      </c>
      <c r="E13" s="11">
        <v>200</v>
      </c>
      <c r="F13" s="11">
        <v>320.7817</v>
      </c>
      <c r="G13" s="300">
        <v>2</v>
      </c>
      <c r="H13" s="11">
        <f t="shared" si="0"/>
        <v>641.5634</v>
      </c>
      <c r="I13" s="11">
        <f t="shared" si="1"/>
        <v>4</v>
      </c>
      <c r="J13" s="11">
        <f t="shared" si="2"/>
        <v>800</v>
      </c>
      <c r="K13" s="380">
        <f t="shared" si="3"/>
        <v>158.4366</v>
      </c>
      <c r="L13" s="12">
        <f t="shared" si="4"/>
        <v>80.195425</v>
      </c>
      <c r="P13" s="1"/>
    </row>
    <row r="14" spans="1:23" x14ac:dyDescent="0.25">
      <c r="A14" s="5" t="s">
        <v>13</v>
      </c>
      <c r="B14" s="10" t="s">
        <v>53</v>
      </c>
      <c r="C14" s="11">
        <v>370.31</v>
      </c>
      <c r="D14" s="11" t="s">
        <v>76</v>
      </c>
      <c r="E14" s="11">
        <v>200</v>
      </c>
      <c r="F14" s="11">
        <v>24.103169999999999</v>
      </c>
      <c r="G14" s="300">
        <v>2</v>
      </c>
      <c r="H14" s="11">
        <f t="shared" si="0"/>
        <v>48.206339999999997</v>
      </c>
      <c r="I14" s="11">
        <f t="shared" si="1"/>
        <v>1</v>
      </c>
      <c r="J14" s="11">
        <f t="shared" si="2"/>
        <v>200</v>
      </c>
      <c r="K14" s="380">
        <f t="shared" si="3"/>
        <v>151.79365999999999</v>
      </c>
      <c r="L14" s="12">
        <f t="shared" si="4"/>
        <v>24.103169999999999</v>
      </c>
    </row>
    <row r="15" spans="1:23" x14ac:dyDescent="0.25">
      <c r="A15" s="5" t="s">
        <v>14</v>
      </c>
      <c r="B15" s="10" t="s">
        <v>54</v>
      </c>
      <c r="C15" s="11">
        <v>391.72</v>
      </c>
      <c r="D15" s="11" t="s">
        <v>76</v>
      </c>
      <c r="E15" s="11">
        <v>200</v>
      </c>
      <c r="F15" s="11">
        <v>664.51419999999996</v>
      </c>
      <c r="G15" s="300">
        <v>2</v>
      </c>
      <c r="H15" s="11">
        <f t="shared" si="0"/>
        <v>1329.0283999999999</v>
      </c>
      <c r="I15" s="11">
        <f t="shared" si="1"/>
        <v>8</v>
      </c>
      <c r="J15" s="11">
        <f t="shared" si="2"/>
        <v>1600</v>
      </c>
      <c r="K15" s="380">
        <f t="shared" si="3"/>
        <v>270.97160000000008</v>
      </c>
      <c r="L15" s="12">
        <f t="shared" si="4"/>
        <v>83.064274999999995</v>
      </c>
    </row>
    <row r="16" spans="1:23" x14ac:dyDescent="0.25">
      <c r="A16" s="5" t="s">
        <v>15</v>
      </c>
      <c r="B16" s="10" t="s">
        <v>55</v>
      </c>
      <c r="C16" s="11">
        <v>566.26</v>
      </c>
      <c r="D16" s="13" t="s">
        <v>75</v>
      </c>
      <c r="E16" s="11">
        <v>150</v>
      </c>
      <c r="F16" s="11">
        <v>424.66829999999999</v>
      </c>
      <c r="G16" s="300">
        <v>2</v>
      </c>
      <c r="H16" s="11">
        <f t="shared" si="0"/>
        <v>849.33659999999998</v>
      </c>
      <c r="I16" s="11">
        <f t="shared" si="1"/>
        <v>7</v>
      </c>
      <c r="J16" s="11">
        <f t="shared" si="2"/>
        <v>1050</v>
      </c>
      <c r="K16" s="380">
        <f t="shared" si="3"/>
        <v>200.66340000000002</v>
      </c>
      <c r="L16" s="12">
        <f t="shared" si="4"/>
        <v>80.889199999999988</v>
      </c>
    </row>
    <row r="17" spans="1:12" x14ac:dyDescent="0.25">
      <c r="A17" s="5" t="s">
        <v>16</v>
      </c>
      <c r="B17" s="10" t="s">
        <v>56</v>
      </c>
      <c r="C17" s="11">
        <v>268.91000000000003</v>
      </c>
      <c r="D17" s="11" t="s">
        <v>77</v>
      </c>
      <c r="E17" s="11">
        <v>250</v>
      </c>
      <c r="F17" s="11">
        <v>277.57420000000002</v>
      </c>
      <c r="G17" s="300">
        <v>2</v>
      </c>
      <c r="H17" s="11">
        <f t="shared" si="0"/>
        <v>555.14840000000004</v>
      </c>
      <c r="I17" s="11">
        <f t="shared" si="1"/>
        <v>3</v>
      </c>
      <c r="J17" s="11">
        <f t="shared" si="2"/>
        <v>750</v>
      </c>
      <c r="K17" s="380">
        <f t="shared" si="3"/>
        <v>194.85159999999996</v>
      </c>
      <c r="L17" s="12">
        <f t="shared" si="4"/>
        <v>74.019786666666676</v>
      </c>
    </row>
    <row r="18" spans="1:12" x14ac:dyDescent="0.25">
      <c r="A18" s="5" t="s">
        <v>17</v>
      </c>
      <c r="B18" s="10" t="s">
        <v>57</v>
      </c>
      <c r="C18" s="11">
        <v>553.46500000000003</v>
      </c>
      <c r="D18" s="13" t="s">
        <v>75</v>
      </c>
      <c r="E18" s="11">
        <v>150</v>
      </c>
      <c r="F18" s="11">
        <v>491.47570000000002</v>
      </c>
      <c r="G18" s="300">
        <v>2</v>
      </c>
      <c r="H18" s="11">
        <f t="shared" si="0"/>
        <v>982.95140000000004</v>
      </c>
      <c r="I18" s="11">
        <f t="shared" si="1"/>
        <v>8</v>
      </c>
      <c r="J18" s="11">
        <f t="shared" si="2"/>
        <v>1200</v>
      </c>
      <c r="K18" s="380">
        <f t="shared" si="3"/>
        <v>217.04859999999996</v>
      </c>
      <c r="L18" s="12">
        <f t="shared" si="4"/>
        <v>81.912616666666665</v>
      </c>
    </row>
    <row r="19" spans="1:12" x14ac:dyDescent="0.25">
      <c r="A19" s="5" t="s">
        <v>18</v>
      </c>
      <c r="B19" s="10" t="s">
        <v>58</v>
      </c>
      <c r="C19" s="11">
        <v>497.76499999999999</v>
      </c>
      <c r="D19" s="13" t="s">
        <v>76</v>
      </c>
      <c r="E19" s="11">
        <v>200</v>
      </c>
      <c r="F19" s="20">
        <v>1151.328</v>
      </c>
      <c r="G19" s="300">
        <v>2</v>
      </c>
      <c r="H19" s="11">
        <f t="shared" si="0"/>
        <v>2302.6559999999999</v>
      </c>
      <c r="I19" s="11">
        <f t="shared" si="1"/>
        <v>14</v>
      </c>
      <c r="J19" s="11">
        <f t="shared" si="2"/>
        <v>2800</v>
      </c>
      <c r="K19" s="380">
        <f t="shared" si="3"/>
        <v>497.34400000000005</v>
      </c>
      <c r="L19" s="12">
        <f t="shared" si="4"/>
        <v>82.237714285714276</v>
      </c>
    </row>
    <row r="20" spans="1:12" x14ac:dyDescent="0.25">
      <c r="A20" s="5" t="s">
        <v>19</v>
      </c>
      <c r="B20" s="10" t="s">
        <v>59</v>
      </c>
      <c r="C20" s="11">
        <v>285.27999999999997</v>
      </c>
      <c r="D20" s="11" t="s">
        <v>77</v>
      </c>
      <c r="E20" s="11">
        <v>250</v>
      </c>
      <c r="F20" s="11">
        <v>779.52329999999995</v>
      </c>
      <c r="G20" s="300">
        <v>2</v>
      </c>
      <c r="H20" s="11">
        <f t="shared" si="0"/>
        <v>1559.0465999999999</v>
      </c>
      <c r="I20" s="11">
        <f t="shared" si="1"/>
        <v>8</v>
      </c>
      <c r="J20" s="11">
        <f t="shared" si="2"/>
        <v>2000</v>
      </c>
      <c r="K20" s="380">
        <f t="shared" si="3"/>
        <v>440.9534000000001</v>
      </c>
      <c r="L20" s="12">
        <f t="shared" si="4"/>
        <v>77.952329999999989</v>
      </c>
    </row>
    <row r="21" spans="1:12" x14ac:dyDescent="0.25">
      <c r="A21" s="5" t="s">
        <v>20</v>
      </c>
      <c r="B21" s="10" t="s">
        <v>60</v>
      </c>
      <c r="C21" s="11">
        <v>239.47</v>
      </c>
      <c r="D21" s="11" t="s">
        <v>77</v>
      </c>
      <c r="E21" s="11">
        <v>250</v>
      </c>
      <c r="F21" s="11">
        <v>886.15449999999998</v>
      </c>
      <c r="G21" s="300">
        <v>2</v>
      </c>
      <c r="H21" s="11">
        <f t="shared" si="0"/>
        <v>1772.309</v>
      </c>
      <c r="I21" s="11">
        <f t="shared" si="1"/>
        <v>9</v>
      </c>
      <c r="J21" s="11">
        <f t="shared" si="2"/>
        <v>2250</v>
      </c>
      <c r="K21" s="380">
        <f t="shared" si="3"/>
        <v>477.69100000000003</v>
      </c>
      <c r="L21" s="12">
        <f t="shared" si="4"/>
        <v>78.769288888888894</v>
      </c>
    </row>
    <row r="22" spans="1:12" x14ac:dyDescent="0.25">
      <c r="A22" s="5" t="s">
        <v>21</v>
      </c>
      <c r="B22" s="10" t="s">
        <v>61</v>
      </c>
      <c r="C22" s="11">
        <v>381.34</v>
      </c>
      <c r="D22" s="11" t="s">
        <v>76</v>
      </c>
      <c r="E22" s="11">
        <v>200</v>
      </c>
      <c r="F22" s="11">
        <v>233.80699999999999</v>
      </c>
      <c r="G22" s="300">
        <v>2</v>
      </c>
      <c r="H22" s="11">
        <f t="shared" si="0"/>
        <v>467.61399999999998</v>
      </c>
      <c r="I22" s="11">
        <f t="shared" si="1"/>
        <v>3</v>
      </c>
      <c r="J22" s="11">
        <f t="shared" si="2"/>
        <v>600</v>
      </c>
      <c r="K22" s="380">
        <f t="shared" si="3"/>
        <v>132.38600000000002</v>
      </c>
      <c r="L22" s="12">
        <f t="shared" si="4"/>
        <v>77.935666666666663</v>
      </c>
    </row>
    <row r="23" spans="1:12" x14ac:dyDescent="0.25">
      <c r="A23" s="5" t="s">
        <v>22</v>
      </c>
      <c r="B23" s="10" t="s">
        <v>62</v>
      </c>
      <c r="C23" s="11">
        <v>174.54</v>
      </c>
      <c r="D23" s="11" t="s">
        <v>77</v>
      </c>
      <c r="E23" s="11">
        <v>250</v>
      </c>
      <c r="F23" s="11">
        <v>80.336669999999998</v>
      </c>
      <c r="G23" s="300">
        <v>2</v>
      </c>
      <c r="H23" s="11">
        <f t="shared" si="0"/>
        <v>160.67334</v>
      </c>
      <c r="I23" s="11">
        <f t="shared" si="1"/>
        <v>1</v>
      </c>
      <c r="J23" s="11">
        <f t="shared" si="2"/>
        <v>250</v>
      </c>
      <c r="K23" s="380">
        <f t="shared" si="3"/>
        <v>89.326660000000004</v>
      </c>
      <c r="L23" s="12">
        <f t="shared" si="4"/>
        <v>64.269335999999996</v>
      </c>
    </row>
    <row r="24" spans="1:12" x14ac:dyDescent="0.25">
      <c r="A24" s="5" t="s">
        <v>23</v>
      </c>
      <c r="B24" s="10" t="s">
        <v>63</v>
      </c>
      <c r="C24" s="11">
        <v>530.30999999999995</v>
      </c>
      <c r="D24" s="13" t="s">
        <v>76</v>
      </c>
      <c r="E24" s="11">
        <v>200</v>
      </c>
      <c r="F24" s="11">
        <v>22.350670000000001</v>
      </c>
      <c r="G24" s="300">
        <v>2</v>
      </c>
      <c r="H24" s="11">
        <f t="shared" si="0"/>
        <v>44.701340000000002</v>
      </c>
      <c r="I24" s="11">
        <f t="shared" si="1"/>
        <v>1</v>
      </c>
      <c r="J24" s="11">
        <f t="shared" si="2"/>
        <v>200</v>
      </c>
      <c r="K24" s="380">
        <f t="shared" si="3"/>
        <v>155.29865999999998</v>
      </c>
      <c r="L24" s="12">
        <f t="shared" si="4"/>
        <v>22.350670000000001</v>
      </c>
    </row>
    <row r="25" spans="1:12" x14ac:dyDescent="0.25">
      <c r="A25" s="5" t="s">
        <v>24</v>
      </c>
      <c r="B25" s="10" t="s">
        <v>64</v>
      </c>
      <c r="C25" s="11">
        <v>517.28</v>
      </c>
      <c r="D25" s="13" t="s">
        <v>76</v>
      </c>
      <c r="E25" s="11">
        <v>200</v>
      </c>
      <c r="F25" s="11">
        <v>67.241829999999993</v>
      </c>
      <c r="G25" s="300">
        <v>2</v>
      </c>
      <c r="H25" s="11">
        <f t="shared" si="0"/>
        <v>134.48365999999999</v>
      </c>
      <c r="I25" s="11">
        <f t="shared" si="1"/>
        <v>1</v>
      </c>
      <c r="J25" s="11">
        <f t="shared" si="2"/>
        <v>200</v>
      </c>
      <c r="K25" s="380">
        <f t="shared" si="3"/>
        <v>65.516340000000014</v>
      </c>
      <c r="L25" s="12">
        <f t="shared" si="4"/>
        <v>67.241829999999993</v>
      </c>
    </row>
    <row r="26" spans="1:12" x14ac:dyDescent="0.25">
      <c r="A26" s="5" t="s">
        <v>25</v>
      </c>
      <c r="B26" s="10" t="s">
        <v>65</v>
      </c>
      <c r="C26" s="11">
        <v>645.40499999999997</v>
      </c>
      <c r="D26" s="13" t="s">
        <v>75</v>
      </c>
      <c r="E26" s="11">
        <v>150</v>
      </c>
      <c r="F26" s="11">
        <v>101.52370000000001</v>
      </c>
      <c r="G26" s="300">
        <v>2</v>
      </c>
      <c r="H26" s="11">
        <f t="shared" si="0"/>
        <v>203.04740000000001</v>
      </c>
      <c r="I26" s="11">
        <f t="shared" si="1"/>
        <v>2</v>
      </c>
      <c r="J26" s="11">
        <f t="shared" si="2"/>
        <v>300</v>
      </c>
      <c r="K26" s="380">
        <f t="shared" si="3"/>
        <v>96.95259999999999</v>
      </c>
      <c r="L26" s="12">
        <f t="shared" si="4"/>
        <v>67.68246666666667</v>
      </c>
    </row>
    <row r="27" spans="1:12" x14ac:dyDescent="0.25">
      <c r="A27" s="5" t="s">
        <v>26</v>
      </c>
      <c r="B27" s="10" t="s">
        <v>66</v>
      </c>
      <c r="C27" s="11">
        <v>592.98500000000001</v>
      </c>
      <c r="D27" s="13" t="s">
        <v>75</v>
      </c>
      <c r="E27" s="11">
        <v>150</v>
      </c>
      <c r="F27" s="11">
        <v>175.91919999999999</v>
      </c>
      <c r="G27" s="300">
        <v>2</v>
      </c>
      <c r="H27" s="11">
        <f t="shared" si="0"/>
        <v>351.83839999999998</v>
      </c>
      <c r="I27" s="11">
        <f t="shared" si="1"/>
        <v>3</v>
      </c>
      <c r="J27" s="11">
        <f t="shared" si="2"/>
        <v>450</v>
      </c>
      <c r="K27" s="380">
        <f t="shared" si="3"/>
        <v>98.161600000000021</v>
      </c>
      <c r="L27" s="12">
        <f t="shared" si="4"/>
        <v>78.18631111111111</v>
      </c>
    </row>
    <row r="28" spans="1:12" x14ac:dyDescent="0.25">
      <c r="A28" s="5" t="s">
        <v>27</v>
      </c>
      <c r="B28" s="10" t="s">
        <v>67</v>
      </c>
      <c r="C28" s="11">
        <v>374.84</v>
      </c>
      <c r="D28" s="11" t="s">
        <v>76</v>
      </c>
      <c r="E28" s="11">
        <v>200</v>
      </c>
      <c r="F28" s="11">
        <v>115.1143</v>
      </c>
      <c r="G28" s="300">
        <v>2</v>
      </c>
      <c r="H28" s="11">
        <f t="shared" si="0"/>
        <v>230.2286</v>
      </c>
      <c r="I28" s="11">
        <f t="shared" si="1"/>
        <v>2</v>
      </c>
      <c r="J28" s="11">
        <f t="shared" si="2"/>
        <v>400</v>
      </c>
      <c r="K28" s="380">
        <f t="shared" si="3"/>
        <v>169.7714</v>
      </c>
      <c r="L28" s="12">
        <f t="shared" si="4"/>
        <v>57.55715</v>
      </c>
    </row>
    <row r="29" spans="1:12" x14ac:dyDescent="0.25">
      <c r="A29" s="5" t="s">
        <v>28</v>
      </c>
      <c r="B29" s="10" t="s">
        <v>68</v>
      </c>
      <c r="C29" s="11">
        <v>675.17499999999995</v>
      </c>
      <c r="D29" s="13" t="s">
        <v>75</v>
      </c>
      <c r="E29" s="11">
        <v>150</v>
      </c>
      <c r="F29" s="11">
        <v>87.5685</v>
      </c>
      <c r="G29" s="300">
        <v>2</v>
      </c>
      <c r="H29" s="11">
        <f t="shared" si="0"/>
        <v>175.137</v>
      </c>
      <c r="I29" s="11">
        <f t="shared" si="1"/>
        <v>2</v>
      </c>
      <c r="J29" s="11">
        <f t="shared" si="2"/>
        <v>300</v>
      </c>
      <c r="K29" s="380">
        <f t="shared" si="3"/>
        <v>124.863</v>
      </c>
      <c r="L29" s="12">
        <f t="shared" si="4"/>
        <v>58.379000000000005</v>
      </c>
    </row>
    <row r="30" spans="1:12" x14ac:dyDescent="0.25">
      <c r="A30" s="5" t="s">
        <v>29</v>
      </c>
      <c r="B30" s="10" t="s">
        <v>69</v>
      </c>
      <c r="C30" s="11">
        <v>768.38499999999999</v>
      </c>
      <c r="D30" s="13" t="s">
        <v>75</v>
      </c>
      <c r="E30" s="11">
        <v>150</v>
      </c>
      <c r="F30" s="11">
        <v>46.164000000000001</v>
      </c>
      <c r="G30" s="300">
        <v>2</v>
      </c>
      <c r="H30" s="11">
        <f t="shared" si="0"/>
        <v>92.328000000000003</v>
      </c>
      <c r="I30" s="11">
        <f t="shared" si="1"/>
        <v>1</v>
      </c>
      <c r="J30" s="11">
        <f t="shared" si="2"/>
        <v>150</v>
      </c>
      <c r="K30" s="380">
        <f t="shared" si="3"/>
        <v>57.671999999999997</v>
      </c>
      <c r="L30" s="12">
        <f t="shared" si="4"/>
        <v>61.552000000000007</v>
      </c>
    </row>
    <row r="31" spans="1:12" x14ac:dyDescent="0.25">
      <c r="A31" s="5" t="s">
        <v>30</v>
      </c>
      <c r="B31" s="10" t="s">
        <v>70</v>
      </c>
      <c r="C31" s="11">
        <v>317.27</v>
      </c>
      <c r="D31" s="11" t="s">
        <v>76</v>
      </c>
      <c r="E31" s="11">
        <v>200</v>
      </c>
      <c r="F31" s="11">
        <v>136.87530000000001</v>
      </c>
      <c r="G31" s="300">
        <v>2</v>
      </c>
      <c r="H31" s="11">
        <f t="shared" si="0"/>
        <v>273.75060000000002</v>
      </c>
      <c r="I31" s="11">
        <f t="shared" si="1"/>
        <v>2</v>
      </c>
      <c r="J31" s="11">
        <f t="shared" si="2"/>
        <v>400</v>
      </c>
      <c r="K31" s="380">
        <f t="shared" si="3"/>
        <v>126.24939999999998</v>
      </c>
      <c r="L31" s="12">
        <f t="shared" si="4"/>
        <v>68.437650000000005</v>
      </c>
    </row>
    <row r="32" spans="1:12" x14ac:dyDescent="0.25">
      <c r="A32" s="5" t="s">
        <v>31</v>
      </c>
      <c r="B32" s="14" t="s">
        <v>71</v>
      </c>
      <c r="C32" s="19">
        <v>300.33499999999998</v>
      </c>
      <c r="D32" s="15" t="s">
        <v>76</v>
      </c>
      <c r="E32" s="15">
        <v>200</v>
      </c>
      <c r="F32" s="15">
        <v>33.29833</v>
      </c>
      <c r="G32" s="300">
        <v>2</v>
      </c>
      <c r="H32" s="11">
        <f t="shared" si="0"/>
        <v>66.59666</v>
      </c>
      <c r="I32" s="11">
        <f t="shared" si="1"/>
        <v>1</v>
      </c>
      <c r="J32" s="15">
        <f t="shared" si="2"/>
        <v>200</v>
      </c>
      <c r="K32" s="15">
        <f t="shared" si="3"/>
        <v>133.40334000000001</v>
      </c>
      <c r="L32" s="21">
        <f t="shared" si="4"/>
        <v>33.29833</v>
      </c>
    </row>
    <row r="33" spans="1:12" x14ac:dyDescent="0.25">
      <c r="A33" s="5"/>
      <c r="B33" s="5"/>
      <c r="C33" s="5"/>
      <c r="D33" s="16" t="s">
        <v>36</v>
      </c>
      <c r="E33" s="17">
        <f>SUM(E2:E32)</f>
        <v>6150</v>
      </c>
      <c r="F33" s="17">
        <f>SUM(F2:F32)</f>
        <v>9100.1149700000005</v>
      </c>
      <c r="G33" s="7"/>
      <c r="H33" s="382">
        <f>SUM(H2:H32)</f>
        <v>18200.229940000001</v>
      </c>
      <c r="I33" s="7">
        <f>SUM(I2:I32)</f>
        <v>123</v>
      </c>
      <c r="J33" s="18">
        <f>SUM(J2:J32)</f>
        <v>23900</v>
      </c>
      <c r="K33" s="18">
        <f t="shared" si="3"/>
        <v>5699.7700599999989</v>
      </c>
      <c r="L33" s="11"/>
    </row>
    <row r="34" spans="1:12" x14ac:dyDescent="0.25">
      <c r="A34" s="5"/>
      <c r="B34" s="5"/>
      <c r="C34" s="5"/>
      <c r="D34" s="4" t="s">
        <v>80</v>
      </c>
      <c r="E34" s="17">
        <f>F33/J33</f>
        <v>0.38075794853556488</v>
      </c>
      <c r="F34" s="5"/>
      <c r="G34" s="11"/>
      <c r="H34" s="11"/>
      <c r="I34" s="5"/>
      <c r="J34" s="5"/>
      <c r="K34" s="5"/>
      <c r="L34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9"/>
  <sheetViews>
    <sheetView topLeftCell="W34" zoomScale="110" zoomScaleNormal="110" workbookViewId="0">
      <selection activeCell="AD57" sqref="AD57:AJ73"/>
    </sheetView>
  </sheetViews>
  <sheetFormatPr defaultColWidth="9" defaultRowHeight="12.75" x14ac:dyDescent="0.2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33.8554687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16384" width="9" style="5"/>
  </cols>
  <sheetData>
    <row r="1" spans="1:31" ht="14.25" customHeight="1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9"/>
      <c r="J1" s="366"/>
      <c r="K1" s="465" t="s">
        <v>451</v>
      </c>
      <c r="L1" s="466"/>
      <c r="M1" s="466"/>
      <c r="N1" s="466"/>
      <c r="O1" s="466"/>
      <c r="P1" s="466"/>
      <c r="Q1" s="466"/>
      <c r="R1" s="520"/>
      <c r="S1" s="7"/>
      <c r="T1" s="7"/>
    </row>
    <row r="2" spans="1:31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90" t="s">
        <v>33</v>
      </c>
      <c r="F2" s="190" t="s">
        <v>447</v>
      </c>
      <c r="G2" s="190" t="s">
        <v>459</v>
      </c>
      <c r="H2" s="190" t="s">
        <v>461</v>
      </c>
      <c r="I2" s="189" t="s">
        <v>444</v>
      </c>
      <c r="J2" s="251" t="s">
        <v>458</v>
      </c>
      <c r="K2" s="188" t="s">
        <v>446</v>
      </c>
      <c r="L2" s="188" t="s">
        <v>34</v>
      </c>
      <c r="M2" s="188" t="s">
        <v>33</v>
      </c>
      <c r="N2" s="187" t="s">
        <v>445</v>
      </c>
      <c r="O2" s="186" t="s">
        <v>459</v>
      </c>
      <c r="P2" s="186" t="s">
        <v>461</v>
      </c>
      <c r="Q2" s="186" t="s">
        <v>444</v>
      </c>
      <c r="R2" s="241" t="s">
        <v>457</v>
      </c>
      <c r="S2" s="369"/>
      <c r="T2" s="304"/>
    </row>
    <row r="3" spans="1:31" ht="13.5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179">
        <v>400</v>
      </c>
      <c r="F3" s="179">
        <v>131.95400000000001</v>
      </c>
      <c r="G3" s="85">
        <v>2</v>
      </c>
      <c r="H3" s="179">
        <f>G3*F3</f>
        <v>263.90800000000002</v>
      </c>
      <c r="I3" s="178">
        <f t="shared" ref="I3:I13" si="0">E3-F3</f>
        <v>268.04599999999999</v>
      </c>
      <c r="J3" s="179">
        <f>H3/E3*100</f>
        <v>65.977000000000004</v>
      </c>
      <c r="K3" s="177" t="s">
        <v>435</v>
      </c>
      <c r="L3" s="177">
        <v>598.85</v>
      </c>
      <c r="M3" s="177">
        <v>300</v>
      </c>
      <c r="N3" s="176">
        <f t="shared" ref="N3:N13" si="1">F3</f>
        <v>131.95400000000001</v>
      </c>
      <c r="O3" s="101">
        <v>2</v>
      </c>
      <c r="P3" s="240">
        <f>O3*N3</f>
        <v>263.90800000000002</v>
      </c>
      <c r="Q3" s="280">
        <f>M3-P3</f>
        <v>36.091999999999985</v>
      </c>
      <c r="R3" s="176" t="str">
        <f t="shared" ref="R3:R9" si="2">IF(Q3&gt;=0,"No","Yes")</f>
        <v>No</v>
      </c>
      <c r="S3" s="369"/>
      <c r="T3" s="369"/>
    </row>
    <row r="4" spans="1:31" ht="13.5" thickBot="1" x14ac:dyDescent="0.25">
      <c r="A4" s="480" t="s">
        <v>44</v>
      </c>
      <c r="B4" s="174" t="s">
        <v>3</v>
      </c>
      <c r="C4" s="173" t="s">
        <v>44</v>
      </c>
      <c r="D4" s="172">
        <v>424.31</v>
      </c>
      <c r="E4" s="172">
        <v>200</v>
      </c>
      <c r="F4" s="172">
        <v>79.758499999999998</v>
      </c>
      <c r="G4" s="269">
        <v>2</v>
      </c>
      <c r="H4" s="179">
        <f t="shared" ref="H4:H56" si="3">G4*F4</f>
        <v>159.517</v>
      </c>
      <c r="I4" s="171">
        <f t="shared" si="0"/>
        <v>120.2415</v>
      </c>
      <c r="J4" s="179">
        <f t="shared" ref="J4:J13" si="4">H4/E4*100</f>
        <v>79.758499999999998</v>
      </c>
      <c r="K4" s="170" t="s">
        <v>434</v>
      </c>
      <c r="L4" s="170">
        <v>561.44000000000005</v>
      </c>
      <c r="M4" s="170">
        <v>150</v>
      </c>
      <c r="N4" s="169">
        <f t="shared" si="1"/>
        <v>79.758499999999998</v>
      </c>
      <c r="O4" s="273">
        <v>2</v>
      </c>
      <c r="P4" s="240">
        <f t="shared" ref="P4:P56" si="5">O4*N4</f>
        <v>159.517</v>
      </c>
      <c r="Q4" s="280">
        <f t="shared" ref="Q4:Q13" si="6">M4-P4</f>
        <v>-9.5169999999999959</v>
      </c>
      <c r="R4" s="177" t="str">
        <f t="shared" si="2"/>
        <v>Yes</v>
      </c>
      <c r="S4" s="369"/>
      <c r="T4" s="369"/>
    </row>
    <row r="5" spans="1:31" ht="14.25" customHeight="1" thickBot="1" x14ac:dyDescent="0.25">
      <c r="A5" s="464"/>
      <c r="B5" s="63" t="s">
        <v>25</v>
      </c>
      <c r="C5" s="116" t="s">
        <v>65</v>
      </c>
      <c r="D5" s="95">
        <v>645.40499999999997</v>
      </c>
      <c r="E5" s="95">
        <v>300</v>
      </c>
      <c r="F5" s="94">
        <v>101.52370000000001</v>
      </c>
      <c r="G5" s="271">
        <v>2</v>
      </c>
      <c r="H5" s="179">
        <f t="shared" si="3"/>
        <v>203.04740000000001</v>
      </c>
      <c r="I5" s="94">
        <f t="shared" si="0"/>
        <v>198.47629999999998</v>
      </c>
      <c r="J5" s="179">
        <f t="shared" si="4"/>
        <v>67.68246666666667</v>
      </c>
      <c r="K5" s="93" t="s">
        <v>429</v>
      </c>
      <c r="L5" s="93">
        <v>691.82</v>
      </c>
      <c r="M5" s="93">
        <v>300</v>
      </c>
      <c r="N5" s="92">
        <f t="shared" si="1"/>
        <v>101.52370000000001</v>
      </c>
      <c r="O5" s="274">
        <v>2</v>
      </c>
      <c r="P5" s="240">
        <f t="shared" si="5"/>
        <v>203.04740000000001</v>
      </c>
      <c r="Q5" s="280">
        <f t="shared" si="6"/>
        <v>96.95259999999999</v>
      </c>
      <c r="R5" s="177" t="str">
        <f t="shared" si="2"/>
        <v>No</v>
      </c>
      <c r="S5" s="367" t="s">
        <v>440</v>
      </c>
      <c r="T5" s="367" t="s">
        <v>456</v>
      </c>
    </row>
    <row r="6" spans="1:31" ht="13.5" thickBot="1" x14ac:dyDescent="0.25">
      <c r="A6" s="462" t="s">
        <v>433</v>
      </c>
      <c r="B6" s="87" t="s">
        <v>432</v>
      </c>
      <c r="C6" s="86" t="s">
        <v>392</v>
      </c>
      <c r="D6" s="85">
        <v>774.56</v>
      </c>
      <c r="E6" s="85">
        <v>1500</v>
      </c>
      <c r="F6" s="85">
        <v>593.39</v>
      </c>
      <c r="G6" s="269">
        <v>2</v>
      </c>
      <c r="H6" s="179">
        <f t="shared" si="3"/>
        <v>1186.78</v>
      </c>
      <c r="I6" s="84">
        <f t="shared" si="0"/>
        <v>906.61</v>
      </c>
      <c r="J6" s="179">
        <f t="shared" si="4"/>
        <v>79.118666666666655</v>
      </c>
      <c r="K6" s="83" t="s">
        <v>431</v>
      </c>
      <c r="L6" s="83">
        <v>778.62</v>
      </c>
      <c r="M6" s="83">
        <v>1500</v>
      </c>
      <c r="N6" s="82">
        <f t="shared" si="1"/>
        <v>593.39</v>
      </c>
      <c r="O6" s="273">
        <v>2</v>
      </c>
      <c r="P6" s="240">
        <f t="shared" si="5"/>
        <v>1186.78</v>
      </c>
      <c r="Q6" s="280">
        <f t="shared" si="6"/>
        <v>313.22000000000003</v>
      </c>
      <c r="R6" s="177" t="str">
        <f t="shared" si="2"/>
        <v>No</v>
      </c>
      <c r="S6" s="213"/>
      <c r="T6" s="212"/>
    </row>
    <row r="7" spans="1:31" ht="14.25" customHeight="1" thickBot="1" x14ac:dyDescent="0.25">
      <c r="A7" s="464"/>
      <c r="B7" s="97" t="s">
        <v>4</v>
      </c>
      <c r="C7" s="96" t="s">
        <v>45</v>
      </c>
      <c r="D7" s="110">
        <v>221.095</v>
      </c>
      <c r="E7" s="110">
        <v>500</v>
      </c>
      <c r="F7" s="110">
        <v>165.54</v>
      </c>
      <c r="G7" s="271">
        <v>2</v>
      </c>
      <c r="H7" s="179">
        <f t="shared" si="3"/>
        <v>331.08</v>
      </c>
      <c r="I7" s="109">
        <f t="shared" si="0"/>
        <v>334.46000000000004</v>
      </c>
      <c r="J7" s="179">
        <f t="shared" si="4"/>
        <v>66.215999999999994</v>
      </c>
      <c r="K7" s="108" t="s">
        <v>430</v>
      </c>
      <c r="L7" s="108">
        <v>904.18</v>
      </c>
      <c r="M7" s="108">
        <v>300</v>
      </c>
      <c r="N7" s="107">
        <f t="shared" si="1"/>
        <v>165.54</v>
      </c>
      <c r="O7" s="274">
        <v>2</v>
      </c>
      <c r="P7" s="240">
        <f t="shared" si="5"/>
        <v>331.08</v>
      </c>
      <c r="Q7" s="280">
        <f t="shared" si="6"/>
        <v>-31.079999999999984</v>
      </c>
      <c r="R7" s="291" t="str">
        <f t="shared" si="2"/>
        <v>Yes</v>
      </c>
      <c r="S7" s="250" t="s">
        <v>351</v>
      </c>
      <c r="T7" s="234" t="s">
        <v>351</v>
      </c>
    </row>
    <row r="8" spans="1:31" ht="14.25" customHeight="1" thickBot="1" x14ac:dyDescent="0.25">
      <c r="A8" s="464"/>
      <c r="B8" s="97" t="s">
        <v>25</v>
      </c>
      <c r="C8" s="96" t="s">
        <v>65</v>
      </c>
      <c r="D8" s="95">
        <v>645.40499999999997</v>
      </c>
      <c r="E8" s="95">
        <v>300</v>
      </c>
      <c r="F8" s="95">
        <v>101.52370000000001</v>
      </c>
      <c r="G8" s="271">
        <v>2</v>
      </c>
      <c r="H8" s="179">
        <f t="shared" si="3"/>
        <v>203.04740000000001</v>
      </c>
      <c r="I8" s="94">
        <f t="shared" si="0"/>
        <v>198.47629999999998</v>
      </c>
      <c r="J8" s="179">
        <f t="shared" si="4"/>
        <v>67.68246666666667</v>
      </c>
      <c r="K8" s="93" t="s">
        <v>429</v>
      </c>
      <c r="L8" s="93">
        <v>691.82</v>
      </c>
      <c r="M8" s="93">
        <v>300</v>
      </c>
      <c r="N8" s="92">
        <f t="shared" si="1"/>
        <v>101.52370000000001</v>
      </c>
      <c r="O8" s="274">
        <v>2</v>
      </c>
      <c r="P8" s="240">
        <f t="shared" si="5"/>
        <v>203.04740000000001</v>
      </c>
      <c r="Q8" s="280">
        <f t="shared" si="6"/>
        <v>96.95259999999999</v>
      </c>
      <c r="R8" s="177" t="str">
        <f t="shared" si="2"/>
        <v>No</v>
      </c>
      <c r="S8" s="249"/>
      <c r="T8" s="234"/>
    </row>
    <row r="9" spans="1:31" ht="13.5" thickBot="1" x14ac:dyDescent="0.25">
      <c r="A9" s="462" t="s">
        <v>46</v>
      </c>
      <c r="B9" s="87" t="s">
        <v>5</v>
      </c>
      <c r="C9" s="86" t="s">
        <v>46</v>
      </c>
      <c r="D9" s="85">
        <v>87.444999999999993</v>
      </c>
      <c r="E9" s="85">
        <v>900</v>
      </c>
      <c r="F9" s="85">
        <v>330.03719999999998</v>
      </c>
      <c r="G9" s="269">
        <v>2</v>
      </c>
      <c r="H9" s="179">
        <f t="shared" si="3"/>
        <v>660.07439999999997</v>
      </c>
      <c r="I9" s="84">
        <f t="shared" si="0"/>
        <v>569.96280000000002</v>
      </c>
      <c r="J9" s="179">
        <f t="shared" si="4"/>
        <v>73.3416</v>
      </c>
      <c r="K9" s="83" t="s">
        <v>428</v>
      </c>
      <c r="L9" s="83">
        <v>243.73500000000001</v>
      </c>
      <c r="M9" s="83">
        <v>750</v>
      </c>
      <c r="N9" s="82">
        <f t="shared" si="1"/>
        <v>330.03719999999998</v>
      </c>
      <c r="O9" s="273">
        <v>2</v>
      </c>
      <c r="P9" s="240">
        <f t="shared" si="5"/>
        <v>660.07439999999997</v>
      </c>
      <c r="Q9" s="280">
        <f t="shared" si="6"/>
        <v>89.925600000000031</v>
      </c>
      <c r="R9" s="176" t="str">
        <f t="shared" si="2"/>
        <v>No</v>
      </c>
      <c r="S9" s="229"/>
      <c r="T9" s="229"/>
      <c r="U9" s="242"/>
    </row>
    <row r="10" spans="1:31" ht="14.25" customHeight="1" thickBot="1" x14ac:dyDescent="0.25">
      <c r="A10" s="464"/>
      <c r="B10" s="97" t="s">
        <v>7</v>
      </c>
      <c r="C10" s="96" t="s">
        <v>48</v>
      </c>
      <c r="D10" s="110">
        <v>457.755</v>
      </c>
      <c r="E10" s="110">
        <v>600</v>
      </c>
      <c r="F10" s="110">
        <v>200.11</v>
      </c>
      <c r="G10" s="271">
        <v>2</v>
      </c>
      <c r="H10" s="179">
        <f t="shared" si="3"/>
        <v>400.22</v>
      </c>
      <c r="I10" s="109">
        <f t="shared" si="0"/>
        <v>399.89</v>
      </c>
      <c r="J10" s="179">
        <f t="shared" si="4"/>
        <v>66.703333333333333</v>
      </c>
      <c r="K10" s="108" t="s">
        <v>427</v>
      </c>
      <c r="L10" s="108">
        <v>614.06500000000005</v>
      </c>
      <c r="M10" s="108">
        <v>450</v>
      </c>
      <c r="N10" s="107">
        <f t="shared" si="1"/>
        <v>200.11</v>
      </c>
      <c r="O10" s="274">
        <v>2</v>
      </c>
      <c r="P10" s="240">
        <f t="shared" si="5"/>
        <v>400.22</v>
      </c>
      <c r="Q10" s="280">
        <f t="shared" si="6"/>
        <v>49.779999999999973</v>
      </c>
      <c r="R10" s="248" t="s">
        <v>455</v>
      </c>
      <c r="S10" s="369"/>
      <c r="T10" s="369"/>
      <c r="U10" s="242"/>
    </row>
    <row r="11" spans="1:31" ht="14.25" customHeight="1" thickBot="1" x14ac:dyDescent="0.25">
      <c r="A11" s="464"/>
      <c r="B11" s="97" t="s">
        <v>8</v>
      </c>
      <c r="C11" s="96" t="s">
        <v>74</v>
      </c>
      <c r="D11" s="110">
        <v>632.29</v>
      </c>
      <c r="E11" s="110">
        <v>1050</v>
      </c>
      <c r="F11" s="110">
        <v>416.14780000000002</v>
      </c>
      <c r="G11" s="271">
        <v>2</v>
      </c>
      <c r="H11" s="179">
        <f t="shared" si="3"/>
        <v>832.29560000000004</v>
      </c>
      <c r="I11" s="109">
        <f t="shared" si="0"/>
        <v>633.85220000000004</v>
      </c>
      <c r="J11" s="179">
        <f t="shared" si="4"/>
        <v>79.266247619047618</v>
      </c>
      <c r="K11" s="108" t="s">
        <v>426</v>
      </c>
      <c r="L11" s="108">
        <v>692.19500000000005</v>
      </c>
      <c r="M11" s="108">
        <v>1050</v>
      </c>
      <c r="N11" s="107">
        <f t="shared" si="1"/>
        <v>416.14780000000002</v>
      </c>
      <c r="O11" s="274">
        <v>2</v>
      </c>
      <c r="P11" s="240">
        <f t="shared" si="5"/>
        <v>832.29560000000004</v>
      </c>
      <c r="Q11" s="280">
        <f t="shared" si="6"/>
        <v>217.70439999999996</v>
      </c>
      <c r="R11" s="176" t="str">
        <f>IF(Q11&gt;=0,"No","Yes")</f>
        <v>No</v>
      </c>
      <c r="S11" s="369"/>
      <c r="T11" s="369"/>
      <c r="U11" s="242"/>
    </row>
    <row r="12" spans="1:31" ht="14.25" customHeight="1" thickBot="1" x14ac:dyDescent="0.25">
      <c r="A12" s="464"/>
      <c r="B12" s="97" t="s">
        <v>12</v>
      </c>
      <c r="C12" s="96" t="s">
        <v>52</v>
      </c>
      <c r="D12" s="110">
        <v>428.91</v>
      </c>
      <c r="E12" s="110">
        <v>800</v>
      </c>
      <c r="F12" s="110">
        <v>320.77999999999997</v>
      </c>
      <c r="G12" s="271">
        <v>2</v>
      </c>
      <c r="H12" s="179">
        <f t="shared" si="3"/>
        <v>641.55999999999995</v>
      </c>
      <c r="I12" s="109">
        <f t="shared" si="0"/>
        <v>479.22</v>
      </c>
      <c r="J12" s="179">
        <f t="shared" si="4"/>
        <v>80.194999999999993</v>
      </c>
      <c r="K12" s="108" t="s">
        <v>420</v>
      </c>
      <c r="L12" s="108">
        <v>440.09</v>
      </c>
      <c r="M12" s="108">
        <v>800</v>
      </c>
      <c r="N12" s="107">
        <f t="shared" si="1"/>
        <v>320.77999999999997</v>
      </c>
      <c r="O12" s="274">
        <v>2</v>
      </c>
      <c r="P12" s="240">
        <f t="shared" si="5"/>
        <v>641.55999999999995</v>
      </c>
      <c r="Q12" s="280">
        <f t="shared" si="6"/>
        <v>158.44000000000005</v>
      </c>
      <c r="R12" s="176" t="str">
        <f>IF(Q12&gt;=0,"No","Yes")</f>
        <v>No</v>
      </c>
      <c r="S12" s="369"/>
      <c r="T12" s="369"/>
      <c r="U12" s="242"/>
    </row>
    <row r="13" spans="1:31" ht="14.25" customHeight="1" thickBot="1" x14ac:dyDescent="0.25">
      <c r="A13" s="464"/>
      <c r="B13" s="97" t="s">
        <v>396</v>
      </c>
      <c r="C13" s="96" t="s">
        <v>63</v>
      </c>
      <c r="D13" s="95">
        <v>530.30999999999995</v>
      </c>
      <c r="E13" s="95">
        <v>200</v>
      </c>
      <c r="F13" s="95">
        <v>22.35</v>
      </c>
      <c r="G13" s="270">
        <v>2</v>
      </c>
      <c r="H13" s="179">
        <f t="shared" si="3"/>
        <v>44.7</v>
      </c>
      <c r="I13" s="94">
        <f t="shared" si="0"/>
        <v>177.65</v>
      </c>
      <c r="J13" s="179">
        <f t="shared" si="4"/>
        <v>22.35</v>
      </c>
      <c r="K13" s="93" t="s">
        <v>418</v>
      </c>
      <c r="L13" s="93">
        <v>541.49</v>
      </c>
      <c r="M13" s="93">
        <v>150</v>
      </c>
      <c r="N13" s="92">
        <f t="shared" si="1"/>
        <v>22.35</v>
      </c>
      <c r="O13" s="275">
        <v>2</v>
      </c>
      <c r="P13" s="240">
        <f t="shared" si="5"/>
        <v>44.7</v>
      </c>
      <c r="Q13" s="280">
        <f t="shared" si="6"/>
        <v>105.3</v>
      </c>
      <c r="R13" s="176" t="str">
        <f>IF(Q13&gt;=0,"No","Yes")</f>
        <v>No</v>
      </c>
      <c r="S13" s="369"/>
      <c r="T13" s="369"/>
      <c r="U13" s="242"/>
    </row>
    <row r="14" spans="1:31" ht="13.5" thickBot="1" x14ac:dyDescent="0.25">
      <c r="A14" s="365" t="s">
        <v>426</v>
      </c>
      <c r="B14" s="87" t="s">
        <v>351</v>
      </c>
      <c r="C14" s="157"/>
      <c r="D14" s="85"/>
      <c r="E14" s="85"/>
      <c r="F14" s="85"/>
      <c r="G14" s="95">
        <v>2</v>
      </c>
      <c r="H14" s="179">
        <f t="shared" si="3"/>
        <v>0</v>
      </c>
      <c r="I14" s="84"/>
      <c r="J14" s="179"/>
      <c r="K14" s="83"/>
      <c r="L14" s="83"/>
      <c r="M14" s="83"/>
      <c r="N14" s="82"/>
      <c r="O14" s="91">
        <v>2</v>
      </c>
      <c r="P14" s="240">
        <f t="shared" si="5"/>
        <v>0</v>
      </c>
      <c r="Q14" s="81"/>
      <c r="R14" s="82"/>
      <c r="S14" s="369"/>
      <c r="T14" s="369"/>
      <c r="U14" s="242"/>
      <c r="Z14" s="367"/>
      <c r="AA14" s="367"/>
      <c r="AB14" s="367"/>
      <c r="AC14" s="369"/>
      <c r="AD14" s="369"/>
      <c r="AE14" s="369"/>
    </row>
    <row r="15" spans="1:31" ht="13.5" thickBot="1" x14ac:dyDescent="0.25">
      <c r="A15" s="462" t="s">
        <v>49</v>
      </c>
      <c r="B15" s="87" t="s">
        <v>425</v>
      </c>
      <c r="C15" s="86" t="s">
        <v>47</v>
      </c>
      <c r="D15" s="85">
        <v>341.36500000000001</v>
      </c>
      <c r="E15" s="85">
        <v>1000</v>
      </c>
      <c r="F15" s="85">
        <v>414.50749999999999</v>
      </c>
      <c r="G15" s="269">
        <v>2</v>
      </c>
      <c r="H15" s="179">
        <f t="shared" si="3"/>
        <v>829.01499999999999</v>
      </c>
      <c r="I15" s="84">
        <f t="shared" ref="I15:I24" si="7">E15-F15</f>
        <v>585.49250000000006</v>
      </c>
      <c r="J15" s="85">
        <f>H15/E15*100</f>
        <v>82.901499999999999</v>
      </c>
      <c r="K15" s="83" t="s">
        <v>424</v>
      </c>
      <c r="L15" s="83">
        <v>527.53499999999997</v>
      </c>
      <c r="M15" s="83">
        <v>1000</v>
      </c>
      <c r="N15" s="82">
        <f t="shared" ref="N15:N24" si="8">F15</f>
        <v>414.50749999999999</v>
      </c>
      <c r="O15" s="273">
        <v>2</v>
      </c>
      <c r="P15" s="240">
        <f t="shared" si="5"/>
        <v>829.01499999999999</v>
      </c>
      <c r="Q15" s="199">
        <f>M15-P15</f>
        <v>170.98500000000001</v>
      </c>
      <c r="R15" s="82" t="str">
        <f t="shared" ref="R15:R24" si="9">IF(Q15&gt;=0,"No","Yes")</f>
        <v>No</v>
      </c>
      <c r="S15" s="369"/>
      <c r="T15" s="369"/>
      <c r="U15" s="242"/>
      <c r="Z15" s="369"/>
      <c r="AA15" s="369"/>
      <c r="AB15" s="367"/>
      <c r="AC15" s="367"/>
      <c r="AD15" s="367"/>
      <c r="AE15" s="367"/>
    </row>
    <row r="16" spans="1:31" ht="14.25" customHeight="1" thickBot="1" x14ac:dyDescent="0.25">
      <c r="A16" s="464"/>
      <c r="B16" s="97" t="s">
        <v>9</v>
      </c>
      <c r="C16" s="96" t="s">
        <v>423</v>
      </c>
      <c r="D16" s="110">
        <v>72.555000000000007</v>
      </c>
      <c r="E16" s="110">
        <v>600</v>
      </c>
      <c r="F16" s="110">
        <v>249.06020000000001</v>
      </c>
      <c r="G16" s="271">
        <v>2</v>
      </c>
      <c r="H16" s="179">
        <f t="shared" si="3"/>
        <v>498.12040000000002</v>
      </c>
      <c r="I16" s="109">
        <f t="shared" si="7"/>
        <v>350.93979999999999</v>
      </c>
      <c r="J16" s="85">
        <f t="shared" ref="J16:J24" si="10">H16/E16*100</f>
        <v>83.020066666666665</v>
      </c>
      <c r="K16" s="108" t="s">
        <v>422</v>
      </c>
      <c r="L16" s="108">
        <v>258.625</v>
      </c>
      <c r="M16" s="108">
        <v>500</v>
      </c>
      <c r="N16" s="107">
        <f t="shared" si="8"/>
        <v>249.06020000000001</v>
      </c>
      <c r="O16" s="274">
        <v>2</v>
      </c>
      <c r="P16" s="240">
        <f t="shared" si="5"/>
        <v>498.12040000000002</v>
      </c>
      <c r="Q16" s="199">
        <f t="shared" ref="Q16:Q24" si="11">M16-P16</f>
        <v>1.8795999999999822</v>
      </c>
      <c r="R16" s="82" t="str">
        <f t="shared" si="9"/>
        <v>No</v>
      </c>
      <c r="S16" s="369"/>
      <c r="T16" s="369"/>
      <c r="U16" s="242"/>
      <c r="Z16" s="367"/>
      <c r="AA16" s="367"/>
      <c r="AB16" s="367"/>
      <c r="AC16" s="367"/>
      <c r="AD16" s="367"/>
      <c r="AE16" s="367"/>
    </row>
    <row r="17" spans="1:37" ht="14.25" customHeight="1" thickBot="1" x14ac:dyDescent="0.25">
      <c r="A17" s="464"/>
      <c r="B17" s="97" t="s">
        <v>10</v>
      </c>
      <c r="C17" s="96" t="s">
        <v>386</v>
      </c>
      <c r="D17" s="110">
        <v>894.93</v>
      </c>
      <c r="E17" s="110">
        <v>450</v>
      </c>
      <c r="F17" s="110">
        <v>185.4342</v>
      </c>
      <c r="G17" s="271">
        <v>2</v>
      </c>
      <c r="H17" s="179">
        <f t="shared" si="3"/>
        <v>370.86840000000001</v>
      </c>
      <c r="I17" s="109">
        <f t="shared" si="7"/>
        <v>264.56579999999997</v>
      </c>
      <c r="J17" s="85">
        <f t="shared" si="10"/>
        <v>82.415199999999999</v>
      </c>
      <c r="K17" s="108" t="s">
        <v>385</v>
      </c>
      <c r="L17" s="108">
        <v>975.03499999999997</v>
      </c>
      <c r="M17" s="108">
        <v>450</v>
      </c>
      <c r="N17" s="107">
        <f t="shared" si="8"/>
        <v>185.4342</v>
      </c>
      <c r="O17" s="274">
        <v>2</v>
      </c>
      <c r="P17" s="240">
        <f t="shared" si="5"/>
        <v>370.86840000000001</v>
      </c>
      <c r="Q17" s="199">
        <f t="shared" si="11"/>
        <v>79.131599999999992</v>
      </c>
      <c r="R17" s="82" t="str">
        <f t="shared" si="9"/>
        <v>No</v>
      </c>
      <c r="S17" s="369"/>
      <c r="T17" s="369"/>
      <c r="U17" s="242"/>
      <c r="Z17" s="369"/>
      <c r="AA17" s="369"/>
      <c r="AB17" s="369"/>
      <c r="AC17" s="369"/>
      <c r="AD17" s="369"/>
      <c r="AE17" s="369"/>
      <c r="AI17" s="528"/>
      <c r="AJ17" s="548"/>
    </row>
    <row r="18" spans="1:37" ht="14.25" customHeight="1" thickBot="1" x14ac:dyDescent="0.25">
      <c r="A18" s="464"/>
      <c r="B18" s="97" t="s">
        <v>11</v>
      </c>
      <c r="C18" s="96" t="s">
        <v>378</v>
      </c>
      <c r="D18" s="110">
        <v>839.23</v>
      </c>
      <c r="E18" s="110">
        <v>600</v>
      </c>
      <c r="F18" s="110">
        <v>213.84829999999999</v>
      </c>
      <c r="G18" s="271">
        <v>2</v>
      </c>
      <c r="H18" s="179">
        <f t="shared" si="3"/>
        <v>427.69659999999999</v>
      </c>
      <c r="I18" s="109">
        <f t="shared" si="7"/>
        <v>386.15170000000001</v>
      </c>
      <c r="J18" s="85">
        <f t="shared" si="10"/>
        <v>71.28276666666666</v>
      </c>
      <c r="K18" s="108" t="s">
        <v>421</v>
      </c>
      <c r="L18" s="108">
        <v>1025.3</v>
      </c>
      <c r="M18" s="108">
        <v>600</v>
      </c>
      <c r="N18" s="107">
        <f t="shared" si="8"/>
        <v>213.84829999999999</v>
      </c>
      <c r="O18" s="274">
        <v>2</v>
      </c>
      <c r="P18" s="240">
        <f t="shared" si="5"/>
        <v>427.69659999999999</v>
      </c>
      <c r="Q18" s="199">
        <f t="shared" si="11"/>
        <v>172.30340000000001</v>
      </c>
      <c r="R18" s="82" t="str">
        <f t="shared" si="9"/>
        <v>No</v>
      </c>
      <c r="S18" s="369"/>
      <c r="T18" s="369"/>
      <c r="U18" s="242"/>
      <c r="Z18" s="369"/>
      <c r="AA18" s="369"/>
      <c r="AB18" s="369"/>
      <c r="AC18" s="369"/>
      <c r="AD18" s="369"/>
      <c r="AE18" s="369"/>
      <c r="AF18" s="369"/>
      <c r="AG18" s="369"/>
      <c r="AI18" s="193"/>
      <c r="AJ18" s="193"/>
      <c r="AK18" s="304"/>
    </row>
    <row r="19" spans="1:37" ht="14.25" customHeight="1" thickBot="1" x14ac:dyDescent="0.25">
      <c r="A19" s="464"/>
      <c r="B19" s="97" t="s">
        <v>12</v>
      </c>
      <c r="C19" s="96" t="s">
        <v>52</v>
      </c>
      <c r="D19" s="110">
        <v>428.91</v>
      </c>
      <c r="E19" s="110">
        <v>800</v>
      </c>
      <c r="F19" s="110">
        <v>320.7817</v>
      </c>
      <c r="G19" s="271">
        <v>2</v>
      </c>
      <c r="H19" s="179">
        <f t="shared" si="3"/>
        <v>641.5634</v>
      </c>
      <c r="I19" s="109">
        <f t="shared" si="7"/>
        <v>479.2183</v>
      </c>
      <c r="J19" s="85">
        <f t="shared" si="10"/>
        <v>80.195425</v>
      </c>
      <c r="K19" s="108" t="s">
        <v>420</v>
      </c>
      <c r="L19" s="108">
        <v>440.09</v>
      </c>
      <c r="M19" s="108">
        <v>800</v>
      </c>
      <c r="N19" s="107">
        <f t="shared" si="8"/>
        <v>320.7817</v>
      </c>
      <c r="O19" s="274">
        <v>2</v>
      </c>
      <c r="P19" s="240">
        <f t="shared" si="5"/>
        <v>641.5634</v>
      </c>
      <c r="Q19" s="199">
        <f t="shared" si="11"/>
        <v>158.4366</v>
      </c>
      <c r="R19" s="82" t="str">
        <f t="shared" si="9"/>
        <v>No</v>
      </c>
      <c r="S19" s="369"/>
      <c r="T19" s="369"/>
      <c r="U19" s="242"/>
      <c r="Z19" s="461"/>
      <c r="AA19" s="461"/>
      <c r="AB19" s="461"/>
      <c r="AC19" s="369"/>
      <c r="AD19" s="369"/>
      <c r="AE19" s="369"/>
      <c r="AF19" s="369"/>
      <c r="AG19" s="369"/>
      <c r="AI19" s="304"/>
      <c r="AJ19" s="304"/>
      <c r="AK19" s="304"/>
    </row>
    <row r="20" spans="1:37" ht="14.25" customHeight="1" thickBot="1" x14ac:dyDescent="0.25">
      <c r="A20" s="464"/>
      <c r="B20" s="97" t="s">
        <v>419</v>
      </c>
      <c r="C20" s="96" t="s">
        <v>411</v>
      </c>
      <c r="D20" s="95">
        <v>530.30999999999995</v>
      </c>
      <c r="E20" s="95">
        <f>E13</f>
        <v>200</v>
      </c>
      <c r="F20" s="95">
        <v>22.35</v>
      </c>
      <c r="G20" s="271">
        <v>2</v>
      </c>
      <c r="H20" s="179">
        <f t="shared" si="3"/>
        <v>44.7</v>
      </c>
      <c r="I20" s="94">
        <f t="shared" si="7"/>
        <v>177.65</v>
      </c>
      <c r="J20" s="85">
        <f t="shared" si="10"/>
        <v>22.35</v>
      </c>
      <c r="K20" s="93" t="s">
        <v>418</v>
      </c>
      <c r="L20" s="93">
        <v>541.49</v>
      </c>
      <c r="M20" s="93">
        <v>200</v>
      </c>
      <c r="N20" s="92">
        <f t="shared" si="8"/>
        <v>22.35</v>
      </c>
      <c r="O20" s="274">
        <v>2</v>
      </c>
      <c r="P20" s="240">
        <f t="shared" si="5"/>
        <v>44.7</v>
      </c>
      <c r="Q20" s="199">
        <f t="shared" si="11"/>
        <v>155.30000000000001</v>
      </c>
      <c r="R20" s="82" t="str">
        <f t="shared" si="9"/>
        <v>No</v>
      </c>
      <c r="S20" s="369"/>
      <c r="T20" s="369"/>
      <c r="U20" s="242"/>
      <c r="Z20" s="369"/>
      <c r="AA20" s="369"/>
      <c r="AB20" s="461"/>
      <c r="AC20" s="461"/>
      <c r="AD20" s="461"/>
      <c r="AE20" s="461"/>
      <c r="AF20" s="369"/>
      <c r="AG20" s="369"/>
      <c r="AI20" s="345"/>
      <c r="AJ20" s="345"/>
      <c r="AK20" s="304"/>
    </row>
    <row r="21" spans="1:37" ht="13.5" thickBot="1" x14ac:dyDescent="0.25">
      <c r="A21" s="462" t="s">
        <v>413</v>
      </c>
      <c r="B21" s="87" t="s">
        <v>7</v>
      </c>
      <c r="C21" s="86" t="s">
        <v>48</v>
      </c>
      <c r="D21" s="85">
        <v>457.755</v>
      </c>
      <c r="E21" s="85">
        <f>E10</f>
        <v>600</v>
      </c>
      <c r="F21" s="85">
        <v>200.1122</v>
      </c>
      <c r="G21" s="269">
        <v>2</v>
      </c>
      <c r="H21" s="179">
        <f t="shared" si="3"/>
        <v>400.2244</v>
      </c>
      <c r="I21" s="84">
        <f t="shared" si="7"/>
        <v>399.88779999999997</v>
      </c>
      <c r="J21" s="85">
        <f t="shared" si="10"/>
        <v>66.704066666666677</v>
      </c>
      <c r="K21" s="83" t="s">
        <v>416</v>
      </c>
      <c r="L21" s="83">
        <v>733.18499999999995</v>
      </c>
      <c r="M21" s="83">
        <v>600</v>
      </c>
      <c r="N21" s="82">
        <f t="shared" si="8"/>
        <v>200.1122</v>
      </c>
      <c r="O21" s="273">
        <v>2</v>
      </c>
      <c r="P21" s="240">
        <f t="shared" si="5"/>
        <v>400.2244</v>
      </c>
      <c r="Q21" s="199">
        <f t="shared" si="11"/>
        <v>199.7756</v>
      </c>
      <c r="R21" s="197" t="str">
        <f t="shared" si="9"/>
        <v>No</v>
      </c>
      <c r="S21" s="369"/>
      <c r="T21" s="369"/>
      <c r="U21" s="242"/>
      <c r="Z21" s="367"/>
      <c r="AA21" s="367"/>
      <c r="AB21" s="367"/>
      <c r="AC21" s="367"/>
      <c r="AD21" s="367"/>
      <c r="AE21" s="367"/>
      <c r="AF21" s="369"/>
      <c r="AG21" s="369"/>
      <c r="AI21" s="304"/>
      <c r="AJ21" s="304"/>
      <c r="AK21" s="304"/>
    </row>
    <row r="22" spans="1:37" ht="14.25" customHeight="1" thickBot="1" x14ac:dyDescent="0.25">
      <c r="A22" s="464"/>
      <c r="B22" s="97" t="s">
        <v>415</v>
      </c>
      <c r="C22" s="96" t="s">
        <v>74</v>
      </c>
      <c r="D22" s="110">
        <v>632.29</v>
      </c>
      <c r="E22" s="110">
        <f>E11</f>
        <v>1050</v>
      </c>
      <c r="F22" s="110">
        <v>416.14780000000002</v>
      </c>
      <c r="G22" s="271">
        <v>2</v>
      </c>
      <c r="H22" s="179">
        <f t="shared" si="3"/>
        <v>832.29560000000004</v>
      </c>
      <c r="I22" s="109">
        <f t="shared" si="7"/>
        <v>633.85220000000004</v>
      </c>
      <c r="J22" s="85">
        <f t="shared" si="10"/>
        <v>79.266247619047618</v>
      </c>
      <c r="K22" s="108" t="s">
        <v>361</v>
      </c>
      <c r="L22" s="108">
        <v>692.19500000000005</v>
      </c>
      <c r="M22" s="108">
        <v>1050</v>
      </c>
      <c r="N22" s="107">
        <f t="shared" si="8"/>
        <v>416.14780000000002</v>
      </c>
      <c r="O22" s="274">
        <v>2</v>
      </c>
      <c r="P22" s="240">
        <f t="shared" si="5"/>
        <v>832.29560000000004</v>
      </c>
      <c r="Q22" s="199">
        <f t="shared" si="11"/>
        <v>217.70439999999996</v>
      </c>
      <c r="R22" s="82" t="str">
        <f t="shared" si="9"/>
        <v>No</v>
      </c>
      <c r="S22" s="369"/>
      <c r="T22" s="369"/>
      <c r="U22" s="242"/>
      <c r="Z22" s="369"/>
      <c r="AA22" s="369"/>
      <c r="AB22" s="369"/>
      <c r="AC22" s="369"/>
      <c r="AD22" s="369"/>
      <c r="AE22" s="369"/>
      <c r="AF22" s="369"/>
      <c r="AG22" s="369"/>
      <c r="AI22" s="304"/>
      <c r="AJ22" s="304"/>
      <c r="AK22" s="304"/>
    </row>
    <row r="23" spans="1:37" ht="14.25" customHeight="1" thickBot="1" x14ac:dyDescent="0.25">
      <c r="A23" s="464"/>
      <c r="B23" s="97" t="s">
        <v>414</v>
      </c>
      <c r="C23" s="96" t="s">
        <v>413</v>
      </c>
      <c r="D23" s="110">
        <v>370.31</v>
      </c>
      <c r="E23" s="110">
        <v>200</v>
      </c>
      <c r="F23" s="110">
        <v>24.103000000000002</v>
      </c>
      <c r="G23" s="271">
        <v>2</v>
      </c>
      <c r="H23" s="179">
        <f t="shared" si="3"/>
        <v>48.206000000000003</v>
      </c>
      <c r="I23" s="109">
        <f t="shared" si="7"/>
        <v>175.89699999999999</v>
      </c>
      <c r="J23" s="85">
        <f t="shared" si="10"/>
        <v>24.103000000000002</v>
      </c>
      <c r="K23" s="108" t="s">
        <v>412</v>
      </c>
      <c r="L23" s="108">
        <v>820.63</v>
      </c>
      <c r="M23" s="108">
        <v>200</v>
      </c>
      <c r="N23" s="107">
        <f t="shared" si="8"/>
        <v>24.103000000000002</v>
      </c>
      <c r="O23" s="274">
        <v>2</v>
      </c>
      <c r="P23" s="240">
        <f t="shared" si="5"/>
        <v>48.206000000000003</v>
      </c>
      <c r="Q23" s="199">
        <f t="shared" si="11"/>
        <v>151.79399999999998</v>
      </c>
      <c r="R23" s="82" t="str">
        <f t="shared" si="9"/>
        <v>No</v>
      </c>
      <c r="S23" s="369"/>
      <c r="T23" s="369"/>
      <c r="U23" s="242"/>
      <c r="V23" s="304"/>
      <c r="W23" s="58"/>
      <c r="Z23" s="369"/>
      <c r="AA23" s="369"/>
      <c r="AB23" s="369"/>
      <c r="AC23" s="369"/>
      <c r="AD23" s="369"/>
      <c r="AE23" s="369"/>
      <c r="AF23" s="369"/>
      <c r="AG23" s="369"/>
      <c r="AI23" s="304"/>
      <c r="AJ23" s="304"/>
      <c r="AK23" s="304"/>
    </row>
    <row r="24" spans="1:37" ht="14.25" customHeight="1" thickBot="1" x14ac:dyDescent="0.25">
      <c r="A24" s="464"/>
      <c r="B24" s="97" t="s">
        <v>396</v>
      </c>
      <c r="C24" s="96" t="s">
        <v>411</v>
      </c>
      <c r="D24" s="95">
        <v>530.30999999999995</v>
      </c>
      <c r="E24" s="95">
        <f>E13</f>
        <v>200</v>
      </c>
      <c r="F24" s="95">
        <v>22.35</v>
      </c>
      <c r="G24" s="270">
        <v>2</v>
      </c>
      <c r="H24" s="179">
        <f t="shared" si="3"/>
        <v>44.7</v>
      </c>
      <c r="I24" s="94">
        <f t="shared" si="7"/>
        <v>177.65</v>
      </c>
      <c r="J24" s="85">
        <f t="shared" si="10"/>
        <v>22.35</v>
      </c>
      <c r="K24" s="93" t="s">
        <v>410</v>
      </c>
      <c r="L24" s="93">
        <v>660.63</v>
      </c>
      <c r="M24" s="93">
        <v>200</v>
      </c>
      <c r="N24" s="92">
        <f t="shared" si="8"/>
        <v>22.35</v>
      </c>
      <c r="O24" s="275">
        <v>2</v>
      </c>
      <c r="P24" s="240">
        <f t="shared" si="5"/>
        <v>44.7</v>
      </c>
      <c r="Q24" s="199">
        <f t="shared" si="11"/>
        <v>155.30000000000001</v>
      </c>
      <c r="R24" s="82" t="str">
        <f t="shared" si="9"/>
        <v>No</v>
      </c>
      <c r="S24" s="369"/>
      <c r="T24" s="369"/>
      <c r="V24" s="528" t="s">
        <v>454</v>
      </c>
      <c r="W24" s="529"/>
      <c r="X24" s="368"/>
      <c r="Z24" s="369"/>
      <c r="AA24" s="369"/>
      <c r="AB24" s="369"/>
      <c r="AC24" s="369"/>
      <c r="AD24" s="369"/>
      <c r="AE24" s="369"/>
      <c r="AF24" s="369"/>
      <c r="AG24" s="369"/>
      <c r="AI24" s="304"/>
      <c r="AJ24" s="304"/>
      <c r="AK24" s="304"/>
    </row>
    <row r="25" spans="1:37" ht="13.5" thickBot="1" x14ac:dyDescent="0.25">
      <c r="A25" s="158" t="s">
        <v>409</v>
      </c>
      <c r="B25" s="87" t="s">
        <v>408</v>
      </c>
      <c r="C25" s="157"/>
      <c r="D25" s="85"/>
      <c r="E25" s="85"/>
      <c r="F25" s="85"/>
      <c r="G25" s="95">
        <v>2</v>
      </c>
      <c r="H25" s="179">
        <f t="shared" si="3"/>
        <v>0</v>
      </c>
      <c r="I25" s="84"/>
      <c r="J25" s="179"/>
      <c r="K25" s="83"/>
      <c r="L25" s="83"/>
      <c r="M25" s="83"/>
      <c r="N25" s="82"/>
      <c r="O25" s="91">
        <v>2</v>
      </c>
      <c r="P25" s="240">
        <f t="shared" si="5"/>
        <v>0</v>
      </c>
      <c r="Q25" s="81"/>
      <c r="R25" s="82"/>
      <c r="S25" s="367" t="s">
        <v>440</v>
      </c>
      <c r="T25" s="367" t="s">
        <v>456</v>
      </c>
      <c r="V25" s="90"/>
      <c r="W25" s="304"/>
      <c r="X25" s="100"/>
      <c r="Z25" s="369"/>
      <c r="AA25" s="369"/>
      <c r="AB25" s="369"/>
      <c r="AC25" s="369"/>
      <c r="AD25" s="369"/>
      <c r="AE25" s="369"/>
      <c r="AF25" s="369"/>
      <c r="AG25" s="369"/>
      <c r="AI25" s="304"/>
      <c r="AJ25" s="304"/>
      <c r="AK25" s="304"/>
    </row>
    <row r="26" spans="1:37" ht="15" customHeight="1" thickBot="1" x14ac:dyDescent="0.25">
      <c r="A26" s="480" t="s">
        <v>407</v>
      </c>
      <c r="B26" s="155" t="s">
        <v>14</v>
      </c>
      <c r="C26" s="86" t="s">
        <v>406</v>
      </c>
      <c r="D26" s="85">
        <v>391.72</v>
      </c>
      <c r="E26" s="84">
        <v>1600</v>
      </c>
      <c r="F26" s="85">
        <v>664.51419999999996</v>
      </c>
      <c r="G26" s="269">
        <v>2</v>
      </c>
      <c r="H26" s="179">
        <f t="shared" si="3"/>
        <v>1329.0283999999999</v>
      </c>
      <c r="I26" s="84">
        <f t="shared" ref="I26:I56" si="12">E26-F26</f>
        <v>935.48580000000004</v>
      </c>
      <c r="J26" s="84">
        <f>H26/E26*100</f>
        <v>83.064274999999995</v>
      </c>
      <c r="K26" s="83" t="s">
        <v>405</v>
      </c>
      <c r="L26" s="83">
        <v>799.22</v>
      </c>
      <c r="M26" s="83">
        <v>1200</v>
      </c>
      <c r="N26" s="82">
        <f t="shared" ref="N26:N56" si="13">F26</f>
        <v>664.51419999999996</v>
      </c>
      <c r="O26" s="273">
        <v>2</v>
      </c>
      <c r="P26" s="240">
        <f t="shared" si="5"/>
        <v>1329.0283999999999</v>
      </c>
      <c r="Q26" s="81">
        <f>M26-P26</f>
        <v>-129.02839999999992</v>
      </c>
      <c r="R26" s="214" t="str">
        <f t="shared" ref="R26:R56" si="14">IF(Q26&gt;=0,"No","Yes")</f>
        <v>Yes</v>
      </c>
      <c r="S26" s="532" t="s">
        <v>14</v>
      </c>
      <c r="T26" s="530">
        <v>78</v>
      </c>
      <c r="V26" s="292" t="s">
        <v>390</v>
      </c>
      <c r="W26" s="193" t="s">
        <v>389</v>
      </c>
      <c r="X26" s="293" t="s">
        <v>388</v>
      </c>
      <c r="Z26" s="369"/>
      <c r="AA26" s="369"/>
      <c r="AB26" s="369"/>
      <c r="AC26" s="369"/>
      <c r="AD26" s="369"/>
      <c r="AE26" s="369"/>
      <c r="AF26" s="369"/>
      <c r="AG26" s="369"/>
      <c r="AI26" s="304"/>
      <c r="AJ26" s="304"/>
      <c r="AK26" s="304"/>
    </row>
    <row r="27" spans="1:37" ht="14.25" customHeight="1" thickBot="1" x14ac:dyDescent="0.25">
      <c r="A27" s="481"/>
      <c r="B27" s="76" t="s">
        <v>360</v>
      </c>
      <c r="C27" s="75" t="s">
        <v>55</v>
      </c>
      <c r="D27" s="152">
        <v>566.26</v>
      </c>
      <c r="E27" s="152">
        <v>1050</v>
      </c>
      <c r="F27" s="152">
        <v>424.66829999999999</v>
      </c>
      <c r="G27" s="271">
        <v>2</v>
      </c>
      <c r="H27" s="179">
        <f t="shared" si="3"/>
        <v>849.33659999999998</v>
      </c>
      <c r="I27" s="151">
        <f t="shared" si="12"/>
        <v>625.33169999999996</v>
      </c>
      <c r="J27" s="84">
        <f t="shared" ref="J27:J56" si="15">H27/E27*100</f>
        <v>80.889199999999988</v>
      </c>
      <c r="K27" s="150" t="s">
        <v>404</v>
      </c>
      <c r="L27" s="150">
        <v>973.76</v>
      </c>
      <c r="M27" s="150">
        <v>1050</v>
      </c>
      <c r="N27" s="71">
        <f t="shared" si="13"/>
        <v>424.66829999999999</v>
      </c>
      <c r="O27" s="274">
        <v>2</v>
      </c>
      <c r="P27" s="240">
        <f t="shared" si="5"/>
        <v>849.33659999999998</v>
      </c>
      <c r="Q27" s="81">
        <f t="shared" ref="Q27:Q56" si="16">M27-P27</f>
        <v>200.66340000000002</v>
      </c>
      <c r="R27" s="197" t="str">
        <f t="shared" si="14"/>
        <v>No</v>
      </c>
      <c r="S27" s="533"/>
      <c r="T27" s="531"/>
      <c r="V27" s="133" t="s">
        <v>14</v>
      </c>
      <c r="W27" s="132">
        <v>78</v>
      </c>
      <c r="X27" s="100">
        <f>(W27/200)*100</f>
        <v>39</v>
      </c>
      <c r="Z27" s="369"/>
      <c r="AA27" s="369"/>
      <c r="AB27" s="369"/>
      <c r="AC27" s="369"/>
      <c r="AD27" s="369"/>
      <c r="AE27" s="369"/>
      <c r="AF27" s="369"/>
      <c r="AG27" s="369"/>
      <c r="AI27" s="304"/>
      <c r="AJ27" s="304"/>
      <c r="AK27" s="304"/>
    </row>
    <row r="28" spans="1:37" ht="15" customHeight="1" thickBot="1" x14ac:dyDescent="0.25">
      <c r="A28" s="464" t="s">
        <v>403</v>
      </c>
      <c r="B28" s="63" t="s">
        <v>6</v>
      </c>
      <c r="C28" s="116" t="s">
        <v>47</v>
      </c>
      <c r="D28" s="95">
        <v>341.46499999999997</v>
      </c>
      <c r="E28" s="94">
        <f>E15</f>
        <v>1000</v>
      </c>
      <c r="F28" s="95">
        <v>414.50749999999999</v>
      </c>
      <c r="G28" s="269">
        <v>2</v>
      </c>
      <c r="H28" s="179">
        <f t="shared" si="3"/>
        <v>829.01499999999999</v>
      </c>
      <c r="I28" s="94">
        <f t="shared" si="12"/>
        <v>585.49250000000006</v>
      </c>
      <c r="J28" s="84">
        <f t="shared" si="15"/>
        <v>82.901499999999999</v>
      </c>
      <c r="K28" s="93" t="s">
        <v>402</v>
      </c>
      <c r="L28" s="93">
        <v>849.47500000000002</v>
      </c>
      <c r="M28" s="93">
        <v>750</v>
      </c>
      <c r="N28" s="92">
        <f t="shared" si="13"/>
        <v>414.50749999999999</v>
      </c>
      <c r="O28" s="273">
        <v>2</v>
      </c>
      <c r="P28" s="240">
        <f t="shared" si="5"/>
        <v>829.01499999999999</v>
      </c>
      <c r="Q28" s="81">
        <f t="shared" si="16"/>
        <v>-79.014999999999986</v>
      </c>
      <c r="R28" s="197" t="str">
        <f t="shared" si="14"/>
        <v>Yes</v>
      </c>
      <c r="S28" s="532" t="s">
        <v>16</v>
      </c>
      <c r="T28" s="535">
        <v>93</v>
      </c>
      <c r="V28" s="133" t="s">
        <v>16</v>
      </c>
      <c r="W28" s="132">
        <v>93</v>
      </c>
      <c r="X28" s="100">
        <f>(W28/150)*100</f>
        <v>62</v>
      </c>
      <c r="Z28" s="369"/>
      <c r="AA28" s="369"/>
      <c r="AB28" s="369"/>
      <c r="AC28" s="369"/>
      <c r="AD28" s="369"/>
      <c r="AE28" s="369"/>
      <c r="AF28" s="369"/>
      <c r="AG28" s="369"/>
      <c r="AI28" s="304"/>
      <c r="AJ28" s="304"/>
      <c r="AK28" s="304"/>
    </row>
    <row r="29" spans="1:37" ht="14.25" customHeight="1" thickBot="1" x14ac:dyDescent="0.25">
      <c r="A29" s="464"/>
      <c r="B29" s="63" t="s">
        <v>401</v>
      </c>
      <c r="C29" s="116" t="s">
        <v>386</v>
      </c>
      <c r="D29" s="95">
        <v>894.93</v>
      </c>
      <c r="E29" s="94">
        <f>E17</f>
        <v>450</v>
      </c>
      <c r="F29" s="95">
        <v>185.4342</v>
      </c>
      <c r="G29" s="271">
        <v>2</v>
      </c>
      <c r="H29" s="179">
        <f t="shared" si="3"/>
        <v>370.86840000000001</v>
      </c>
      <c r="I29" s="94">
        <f t="shared" si="12"/>
        <v>264.56579999999997</v>
      </c>
      <c r="J29" s="84">
        <f t="shared" si="15"/>
        <v>82.415199999999999</v>
      </c>
      <c r="K29" s="93" t="s">
        <v>385</v>
      </c>
      <c r="L29" s="93">
        <v>975.03499999999997</v>
      </c>
      <c r="M29" s="93">
        <v>450</v>
      </c>
      <c r="N29" s="92">
        <f t="shared" si="13"/>
        <v>185.4342</v>
      </c>
      <c r="O29" s="274">
        <v>2</v>
      </c>
      <c r="P29" s="240">
        <f t="shared" si="5"/>
        <v>370.86840000000001</v>
      </c>
      <c r="Q29" s="81">
        <f t="shared" si="16"/>
        <v>79.131599999999992</v>
      </c>
      <c r="R29" s="197" t="str">
        <f t="shared" si="14"/>
        <v>No</v>
      </c>
      <c r="S29" s="534"/>
      <c r="T29" s="536"/>
      <c r="V29" s="133" t="s">
        <v>19</v>
      </c>
      <c r="W29" s="132">
        <v>267</v>
      </c>
      <c r="X29" s="100"/>
      <c r="Z29" s="369"/>
      <c r="AA29" s="369"/>
      <c r="AB29" s="369"/>
      <c r="AC29" s="369"/>
      <c r="AD29" s="369"/>
      <c r="AE29" s="369"/>
      <c r="AF29" s="369"/>
      <c r="AG29" s="369"/>
      <c r="AI29" s="304"/>
      <c r="AJ29" s="304"/>
      <c r="AK29" s="304"/>
    </row>
    <row r="30" spans="1:37" ht="14.25" customHeight="1" thickBot="1" x14ac:dyDescent="0.25">
      <c r="A30" s="464"/>
      <c r="B30" s="97" t="s">
        <v>400</v>
      </c>
      <c r="C30" s="96" t="s">
        <v>378</v>
      </c>
      <c r="D30" s="110">
        <v>839.23</v>
      </c>
      <c r="E30" s="110">
        <f>E18</f>
        <v>600</v>
      </c>
      <c r="F30" s="110">
        <v>213.84829999999999</v>
      </c>
      <c r="G30" s="271">
        <v>2</v>
      </c>
      <c r="H30" s="179">
        <f t="shared" si="3"/>
        <v>427.69659999999999</v>
      </c>
      <c r="I30" s="109">
        <f t="shared" si="12"/>
        <v>386.15170000000001</v>
      </c>
      <c r="J30" s="84">
        <f t="shared" si="15"/>
        <v>71.28276666666666</v>
      </c>
      <c r="K30" s="108" t="s">
        <v>399</v>
      </c>
      <c r="L30" s="108">
        <v>1347.24</v>
      </c>
      <c r="M30" s="108">
        <v>400</v>
      </c>
      <c r="N30" s="107">
        <f t="shared" si="13"/>
        <v>213.84829999999999</v>
      </c>
      <c r="O30" s="274">
        <v>2</v>
      </c>
      <c r="P30" s="240">
        <f t="shared" si="5"/>
        <v>427.69659999999999</v>
      </c>
      <c r="Q30" s="81">
        <f t="shared" si="16"/>
        <v>-27.696599999999989</v>
      </c>
      <c r="R30" s="214" t="str">
        <f t="shared" si="14"/>
        <v>Yes</v>
      </c>
      <c r="S30" s="534"/>
      <c r="T30" s="536"/>
      <c r="V30" s="90" t="s">
        <v>20</v>
      </c>
      <c r="W30" s="304">
        <v>361</v>
      </c>
      <c r="X30" s="100"/>
      <c r="Z30" s="18"/>
      <c r="AA30" s="18"/>
      <c r="AB30" s="369"/>
      <c r="AC30" s="18"/>
      <c r="AD30" s="369"/>
      <c r="AE30" s="369"/>
      <c r="AF30" s="340"/>
      <c r="AG30" s="369"/>
      <c r="AI30" s="304"/>
      <c r="AJ30" s="304"/>
      <c r="AK30" s="304"/>
    </row>
    <row r="31" spans="1:37" ht="14.25" customHeight="1" thickBot="1" x14ac:dyDescent="0.25">
      <c r="A31" s="464"/>
      <c r="B31" s="97" t="s">
        <v>398</v>
      </c>
      <c r="C31" s="96" t="s">
        <v>52</v>
      </c>
      <c r="D31" s="95">
        <v>428.91</v>
      </c>
      <c r="E31" s="94">
        <f>E12</f>
        <v>800</v>
      </c>
      <c r="F31" s="95">
        <v>320.7817</v>
      </c>
      <c r="G31" s="271">
        <v>2</v>
      </c>
      <c r="H31" s="179">
        <f t="shared" si="3"/>
        <v>641.5634</v>
      </c>
      <c r="I31" s="94">
        <f t="shared" si="12"/>
        <v>479.2183</v>
      </c>
      <c r="J31" s="84">
        <f t="shared" si="15"/>
        <v>80.195425</v>
      </c>
      <c r="K31" s="93" t="s">
        <v>397</v>
      </c>
      <c r="L31" s="93">
        <v>762.03</v>
      </c>
      <c r="M31" s="93">
        <v>600</v>
      </c>
      <c r="N31" s="92">
        <f t="shared" si="13"/>
        <v>320.7817</v>
      </c>
      <c r="O31" s="274">
        <v>2</v>
      </c>
      <c r="P31" s="240">
        <f t="shared" si="5"/>
        <v>641.5634</v>
      </c>
      <c r="Q31" s="81">
        <f t="shared" si="16"/>
        <v>-41.563400000000001</v>
      </c>
      <c r="R31" s="214" t="str">
        <f t="shared" si="14"/>
        <v>Yes</v>
      </c>
      <c r="S31" s="534"/>
      <c r="T31" s="536"/>
      <c r="V31" s="294"/>
      <c r="W31" s="230"/>
      <c r="X31" s="89"/>
      <c r="Y31" s="304"/>
      <c r="Z31" s="18"/>
      <c r="AA31" s="18"/>
      <c r="AB31" s="369"/>
      <c r="AC31" s="18"/>
      <c r="AD31" s="369"/>
      <c r="AE31" s="369"/>
      <c r="AF31" s="340"/>
      <c r="AG31" s="369"/>
      <c r="AI31" s="304"/>
      <c r="AJ31" s="304"/>
      <c r="AK31" s="304"/>
    </row>
    <row r="32" spans="1:37" ht="14.25" customHeight="1" thickBot="1" x14ac:dyDescent="0.25">
      <c r="A32" s="464"/>
      <c r="B32" s="97" t="s">
        <v>395</v>
      </c>
      <c r="C32" s="96" t="s">
        <v>56</v>
      </c>
      <c r="D32" s="95">
        <v>268.91000000000003</v>
      </c>
      <c r="E32" s="95">
        <v>750</v>
      </c>
      <c r="F32" s="95">
        <v>277.57420000000002</v>
      </c>
      <c r="G32" s="271">
        <v>2</v>
      </c>
      <c r="H32" s="179">
        <f t="shared" si="3"/>
        <v>555.14840000000004</v>
      </c>
      <c r="I32" s="94">
        <f t="shared" si="12"/>
        <v>472.42579999999998</v>
      </c>
      <c r="J32" s="84">
        <f t="shared" si="15"/>
        <v>74.019786666666676</v>
      </c>
      <c r="K32" s="93" t="s">
        <v>394</v>
      </c>
      <c r="L32" s="93">
        <v>922.03</v>
      </c>
      <c r="M32" s="93">
        <v>450</v>
      </c>
      <c r="N32" s="107">
        <f t="shared" si="13"/>
        <v>277.57420000000002</v>
      </c>
      <c r="O32" s="274">
        <v>2</v>
      </c>
      <c r="P32" s="240">
        <f t="shared" si="5"/>
        <v>555.14840000000004</v>
      </c>
      <c r="Q32" s="81">
        <f t="shared" si="16"/>
        <v>-105.14840000000004</v>
      </c>
      <c r="R32" s="197" t="str">
        <f t="shared" si="14"/>
        <v>Yes</v>
      </c>
      <c r="S32" s="533"/>
      <c r="T32" s="537"/>
      <c r="V32" s="160" t="s">
        <v>369</v>
      </c>
      <c r="W32" s="247">
        <f>SUM(W27:W31)</f>
        <v>799</v>
      </c>
      <c r="Y32" s="304"/>
      <c r="Z32" s="369"/>
      <c r="AA32" s="369"/>
      <c r="AB32" s="369"/>
      <c r="AC32" s="369"/>
      <c r="AD32" s="369"/>
      <c r="AE32" s="369"/>
    </row>
    <row r="33" spans="1:44" ht="13.5" thickBot="1" x14ac:dyDescent="0.25">
      <c r="A33" s="462" t="s">
        <v>382</v>
      </c>
      <c r="B33" s="87" t="s">
        <v>393</v>
      </c>
      <c r="C33" s="86" t="s">
        <v>392</v>
      </c>
      <c r="D33" s="85">
        <v>774.56</v>
      </c>
      <c r="E33" s="85">
        <f>E6</f>
        <v>1500</v>
      </c>
      <c r="F33" s="85">
        <v>593.39</v>
      </c>
      <c r="G33" s="269">
        <v>2</v>
      </c>
      <c r="H33" s="179">
        <f t="shared" si="3"/>
        <v>1186.78</v>
      </c>
      <c r="I33" s="84">
        <f t="shared" si="12"/>
        <v>906.61</v>
      </c>
      <c r="J33" s="84">
        <f t="shared" si="15"/>
        <v>79.118666666666655</v>
      </c>
      <c r="K33" s="83" t="s">
        <v>391</v>
      </c>
      <c r="L33" s="83">
        <v>778.62</v>
      </c>
      <c r="M33" s="83">
        <v>1500</v>
      </c>
      <c r="N33" s="82">
        <f t="shared" si="13"/>
        <v>593.39</v>
      </c>
      <c r="O33" s="273">
        <v>2</v>
      </c>
      <c r="P33" s="240">
        <f t="shared" si="5"/>
        <v>1186.78</v>
      </c>
      <c r="Q33" s="81">
        <f t="shared" si="16"/>
        <v>313.22000000000003</v>
      </c>
      <c r="R33" s="197" t="str">
        <f t="shared" si="14"/>
        <v>No</v>
      </c>
      <c r="S33" s="229"/>
      <c r="T33" s="229"/>
      <c r="U33" s="242"/>
      <c r="V33" s="246" t="s">
        <v>365</v>
      </c>
      <c r="W33" s="245">
        <f>W32/E57</f>
        <v>2.1830601092896175E-2</v>
      </c>
    </row>
    <row r="34" spans="1:44" ht="14.25" customHeight="1" thickBot="1" x14ac:dyDescent="0.25">
      <c r="A34" s="464"/>
      <c r="B34" s="97" t="s">
        <v>387</v>
      </c>
      <c r="C34" s="96" t="s">
        <v>386</v>
      </c>
      <c r="D34" s="110">
        <v>894.93</v>
      </c>
      <c r="E34" s="109">
        <f>E17</f>
        <v>450</v>
      </c>
      <c r="F34" s="110">
        <v>185.4342</v>
      </c>
      <c r="G34" s="271">
        <v>2</v>
      </c>
      <c r="H34" s="179">
        <f t="shared" si="3"/>
        <v>370.86840000000001</v>
      </c>
      <c r="I34" s="109">
        <f t="shared" si="12"/>
        <v>264.56579999999997</v>
      </c>
      <c r="J34" s="84">
        <f t="shared" si="15"/>
        <v>82.415199999999999</v>
      </c>
      <c r="K34" s="108" t="s">
        <v>385</v>
      </c>
      <c r="L34" s="108">
        <v>975.03499999999997</v>
      </c>
      <c r="M34" s="108">
        <v>450</v>
      </c>
      <c r="N34" s="107">
        <f t="shared" si="13"/>
        <v>185.4342</v>
      </c>
      <c r="O34" s="274">
        <v>2</v>
      </c>
      <c r="P34" s="240">
        <f t="shared" si="5"/>
        <v>370.86840000000001</v>
      </c>
      <c r="Q34" s="81">
        <f t="shared" si="16"/>
        <v>79.131599999999992</v>
      </c>
      <c r="R34" s="197" t="str">
        <f t="shared" si="14"/>
        <v>No</v>
      </c>
      <c r="S34" s="369"/>
      <c r="T34" s="369"/>
      <c r="U34" s="242"/>
      <c r="X34" s="304"/>
    </row>
    <row r="35" spans="1:44" ht="14.25" customHeight="1" thickBot="1" x14ac:dyDescent="0.25">
      <c r="A35" s="464"/>
      <c r="B35" s="97" t="s">
        <v>383</v>
      </c>
      <c r="C35" s="96" t="s">
        <v>382</v>
      </c>
      <c r="D35" s="95">
        <v>553.46500000000003</v>
      </c>
      <c r="E35" s="94">
        <v>1200</v>
      </c>
      <c r="F35" s="95">
        <v>491.47570000000002</v>
      </c>
      <c r="G35" s="271">
        <v>2</v>
      </c>
      <c r="H35" s="179">
        <f t="shared" si="3"/>
        <v>982.95140000000004</v>
      </c>
      <c r="I35" s="94">
        <f t="shared" si="12"/>
        <v>708.52430000000004</v>
      </c>
      <c r="J35" s="84">
        <f t="shared" si="15"/>
        <v>81.912616666666665</v>
      </c>
      <c r="K35" s="93" t="s">
        <v>381</v>
      </c>
      <c r="L35" s="93">
        <v>660.12</v>
      </c>
      <c r="M35" s="93">
        <v>1200</v>
      </c>
      <c r="N35" s="92">
        <f t="shared" si="13"/>
        <v>491.47570000000002</v>
      </c>
      <c r="O35" s="274">
        <v>2</v>
      </c>
      <c r="P35" s="240">
        <f t="shared" si="5"/>
        <v>982.95140000000004</v>
      </c>
      <c r="Q35" s="81">
        <f t="shared" si="16"/>
        <v>217.04859999999996</v>
      </c>
      <c r="R35" s="197" t="str">
        <f t="shared" si="14"/>
        <v>No</v>
      </c>
      <c r="S35" s="369"/>
      <c r="T35" s="369"/>
      <c r="U35" s="242"/>
      <c r="X35" s="304"/>
      <c r="Y35" s="304"/>
    </row>
    <row r="36" spans="1:44" ht="13.5" thickBot="1" x14ac:dyDescent="0.25">
      <c r="A36" s="462" t="s">
        <v>375</v>
      </c>
      <c r="B36" s="87" t="s">
        <v>379</v>
      </c>
      <c r="C36" s="86" t="s">
        <v>378</v>
      </c>
      <c r="D36" s="85">
        <v>839.23</v>
      </c>
      <c r="E36" s="84">
        <f>E18</f>
        <v>600</v>
      </c>
      <c r="F36" s="85">
        <v>213.84829999999999</v>
      </c>
      <c r="G36" s="269">
        <v>2</v>
      </c>
      <c r="H36" s="179">
        <f t="shared" si="3"/>
        <v>427.69659999999999</v>
      </c>
      <c r="I36" s="84">
        <f t="shared" si="12"/>
        <v>386.15170000000001</v>
      </c>
      <c r="J36" s="84">
        <f t="shared" si="15"/>
        <v>71.28276666666666</v>
      </c>
      <c r="K36" s="83" t="s">
        <v>377</v>
      </c>
      <c r="L36" s="83">
        <v>844.89</v>
      </c>
      <c r="M36" s="83">
        <v>600</v>
      </c>
      <c r="N36" s="82">
        <f t="shared" si="13"/>
        <v>213.84829999999999</v>
      </c>
      <c r="O36" s="273">
        <v>2</v>
      </c>
      <c r="P36" s="240">
        <f t="shared" si="5"/>
        <v>427.69659999999999</v>
      </c>
      <c r="Q36" s="81">
        <f t="shared" si="16"/>
        <v>172.30340000000001</v>
      </c>
      <c r="R36" s="197" t="str">
        <f t="shared" si="14"/>
        <v>No</v>
      </c>
      <c r="S36" s="369"/>
      <c r="T36" s="369"/>
      <c r="U36" s="242"/>
    </row>
    <row r="37" spans="1:44" ht="14.25" customHeight="1" thickBot="1" x14ac:dyDescent="0.25">
      <c r="A37" s="464"/>
      <c r="B37" s="97" t="s">
        <v>376</v>
      </c>
      <c r="C37" s="96" t="s">
        <v>375</v>
      </c>
      <c r="D37" s="95">
        <v>497.76499999999999</v>
      </c>
      <c r="E37" s="95">
        <v>2800</v>
      </c>
      <c r="F37" s="95">
        <v>1151.328</v>
      </c>
      <c r="G37" s="270">
        <v>2</v>
      </c>
      <c r="H37" s="179">
        <f t="shared" si="3"/>
        <v>2302.6559999999999</v>
      </c>
      <c r="I37" s="94">
        <f t="shared" si="12"/>
        <v>1648.672</v>
      </c>
      <c r="J37" s="84">
        <f t="shared" si="15"/>
        <v>82.237714285714276</v>
      </c>
      <c r="K37" s="93" t="s">
        <v>374</v>
      </c>
      <c r="L37" s="93">
        <v>503.42500000000001</v>
      </c>
      <c r="M37" s="93">
        <v>2800</v>
      </c>
      <c r="N37" s="92">
        <f t="shared" si="13"/>
        <v>1151.328</v>
      </c>
      <c r="O37" s="275">
        <v>2</v>
      </c>
      <c r="P37" s="240">
        <f t="shared" si="5"/>
        <v>2302.6559999999999</v>
      </c>
      <c r="Q37" s="81">
        <f t="shared" si="16"/>
        <v>497.34400000000005</v>
      </c>
      <c r="R37" s="197" t="str">
        <f t="shared" si="14"/>
        <v>No</v>
      </c>
      <c r="S37" s="244"/>
      <c r="T37" s="244"/>
      <c r="U37" s="242"/>
      <c r="AD37" s="491" t="s">
        <v>609</v>
      </c>
      <c r="AE37" s="492"/>
      <c r="AF37" s="492"/>
      <c r="AG37" s="492"/>
      <c r="AH37" s="492"/>
      <c r="AI37" s="493"/>
      <c r="AJ37" s="161"/>
      <c r="AO37" s="459"/>
      <c r="AP37" s="459"/>
      <c r="AQ37" s="459"/>
      <c r="AR37" s="459"/>
    </row>
    <row r="38" spans="1:44" ht="13.5" thickBot="1" x14ac:dyDescent="0.25">
      <c r="A38" s="365" t="s">
        <v>372</v>
      </c>
      <c r="B38" s="87" t="s">
        <v>373</v>
      </c>
      <c r="C38" s="86" t="s">
        <v>372</v>
      </c>
      <c r="D38" s="85">
        <v>285.27999999999997</v>
      </c>
      <c r="E38" s="85">
        <v>2000</v>
      </c>
      <c r="F38" s="85">
        <v>779.52329999999995</v>
      </c>
      <c r="G38" s="95">
        <v>2</v>
      </c>
      <c r="H38" s="179">
        <f t="shared" si="3"/>
        <v>1559.0465999999999</v>
      </c>
      <c r="I38" s="84">
        <f t="shared" si="12"/>
        <v>1220.4767000000002</v>
      </c>
      <c r="J38" s="84">
        <f t="shared" si="15"/>
        <v>77.952329999999989</v>
      </c>
      <c r="K38" s="83" t="s">
        <v>371</v>
      </c>
      <c r="L38" s="83">
        <v>539.80499999999995</v>
      </c>
      <c r="M38" s="83">
        <v>1200</v>
      </c>
      <c r="N38" s="82">
        <f t="shared" si="13"/>
        <v>779.52329999999995</v>
      </c>
      <c r="O38" s="91">
        <v>2</v>
      </c>
      <c r="P38" s="240">
        <f t="shared" si="5"/>
        <v>1559.0465999999999</v>
      </c>
      <c r="Q38" s="81">
        <f t="shared" si="16"/>
        <v>-359.0465999999999</v>
      </c>
      <c r="R38" s="214" t="str">
        <f t="shared" si="14"/>
        <v>Yes</v>
      </c>
      <c r="S38" s="216" t="s">
        <v>19</v>
      </c>
      <c r="T38" s="215">
        <v>267</v>
      </c>
      <c r="AD38" s="346" t="s">
        <v>528</v>
      </c>
      <c r="AE38" s="348" t="s">
        <v>529</v>
      </c>
      <c r="AF38" s="348" t="s">
        <v>530</v>
      </c>
      <c r="AG38" s="348" t="s">
        <v>531</v>
      </c>
      <c r="AH38" s="348" t="s">
        <v>532</v>
      </c>
      <c r="AI38" s="349" t="s">
        <v>582</v>
      </c>
      <c r="AJ38" s="328" t="s">
        <v>417</v>
      </c>
      <c r="AO38" s="459"/>
      <c r="AP38" s="459"/>
      <c r="AQ38" s="459"/>
      <c r="AR38" s="342"/>
    </row>
    <row r="39" spans="1:44" ht="13.5" thickBot="1" x14ac:dyDescent="0.25">
      <c r="A39" s="462" t="s">
        <v>60</v>
      </c>
      <c r="B39" s="87" t="s">
        <v>368</v>
      </c>
      <c r="C39" s="86" t="s">
        <v>367</v>
      </c>
      <c r="D39" s="85">
        <v>239.47</v>
      </c>
      <c r="E39" s="84">
        <v>2250</v>
      </c>
      <c r="F39" s="85">
        <v>886.15449999999998</v>
      </c>
      <c r="G39" s="269">
        <v>2</v>
      </c>
      <c r="H39" s="179">
        <f t="shared" si="3"/>
        <v>1772.309</v>
      </c>
      <c r="I39" s="84">
        <f t="shared" si="12"/>
        <v>1363.8454999999999</v>
      </c>
      <c r="J39" s="84">
        <f t="shared" si="15"/>
        <v>78.769288888888894</v>
      </c>
      <c r="K39" s="83" t="s">
        <v>366</v>
      </c>
      <c r="L39" s="83">
        <v>585.61500000000001</v>
      </c>
      <c r="M39" s="83">
        <v>1350</v>
      </c>
      <c r="N39" s="82">
        <f t="shared" si="13"/>
        <v>886.15449999999998</v>
      </c>
      <c r="O39" s="273">
        <v>2</v>
      </c>
      <c r="P39" s="240">
        <f t="shared" si="5"/>
        <v>1772.309</v>
      </c>
      <c r="Q39" s="81">
        <f t="shared" si="16"/>
        <v>-422.30899999999997</v>
      </c>
      <c r="R39" s="214" t="str">
        <f t="shared" si="14"/>
        <v>Yes</v>
      </c>
      <c r="S39" s="213" t="s">
        <v>20</v>
      </c>
      <c r="T39" s="212">
        <v>361</v>
      </c>
      <c r="AD39" s="60" t="s">
        <v>84</v>
      </c>
      <c r="AE39" s="350">
        <v>0</v>
      </c>
      <c r="AF39" s="350">
        <v>0</v>
      </c>
      <c r="AG39" s="351">
        <v>0</v>
      </c>
      <c r="AH39" s="351">
        <v>0</v>
      </c>
      <c r="AI39" s="352">
        <v>0</v>
      </c>
      <c r="AJ39" s="353">
        <f>SUM(AE39:AI39)</f>
        <v>0</v>
      </c>
      <c r="AO39" s="459"/>
      <c r="AP39" s="459"/>
      <c r="AQ39" s="459"/>
      <c r="AR39" s="459"/>
    </row>
    <row r="40" spans="1:44" ht="14.25" customHeight="1" thickBot="1" x14ac:dyDescent="0.25">
      <c r="A40" s="463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271">
        <v>2</v>
      </c>
      <c r="H40" s="179">
        <f t="shared" si="3"/>
        <v>467.61399999999998</v>
      </c>
      <c r="I40" s="73">
        <f t="shared" si="12"/>
        <v>366.19299999999998</v>
      </c>
      <c r="J40" s="84">
        <f t="shared" si="15"/>
        <v>77.935666666666663</v>
      </c>
      <c r="K40" s="72" t="s">
        <v>328</v>
      </c>
      <c r="L40" s="72">
        <v>673.16499999999996</v>
      </c>
      <c r="M40" s="72">
        <v>450</v>
      </c>
      <c r="N40" s="121">
        <f t="shared" si="13"/>
        <v>233.80699999999999</v>
      </c>
      <c r="O40" s="274">
        <v>2</v>
      </c>
      <c r="P40" s="240">
        <f t="shared" si="5"/>
        <v>467.61399999999998</v>
      </c>
      <c r="Q40" s="81">
        <f t="shared" si="16"/>
        <v>-17.613999999999976</v>
      </c>
      <c r="R40" s="197" t="str">
        <f t="shared" si="14"/>
        <v>Yes</v>
      </c>
      <c r="S40" s="211"/>
      <c r="T40" s="210"/>
      <c r="AD40" s="60" t="s">
        <v>85</v>
      </c>
      <c r="AE40" s="350">
        <v>0</v>
      </c>
      <c r="AF40" s="350">
        <v>0</v>
      </c>
      <c r="AG40" s="350">
        <v>0</v>
      </c>
      <c r="AH40" s="350">
        <v>0</v>
      </c>
      <c r="AI40" s="352">
        <v>0</v>
      </c>
      <c r="AJ40" s="60">
        <f t="shared" ref="AJ40:AJ50" si="17">SUM(AE40:AI40)</f>
        <v>0</v>
      </c>
      <c r="AO40" s="459"/>
      <c r="AP40" s="459"/>
      <c r="AQ40" s="459"/>
      <c r="AR40" s="459"/>
    </row>
    <row r="41" spans="1:44" ht="13.5" thickBot="1" x14ac:dyDescent="0.25">
      <c r="A41" s="464" t="s">
        <v>363</v>
      </c>
      <c r="B41" s="63" t="s">
        <v>362</v>
      </c>
      <c r="C41" s="116" t="s">
        <v>74</v>
      </c>
      <c r="D41" s="95">
        <v>632.29499999999996</v>
      </c>
      <c r="E41" s="95">
        <f>E22</f>
        <v>1050</v>
      </c>
      <c r="F41" s="95">
        <v>416.14780000000002</v>
      </c>
      <c r="G41" s="269">
        <v>2</v>
      </c>
      <c r="H41" s="179">
        <f t="shared" si="3"/>
        <v>832.29560000000004</v>
      </c>
      <c r="I41" s="94">
        <f t="shared" si="12"/>
        <v>633.85220000000004</v>
      </c>
      <c r="J41" s="84">
        <f t="shared" si="15"/>
        <v>79.266247619047618</v>
      </c>
      <c r="K41" s="93" t="s">
        <v>361</v>
      </c>
      <c r="L41" s="93">
        <v>692.19500000000005</v>
      </c>
      <c r="M41" s="93">
        <v>1050</v>
      </c>
      <c r="N41" s="92">
        <f t="shared" si="13"/>
        <v>416.14780000000002</v>
      </c>
      <c r="O41" s="273">
        <v>2</v>
      </c>
      <c r="P41" s="240">
        <f t="shared" si="5"/>
        <v>832.29560000000004</v>
      </c>
      <c r="Q41" s="81">
        <f t="shared" si="16"/>
        <v>217.70439999999996</v>
      </c>
      <c r="R41" s="197" t="str">
        <f t="shared" si="14"/>
        <v>No</v>
      </c>
      <c r="S41" s="229"/>
      <c r="T41" s="229"/>
      <c r="AD41" s="60" t="s">
        <v>86</v>
      </c>
      <c r="AE41" s="350">
        <v>0</v>
      </c>
      <c r="AF41" s="350">
        <v>0</v>
      </c>
      <c r="AG41" s="350">
        <v>0</v>
      </c>
      <c r="AH41" s="350">
        <v>0</v>
      </c>
      <c r="AI41" s="352">
        <v>0</v>
      </c>
      <c r="AJ41" s="60">
        <f t="shared" si="17"/>
        <v>0</v>
      </c>
      <c r="AL41" s="457" t="s">
        <v>534</v>
      </c>
      <c r="AM41" s="457" t="s">
        <v>535</v>
      </c>
      <c r="AN41" s="355" t="s">
        <v>536</v>
      </c>
      <c r="AO41" s="459"/>
      <c r="AP41" s="459"/>
    </row>
    <row r="42" spans="1:44" ht="14.25" customHeight="1" thickBot="1" x14ac:dyDescent="0.25">
      <c r="A42" s="464"/>
      <c r="B42" s="97" t="s">
        <v>360</v>
      </c>
      <c r="C42" s="96" t="s">
        <v>55</v>
      </c>
      <c r="D42" s="110">
        <v>566.26</v>
      </c>
      <c r="E42" s="110">
        <f>E27</f>
        <v>1050</v>
      </c>
      <c r="F42" s="110">
        <v>424.66829999999999</v>
      </c>
      <c r="G42" s="271">
        <v>2</v>
      </c>
      <c r="H42" s="179">
        <f t="shared" si="3"/>
        <v>849.33659999999998</v>
      </c>
      <c r="I42" s="109">
        <f t="shared" si="12"/>
        <v>625.33169999999996</v>
      </c>
      <c r="J42" s="84">
        <f t="shared" si="15"/>
        <v>80.889199999999988</v>
      </c>
      <c r="K42" s="108" t="s">
        <v>359</v>
      </c>
      <c r="L42" s="108">
        <v>1033.6600000000001</v>
      </c>
      <c r="M42" s="108">
        <v>1050</v>
      </c>
      <c r="N42" s="107">
        <f t="shared" si="13"/>
        <v>424.66829999999999</v>
      </c>
      <c r="O42" s="274">
        <v>2</v>
      </c>
      <c r="P42" s="240">
        <f t="shared" si="5"/>
        <v>849.33659999999998</v>
      </c>
      <c r="Q42" s="81">
        <f t="shared" si="16"/>
        <v>200.66340000000002</v>
      </c>
      <c r="R42" s="197" t="str">
        <f t="shared" si="14"/>
        <v>No</v>
      </c>
      <c r="S42" s="369"/>
      <c r="T42" s="369"/>
      <c r="U42" s="242"/>
      <c r="AD42" s="60" t="s">
        <v>87</v>
      </c>
      <c r="AE42" s="350">
        <v>1</v>
      </c>
      <c r="AF42" s="350">
        <v>2</v>
      </c>
      <c r="AG42" s="350">
        <v>0</v>
      </c>
      <c r="AH42" s="350">
        <v>0</v>
      </c>
      <c r="AI42" s="352">
        <v>0</v>
      </c>
      <c r="AJ42" s="60">
        <f t="shared" si="17"/>
        <v>3</v>
      </c>
      <c r="AL42" s="61" t="s">
        <v>529</v>
      </c>
      <c r="AM42" s="61">
        <v>100</v>
      </c>
      <c r="AN42" s="454">
        <v>15</v>
      </c>
      <c r="AO42" s="459"/>
      <c r="AP42" s="459"/>
    </row>
    <row r="43" spans="1:44" ht="14.25" customHeight="1" thickBot="1" x14ac:dyDescent="0.25">
      <c r="A43" s="464"/>
      <c r="B43" s="97" t="s">
        <v>358</v>
      </c>
      <c r="C43" s="96" t="s">
        <v>62</v>
      </c>
      <c r="D43" s="95">
        <v>174.54</v>
      </c>
      <c r="E43" s="95">
        <v>250</v>
      </c>
      <c r="F43" s="95">
        <v>80.336669999999998</v>
      </c>
      <c r="G43" s="270">
        <v>2</v>
      </c>
      <c r="H43" s="179">
        <f t="shared" si="3"/>
        <v>160.67334</v>
      </c>
      <c r="I43" s="94">
        <f t="shared" si="12"/>
        <v>169.66333</v>
      </c>
      <c r="J43" s="84">
        <f t="shared" si="15"/>
        <v>64.269335999999996</v>
      </c>
      <c r="K43" s="93" t="s">
        <v>357</v>
      </c>
      <c r="L43" s="93">
        <v>811.21</v>
      </c>
      <c r="M43" s="93">
        <v>150</v>
      </c>
      <c r="N43" s="107">
        <f t="shared" si="13"/>
        <v>80.336669999999998</v>
      </c>
      <c r="O43" s="275">
        <v>2</v>
      </c>
      <c r="P43" s="240">
        <f t="shared" si="5"/>
        <v>160.67334</v>
      </c>
      <c r="Q43" s="81">
        <f t="shared" si="16"/>
        <v>-10.673339999999996</v>
      </c>
      <c r="R43" s="197" t="str">
        <f t="shared" si="14"/>
        <v>Yes</v>
      </c>
      <c r="S43" s="369"/>
      <c r="T43" s="369"/>
      <c r="U43" s="242"/>
      <c r="AD43" s="60" t="s">
        <v>88</v>
      </c>
      <c r="AE43" s="350">
        <v>1</v>
      </c>
      <c r="AF43" s="350">
        <v>0</v>
      </c>
      <c r="AG43" s="350">
        <v>0</v>
      </c>
      <c r="AH43" s="350">
        <v>0</v>
      </c>
      <c r="AI43" s="352">
        <v>0</v>
      </c>
      <c r="AJ43" s="60">
        <f t="shared" si="17"/>
        <v>1</v>
      </c>
      <c r="AK43" s="369"/>
      <c r="AL43" s="356" t="s">
        <v>530</v>
      </c>
      <c r="AM43" s="356">
        <v>150</v>
      </c>
      <c r="AN43" s="455">
        <v>16.3689</v>
      </c>
      <c r="AO43" s="459"/>
      <c r="AP43" s="459"/>
      <c r="AR43" s="459"/>
    </row>
    <row r="44" spans="1:44" ht="13.5" thickBot="1" x14ac:dyDescent="0.25">
      <c r="A44" s="365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95">
        <v>2</v>
      </c>
      <c r="H44" s="179">
        <f t="shared" si="3"/>
        <v>134.48365999999999</v>
      </c>
      <c r="I44" s="84">
        <f t="shared" si="12"/>
        <v>132.75817000000001</v>
      </c>
      <c r="J44" s="84">
        <f t="shared" si="15"/>
        <v>67.241829999999993</v>
      </c>
      <c r="K44" s="83" t="s">
        <v>354</v>
      </c>
      <c r="L44" s="83">
        <v>607.995</v>
      </c>
      <c r="M44" s="83">
        <v>150</v>
      </c>
      <c r="N44" s="82">
        <f t="shared" si="13"/>
        <v>67.241829999999993</v>
      </c>
      <c r="O44" s="91">
        <v>2</v>
      </c>
      <c r="P44" s="240">
        <f t="shared" si="5"/>
        <v>134.48365999999999</v>
      </c>
      <c r="Q44" s="81">
        <f t="shared" si="16"/>
        <v>15.516340000000014</v>
      </c>
      <c r="R44" s="197" t="str">
        <f t="shared" si="14"/>
        <v>No</v>
      </c>
      <c r="S44" s="369"/>
      <c r="T44" s="369"/>
      <c r="U44" s="242"/>
      <c r="AD44" s="60" t="s">
        <v>89</v>
      </c>
      <c r="AE44" s="350">
        <v>0</v>
      </c>
      <c r="AF44" s="350">
        <v>0</v>
      </c>
      <c r="AG44" s="350">
        <v>0</v>
      </c>
      <c r="AH44" s="350">
        <v>0</v>
      </c>
      <c r="AI44" s="352">
        <v>0</v>
      </c>
      <c r="AJ44" s="60">
        <f t="shared" si="17"/>
        <v>0</v>
      </c>
      <c r="AK44" s="367"/>
      <c r="AL44" s="356" t="s">
        <v>531</v>
      </c>
      <c r="AM44" s="356">
        <v>200</v>
      </c>
      <c r="AN44" s="455">
        <v>16.746700000000001</v>
      </c>
      <c r="AO44" s="459"/>
      <c r="AP44" s="459"/>
      <c r="AR44" s="459"/>
    </row>
    <row r="45" spans="1:44" ht="13.5" thickBot="1" x14ac:dyDescent="0.25">
      <c r="A45" s="462" t="s">
        <v>349</v>
      </c>
      <c r="B45" s="87" t="s">
        <v>353</v>
      </c>
      <c r="C45" s="86" t="s">
        <v>342</v>
      </c>
      <c r="D45" s="85">
        <v>592.98500000000001</v>
      </c>
      <c r="E45" s="85">
        <v>450</v>
      </c>
      <c r="F45" s="85">
        <v>175.91919999999999</v>
      </c>
      <c r="G45" s="269">
        <v>2</v>
      </c>
      <c r="H45" s="179">
        <f t="shared" si="3"/>
        <v>351.83839999999998</v>
      </c>
      <c r="I45" s="84">
        <f t="shared" si="12"/>
        <v>274.08080000000001</v>
      </c>
      <c r="J45" s="84">
        <f t="shared" si="15"/>
        <v>78.18631111111111</v>
      </c>
      <c r="K45" s="83" t="s">
        <v>352</v>
      </c>
      <c r="L45" s="83">
        <v>1051.23</v>
      </c>
      <c r="M45" s="83">
        <v>450</v>
      </c>
      <c r="N45" s="82">
        <f t="shared" si="13"/>
        <v>175.91919999999999</v>
      </c>
      <c r="O45" s="273">
        <v>2</v>
      </c>
      <c r="P45" s="240">
        <f t="shared" si="5"/>
        <v>351.83839999999998</v>
      </c>
      <c r="Q45" s="81">
        <f t="shared" si="16"/>
        <v>98.161600000000021</v>
      </c>
      <c r="R45" s="197" t="str">
        <f t="shared" si="14"/>
        <v>No</v>
      </c>
      <c r="S45" s="369"/>
      <c r="T45" s="369"/>
      <c r="U45" s="242"/>
      <c r="AD45" s="60" t="s">
        <v>90</v>
      </c>
      <c r="AE45" s="350">
        <v>1</v>
      </c>
      <c r="AF45" s="350">
        <v>0</v>
      </c>
      <c r="AG45" s="350">
        <v>0</v>
      </c>
      <c r="AH45" s="350">
        <v>0</v>
      </c>
      <c r="AI45" s="352">
        <v>0</v>
      </c>
      <c r="AJ45" s="60">
        <f t="shared" si="17"/>
        <v>1</v>
      </c>
      <c r="AK45" s="367"/>
      <c r="AL45" s="356" t="s">
        <v>532</v>
      </c>
      <c r="AM45" s="356">
        <v>250</v>
      </c>
      <c r="AN45" s="455">
        <v>16.886600000000001</v>
      </c>
      <c r="AO45" s="459"/>
      <c r="AP45" s="459"/>
      <c r="AR45" s="459"/>
    </row>
    <row r="46" spans="1:44" ht="14.25" customHeight="1" thickBot="1" x14ac:dyDescent="0.25">
      <c r="A46" s="464"/>
      <c r="B46" s="97" t="s">
        <v>350</v>
      </c>
      <c r="C46" s="96" t="s">
        <v>349</v>
      </c>
      <c r="D46" s="110">
        <v>374.84</v>
      </c>
      <c r="E46" s="110">
        <v>400</v>
      </c>
      <c r="F46" s="110">
        <v>115.1143</v>
      </c>
      <c r="G46" s="271">
        <v>2</v>
      </c>
      <c r="H46" s="179">
        <f t="shared" si="3"/>
        <v>230.2286</v>
      </c>
      <c r="I46" s="109">
        <f t="shared" si="12"/>
        <v>284.88569999999999</v>
      </c>
      <c r="J46" s="84">
        <f t="shared" si="15"/>
        <v>57.55715</v>
      </c>
      <c r="K46" s="108" t="s">
        <v>348</v>
      </c>
      <c r="L46" s="108">
        <v>838.745</v>
      </c>
      <c r="M46" s="108">
        <v>300</v>
      </c>
      <c r="N46" s="107">
        <f t="shared" si="13"/>
        <v>115.1143</v>
      </c>
      <c r="O46" s="274">
        <v>2</v>
      </c>
      <c r="P46" s="240">
        <f t="shared" si="5"/>
        <v>230.2286</v>
      </c>
      <c r="Q46" s="81">
        <f t="shared" si="16"/>
        <v>69.7714</v>
      </c>
      <c r="R46" s="197" t="str">
        <f t="shared" si="14"/>
        <v>No</v>
      </c>
      <c r="S46" s="369"/>
      <c r="T46" s="369"/>
      <c r="U46" s="242"/>
      <c r="AD46" s="60" t="s">
        <v>91</v>
      </c>
      <c r="AE46" s="350">
        <v>0</v>
      </c>
      <c r="AF46" s="350">
        <v>0</v>
      </c>
      <c r="AG46" s="352">
        <v>0</v>
      </c>
      <c r="AH46" s="352">
        <v>0</v>
      </c>
      <c r="AI46" s="352">
        <v>0</v>
      </c>
      <c r="AJ46" s="60">
        <f t="shared" si="17"/>
        <v>0</v>
      </c>
      <c r="AK46" s="369"/>
      <c r="AL46" s="357" t="s">
        <v>582</v>
      </c>
      <c r="AM46" s="357">
        <v>300</v>
      </c>
      <c r="AN46" s="456">
        <v>17</v>
      </c>
      <c r="AO46" s="459"/>
      <c r="AP46" s="459"/>
      <c r="AR46" s="459"/>
    </row>
    <row r="47" spans="1:44" ht="14.25" customHeight="1" thickBot="1" x14ac:dyDescent="0.25">
      <c r="A47" s="464"/>
      <c r="B47" s="97" t="s">
        <v>347</v>
      </c>
      <c r="C47" s="96" t="s">
        <v>335</v>
      </c>
      <c r="D47" s="110">
        <v>675.17499999999995</v>
      </c>
      <c r="E47" s="110">
        <v>300</v>
      </c>
      <c r="F47" s="110">
        <v>87.5685</v>
      </c>
      <c r="G47" s="271">
        <v>2</v>
      </c>
      <c r="H47" s="179">
        <f t="shared" si="3"/>
        <v>175.137</v>
      </c>
      <c r="I47" s="109">
        <f t="shared" si="12"/>
        <v>212.4315</v>
      </c>
      <c r="J47" s="84">
        <f t="shared" si="15"/>
        <v>58.379000000000005</v>
      </c>
      <c r="K47" s="108" t="s">
        <v>346</v>
      </c>
      <c r="L47" s="108">
        <v>792.93499999999995</v>
      </c>
      <c r="M47" s="108">
        <v>300</v>
      </c>
      <c r="N47" s="107">
        <f t="shared" si="13"/>
        <v>87.5685</v>
      </c>
      <c r="O47" s="274">
        <v>2</v>
      </c>
      <c r="P47" s="240">
        <f t="shared" si="5"/>
        <v>175.137</v>
      </c>
      <c r="Q47" s="81">
        <f t="shared" si="16"/>
        <v>124.863</v>
      </c>
      <c r="R47" s="197" t="str">
        <f t="shared" si="14"/>
        <v>No</v>
      </c>
      <c r="S47" s="369"/>
      <c r="T47" s="369"/>
      <c r="U47" s="242"/>
      <c r="AD47" s="60" t="s">
        <v>92</v>
      </c>
      <c r="AE47" s="352">
        <v>0</v>
      </c>
      <c r="AF47" s="352">
        <v>0</v>
      </c>
      <c r="AG47" s="352">
        <v>0</v>
      </c>
      <c r="AH47" s="352">
        <v>0</v>
      </c>
      <c r="AI47" s="352">
        <v>0</v>
      </c>
      <c r="AJ47" s="60">
        <f t="shared" si="17"/>
        <v>0</v>
      </c>
      <c r="AK47" s="369"/>
      <c r="AL47" s="459"/>
      <c r="AM47" s="459"/>
      <c r="AO47" s="459"/>
      <c r="AP47" s="459"/>
      <c r="AR47" s="459"/>
    </row>
    <row r="48" spans="1:44" ht="14.25" customHeight="1" thickBot="1" x14ac:dyDescent="0.25">
      <c r="A48" s="464"/>
      <c r="B48" s="97" t="s">
        <v>339</v>
      </c>
      <c r="C48" s="96" t="s">
        <v>338</v>
      </c>
      <c r="D48" s="95">
        <v>768.38499999999999</v>
      </c>
      <c r="E48" s="95">
        <v>150</v>
      </c>
      <c r="F48" s="95">
        <v>46.164000000000001</v>
      </c>
      <c r="G48" s="271">
        <v>2</v>
      </c>
      <c r="H48" s="179">
        <f t="shared" si="3"/>
        <v>92.328000000000003</v>
      </c>
      <c r="I48" s="94">
        <f t="shared" si="12"/>
        <v>103.836</v>
      </c>
      <c r="J48" s="84">
        <f t="shared" si="15"/>
        <v>61.552000000000007</v>
      </c>
      <c r="K48" s="93" t="s">
        <v>345</v>
      </c>
      <c r="L48" s="93">
        <v>934.80499999999995</v>
      </c>
      <c r="M48" s="93">
        <v>150</v>
      </c>
      <c r="N48" s="92">
        <f t="shared" si="13"/>
        <v>46.164000000000001</v>
      </c>
      <c r="O48" s="274">
        <v>2</v>
      </c>
      <c r="P48" s="240">
        <f t="shared" si="5"/>
        <v>92.328000000000003</v>
      </c>
      <c r="Q48" s="81">
        <f t="shared" si="16"/>
        <v>57.671999999999997</v>
      </c>
      <c r="R48" s="197" t="str">
        <f t="shared" si="14"/>
        <v>No</v>
      </c>
      <c r="S48" s="369"/>
      <c r="T48" s="369"/>
      <c r="U48" s="242"/>
      <c r="AD48" s="60" t="s">
        <v>93</v>
      </c>
      <c r="AE48" s="352">
        <v>0</v>
      </c>
      <c r="AF48" s="350">
        <v>2</v>
      </c>
      <c r="AG48" s="352">
        <v>0</v>
      </c>
      <c r="AH48" s="352">
        <v>0</v>
      </c>
      <c r="AI48" s="352">
        <v>0</v>
      </c>
      <c r="AJ48" s="60">
        <f t="shared" si="17"/>
        <v>2</v>
      </c>
      <c r="AK48" s="369"/>
      <c r="AL48" s="459"/>
      <c r="AM48" s="459"/>
      <c r="AO48" s="459"/>
      <c r="AP48" s="459"/>
      <c r="AQ48" s="341"/>
      <c r="AR48" s="459"/>
    </row>
    <row r="49" spans="1:44" ht="13.5" thickBot="1" x14ac:dyDescent="0.25">
      <c r="A49" s="462" t="s">
        <v>344</v>
      </c>
      <c r="B49" s="87" t="s">
        <v>343</v>
      </c>
      <c r="C49" s="86" t="s">
        <v>342</v>
      </c>
      <c r="D49" s="85">
        <v>592.98500000000001</v>
      </c>
      <c r="E49" s="85">
        <f>E45</f>
        <v>450</v>
      </c>
      <c r="F49" s="85">
        <v>175.91919999999999</v>
      </c>
      <c r="G49" s="269">
        <v>2</v>
      </c>
      <c r="H49" s="179">
        <f t="shared" si="3"/>
        <v>351.83839999999998</v>
      </c>
      <c r="I49" s="84">
        <f t="shared" si="12"/>
        <v>274.08080000000001</v>
      </c>
      <c r="J49" s="84">
        <f t="shared" si="15"/>
        <v>78.18631111111111</v>
      </c>
      <c r="K49" s="83" t="s">
        <v>341</v>
      </c>
      <c r="L49" s="83">
        <v>992.44500000000005</v>
      </c>
      <c r="M49" s="83">
        <v>450</v>
      </c>
      <c r="N49" s="82">
        <f t="shared" si="13"/>
        <v>175.91919999999999</v>
      </c>
      <c r="O49" s="273">
        <v>2</v>
      </c>
      <c r="P49" s="240">
        <f t="shared" si="5"/>
        <v>351.83839999999998</v>
      </c>
      <c r="Q49" s="81">
        <f t="shared" si="16"/>
        <v>98.161600000000021</v>
      </c>
      <c r="R49" s="197" t="str">
        <f t="shared" si="14"/>
        <v>No</v>
      </c>
      <c r="S49" s="369"/>
      <c r="T49" s="369"/>
      <c r="U49" s="242"/>
      <c r="AD49" s="60" t="s">
        <v>94</v>
      </c>
      <c r="AE49" s="352">
        <v>1</v>
      </c>
      <c r="AF49" s="350">
        <v>2</v>
      </c>
      <c r="AG49" s="352">
        <v>0</v>
      </c>
      <c r="AH49" s="352">
        <v>0</v>
      </c>
      <c r="AI49" s="352">
        <v>0</v>
      </c>
      <c r="AJ49" s="60">
        <f t="shared" si="17"/>
        <v>3</v>
      </c>
      <c r="AK49" s="18"/>
      <c r="AL49" s="18"/>
      <c r="AM49" s="459"/>
      <c r="AO49" s="459"/>
      <c r="AP49" s="459"/>
      <c r="AR49" s="459"/>
    </row>
    <row r="50" spans="1:44" ht="14.25" customHeight="1" thickBot="1" x14ac:dyDescent="0.25">
      <c r="A50" s="464"/>
      <c r="B50" s="97" t="s">
        <v>339</v>
      </c>
      <c r="C50" s="96" t="s">
        <v>338</v>
      </c>
      <c r="D50" s="95">
        <v>768.38499999999999</v>
      </c>
      <c r="E50" s="95">
        <f>E48</f>
        <v>150</v>
      </c>
      <c r="F50" s="95">
        <v>46.164000000000001</v>
      </c>
      <c r="G50" s="271">
        <v>2</v>
      </c>
      <c r="H50" s="179">
        <f t="shared" si="3"/>
        <v>92.328000000000003</v>
      </c>
      <c r="I50" s="94">
        <f t="shared" si="12"/>
        <v>103.836</v>
      </c>
      <c r="J50" s="84">
        <f t="shared" si="15"/>
        <v>61.552000000000007</v>
      </c>
      <c r="K50" s="93" t="s">
        <v>337</v>
      </c>
      <c r="L50" s="93">
        <v>817.04499999999996</v>
      </c>
      <c r="M50" s="93">
        <v>150</v>
      </c>
      <c r="N50" s="92">
        <f t="shared" si="13"/>
        <v>46.164000000000001</v>
      </c>
      <c r="O50" s="274">
        <v>2</v>
      </c>
      <c r="P50" s="240">
        <f t="shared" si="5"/>
        <v>92.328000000000003</v>
      </c>
      <c r="Q50" s="81">
        <f t="shared" si="16"/>
        <v>57.671999999999997</v>
      </c>
      <c r="R50" s="197" t="str">
        <f t="shared" si="14"/>
        <v>No</v>
      </c>
      <c r="S50" s="369"/>
      <c r="T50" s="369"/>
      <c r="U50" s="242"/>
      <c r="AD50" s="358" t="s">
        <v>508</v>
      </c>
      <c r="AE50" s="359">
        <v>0</v>
      </c>
      <c r="AF50" s="359">
        <v>0</v>
      </c>
      <c r="AG50" s="359">
        <v>0</v>
      </c>
      <c r="AH50" s="359">
        <v>0</v>
      </c>
      <c r="AI50" s="359">
        <v>0</v>
      </c>
      <c r="AJ50" s="358">
        <f t="shared" si="17"/>
        <v>0</v>
      </c>
      <c r="AK50" s="369"/>
      <c r="AL50" s="491" t="s">
        <v>611</v>
      </c>
      <c r="AM50" s="492"/>
      <c r="AN50" s="492"/>
      <c r="AO50" s="492"/>
      <c r="AP50" s="492"/>
      <c r="AQ50" s="493"/>
      <c r="AR50" s="161"/>
    </row>
    <row r="51" spans="1:44" ht="13.5" thickBot="1" x14ac:dyDescent="0.25">
      <c r="A51" s="462" t="s">
        <v>340</v>
      </c>
      <c r="B51" s="87" t="s">
        <v>339</v>
      </c>
      <c r="C51" s="86" t="s">
        <v>338</v>
      </c>
      <c r="D51" s="85">
        <v>768.38499999999999</v>
      </c>
      <c r="E51" s="85">
        <f>E50</f>
        <v>150</v>
      </c>
      <c r="F51" s="85">
        <v>46.164000000000001</v>
      </c>
      <c r="G51" s="269">
        <v>2</v>
      </c>
      <c r="H51" s="179">
        <f t="shared" si="3"/>
        <v>92.328000000000003</v>
      </c>
      <c r="I51" s="84">
        <f t="shared" si="12"/>
        <v>103.836</v>
      </c>
      <c r="J51" s="84">
        <f t="shared" si="15"/>
        <v>61.552000000000007</v>
      </c>
      <c r="K51" s="83" t="s">
        <v>337</v>
      </c>
      <c r="L51" s="83">
        <v>817.04499999999996</v>
      </c>
      <c r="M51" s="83">
        <v>150</v>
      </c>
      <c r="N51" s="82">
        <f t="shared" si="13"/>
        <v>46.164000000000001</v>
      </c>
      <c r="O51" s="273">
        <v>2</v>
      </c>
      <c r="P51" s="240">
        <f t="shared" si="5"/>
        <v>92.328000000000003</v>
      </c>
      <c r="Q51" s="81">
        <f t="shared" si="16"/>
        <v>57.671999999999997</v>
      </c>
      <c r="R51" s="197" t="str">
        <f t="shared" si="14"/>
        <v>No</v>
      </c>
      <c r="S51" s="369"/>
      <c r="T51" s="369"/>
      <c r="U51" s="242"/>
      <c r="AD51" s="328" t="s">
        <v>537</v>
      </c>
      <c r="AE51" s="360">
        <f t="shared" ref="AE51:AJ51" si="18">SUM(AE39:AE50)</f>
        <v>4</v>
      </c>
      <c r="AF51" s="360">
        <f t="shared" si="18"/>
        <v>6</v>
      </c>
      <c r="AG51" s="360">
        <f t="shared" si="18"/>
        <v>0</v>
      </c>
      <c r="AH51" s="360">
        <f t="shared" si="18"/>
        <v>0</v>
      </c>
      <c r="AI51" s="360">
        <f t="shared" si="18"/>
        <v>0</v>
      </c>
      <c r="AJ51" s="361">
        <f t="shared" si="18"/>
        <v>10</v>
      </c>
      <c r="AK51" s="369"/>
      <c r="AL51" s="346" t="s">
        <v>528</v>
      </c>
      <c r="AM51" s="348" t="s">
        <v>529</v>
      </c>
      <c r="AN51" s="348" t="s">
        <v>530</v>
      </c>
      <c r="AO51" s="348" t="s">
        <v>531</v>
      </c>
      <c r="AP51" s="348" t="s">
        <v>532</v>
      </c>
      <c r="AQ51" s="349" t="s">
        <v>582</v>
      </c>
      <c r="AR51" s="328" t="s">
        <v>417</v>
      </c>
    </row>
    <row r="52" spans="1:44" ht="14.25" customHeight="1" thickBot="1" x14ac:dyDescent="0.25">
      <c r="A52" s="464"/>
      <c r="B52" s="97" t="s">
        <v>30</v>
      </c>
      <c r="C52" s="96" t="s">
        <v>326</v>
      </c>
      <c r="D52" s="95">
        <v>317.27</v>
      </c>
      <c r="E52" s="95">
        <v>400</v>
      </c>
      <c r="F52" s="95">
        <v>136.87530000000001</v>
      </c>
      <c r="G52" s="271">
        <v>2</v>
      </c>
      <c r="H52" s="179">
        <f t="shared" si="3"/>
        <v>273.75060000000002</v>
      </c>
      <c r="I52" s="94">
        <f t="shared" si="12"/>
        <v>263.12469999999996</v>
      </c>
      <c r="J52" s="84">
        <f t="shared" si="15"/>
        <v>68.437650000000005</v>
      </c>
      <c r="K52" s="93" t="s">
        <v>325</v>
      </c>
      <c r="L52" s="93">
        <v>518.48</v>
      </c>
      <c r="M52" s="93">
        <v>400</v>
      </c>
      <c r="N52" s="92">
        <f t="shared" si="13"/>
        <v>136.87530000000001</v>
      </c>
      <c r="O52" s="274">
        <v>2</v>
      </c>
      <c r="P52" s="240">
        <f t="shared" si="5"/>
        <v>273.75060000000002</v>
      </c>
      <c r="Q52" s="81">
        <f t="shared" si="16"/>
        <v>126.24939999999998</v>
      </c>
      <c r="R52" s="197" t="str">
        <f t="shared" si="14"/>
        <v>No</v>
      </c>
      <c r="S52" s="369"/>
      <c r="T52" s="369"/>
      <c r="U52" s="242"/>
      <c r="AD52" s="328" t="s">
        <v>536</v>
      </c>
      <c r="AE52" s="362">
        <f>PRODUCT(AE51*AN42)</f>
        <v>60</v>
      </c>
      <c r="AF52" s="452">
        <f>PRODUCT(AF51*AN43)</f>
        <v>98.213400000000007</v>
      </c>
      <c r="AG52" s="452">
        <f>PRODUCT(AG51*AN44)</f>
        <v>0</v>
      </c>
      <c r="AH52" s="452">
        <f>PRODUCT(AH51*AN45)</f>
        <v>0</v>
      </c>
      <c r="AI52" s="452">
        <f>PRODUCT(AI51*AN46)</f>
        <v>0</v>
      </c>
      <c r="AJ52" s="453">
        <f>SUM(AE52:AI52)</f>
        <v>158.21340000000001</v>
      </c>
      <c r="AK52" s="369"/>
      <c r="AL52" s="60" t="s">
        <v>84</v>
      </c>
      <c r="AM52" s="352">
        <f>AE39+AE59</f>
        <v>0</v>
      </c>
      <c r="AN52" s="352">
        <f t="shared" ref="AN52:AQ63" si="19">AF39+AF59</f>
        <v>10</v>
      </c>
      <c r="AO52" s="352">
        <f t="shared" si="19"/>
        <v>3</v>
      </c>
      <c r="AP52" s="352">
        <f t="shared" si="19"/>
        <v>2</v>
      </c>
      <c r="AQ52" s="352">
        <f t="shared" si="19"/>
        <v>0</v>
      </c>
      <c r="AR52" s="353">
        <f>SUM(AM52:AQ52)</f>
        <v>15</v>
      </c>
    </row>
    <row r="53" spans="1:44" ht="13.5" thickBot="1" x14ac:dyDescent="0.25">
      <c r="A53" s="462" t="s">
        <v>336</v>
      </c>
      <c r="B53" s="87" t="s">
        <v>28</v>
      </c>
      <c r="C53" s="86" t="s">
        <v>335</v>
      </c>
      <c r="D53" s="85">
        <v>675.17499999999995</v>
      </c>
      <c r="E53" s="85">
        <f>E47</f>
        <v>300</v>
      </c>
      <c r="F53" s="85">
        <v>87.5685</v>
      </c>
      <c r="G53" s="269">
        <v>2</v>
      </c>
      <c r="H53" s="179">
        <f t="shared" si="3"/>
        <v>175.137</v>
      </c>
      <c r="I53" s="84">
        <f t="shared" si="12"/>
        <v>212.4315</v>
      </c>
      <c r="J53" s="84">
        <f t="shared" si="15"/>
        <v>58.379000000000005</v>
      </c>
      <c r="K53" s="83" t="s">
        <v>334</v>
      </c>
      <c r="L53" s="83">
        <v>792.93499999999995</v>
      </c>
      <c r="M53" s="83">
        <v>300</v>
      </c>
      <c r="N53" s="82">
        <f t="shared" si="13"/>
        <v>87.5685</v>
      </c>
      <c r="O53" s="273">
        <v>2</v>
      </c>
      <c r="P53" s="240">
        <f t="shared" si="5"/>
        <v>175.137</v>
      </c>
      <c r="Q53" s="81">
        <f t="shared" si="16"/>
        <v>124.863</v>
      </c>
      <c r="R53" s="197" t="str">
        <f t="shared" si="14"/>
        <v>No</v>
      </c>
      <c r="S53" s="369"/>
      <c r="T53" s="369"/>
      <c r="U53" s="242"/>
      <c r="AD53" s="328" t="s">
        <v>535</v>
      </c>
      <c r="AE53" s="362">
        <f>AE51*AM42</f>
        <v>400</v>
      </c>
      <c r="AF53" s="362">
        <f>AF51*AM43</f>
        <v>900</v>
      </c>
      <c r="AG53" s="362">
        <f>AG51*AM44</f>
        <v>0</v>
      </c>
      <c r="AH53" s="362">
        <f>AH51*AM45</f>
        <v>0</v>
      </c>
      <c r="AI53" s="362">
        <f>AI51*AM46</f>
        <v>0</v>
      </c>
      <c r="AJ53" s="328">
        <f>SUM(AE53:AI53)</f>
        <v>1300</v>
      </c>
      <c r="AK53" s="369"/>
      <c r="AL53" s="60" t="s">
        <v>85</v>
      </c>
      <c r="AM53" s="352">
        <f t="shared" ref="AM53:AM63" si="20">AE40+AE60</f>
        <v>0</v>
      </c>
      <c r="AN53" s="352">
        <f t="shared" si="19"/>
        <v>14</v>
      </c>
      <c r="AO53" s="352">
        <f t="shared" si="19"/>
        <v>8</v>
      </c>
      <c r="AP53" s="352">
        <f t="shared" si="19"/>
        <v>0</v>
      </c>
      <c r="AQ53" s="352">
        <f t="shared" si="19"/>
        <v>5</v>
      </c>
      <c r="AR53" s="60">
        <f t="shared" ref="AR53:AR63" si="21">SUM(AM53:AQ53)</f>
        <v>27</v>
      </c>
    </row>
    <row r="54" spans="1:44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95">
        <v>200</v>
      </c>
      <c r="F54" s="95">
        <v>33.29833</v>
      </c>
      <c r="G54" s="271">
        <v>2</v>
      </c>
      <c r="H54" s="179">
        <f t="shared" si="3"/>
        <v>66.59666</v>
      </c>
      <c r="I54" s="94">
        <f t="shared" si="12"/>
        <v>166.70167000000001</v>
      </c>
      <c r="J54" s="84">
        <f t="shared" si="15"/>
        <v>33.29833</v>
      </c>
      <c r="K54" s="93" t="s">
        <v>331</v>
      </c>
      <c r="L54" s="93">
        <v>524.75</v>
      </c>
      <c r="M54" s="93">
        <v>200</v>
      </c>
      <c r="N54" s="92">
        <f t="shared" si="13"/>
        <v>33.29833</v>
      </c>
      <c r="O54" s="274">
        <v>2</v>
      </c>
      <c r="P54" s="240">
        <f t="shared" si="5"/>
        <v>66.59666</v>
      </c>
      <c r="Q54" s="81">
        <f t="shared" si="16"/>
        <v>133.40334000000001</v>
      </c>
      <c r="R54" s="197" t="str">
        <f t="shared" si="14"/>
        <v>No</v>
      </c>
      <c r="S54" s="369"/>
      <c r="T54" s="369"/>
      <c r="U54" s="242"/>
      <c r="AD54" s="369"/>
      <c r="AE54" s="369"/>
      <c r="AF54" s="369"/>
      <c r="AG54" s="369"/>
      <c r="AH54" s="369"/>
      <c r="AI54" s="369"/>
      <c r="AJ54" s="369"/>
      <c r="AK54" s="369"/>
      <c r="AL54" s="60" t="s">
        <v>86</v>
      </c>
      <c r="AM54" s="352">
        <f t="shared" si="20"/>
        <v>0</v>
      </c>
      <c r="AN54" s="352">
        <f t="shared" si="19"/>
        <v>0</v>
      </c>
      <c r="AO54" s="352">
        <f t="shared" si="19"/>
        <v>5</v>
      </c>
      <c r="AP54" s="352">
        <f t="shared" si="19"/>
        <v>0</v>
      </c>
      <c r="AQ54" s="352">
        <f t="shared" si="19"/>
        <v>3</v>
      </c>
      <c r="AR54" s="60">
        <f t="shared" si="21"/>
        <v>8</v>
      </c>
    </row>
    <row r="55" spans="1:44" ht="13.5" thickBot="1" x14ac:dyDescent="0.25">
      <c r="A55" s="462" t="s">
        <v>330</v>
      </c>
      <c r="B55" s="87" t="s">
        <v>329</v>
      </c>
      <c r="C55" s="86" t="s">
        <v>61</v>
      </c>
      <c r="D55" s="85">
        <v>381.34</v>
      </c>
      <c r="E55" s="85">
        <f>E40</f>
        <v>600</v>
      </c>
      <c r="F55" s="85">
        <v>233.80699999999999</v>
      </c>
      <c r="G55" s="269">
        <v>2</v>
      </c>
      <c r="H55" s="179">
        <f t="shared" si="3"/>
        <v>467.61399999999998</v>
      </c>
      <c r="I55" s="84">
        <f t="shared" si="12"/>
        <v>366.19299999999998</v>
      </c>
      <c r="J55" s="84">
        <f t="shared" si="15"/>
        <v>77.935666666666663</v>
      </c>
      <c r="K55" s="83" t="s">
        <v>328</v>
      </c>
      <c r="L55" s="83">
        <v>673.16499999999996</v>
      </c>
      <c r="M55" s="83">
        <v>450</v>
      </c>
      <c r="N55" s="82">
        <f t="shared" si="13"/>
        <v>233.80699999999999</v>
      </c>
      <c r="O55" s="273">
        <v>2</v>
      </c>
      <c r="P55" s="240">
        <f t="shared" si="5"/>
        <v>467.61399999999998</v>
      </c>
      <c r="Q55" s="81">
        <f t="shared" si="16"/>
        <v>-17.613999999999976</v>
      </c>
      <c r="R55" s="197" t="str">
        <f t="shared" si="14"/>
        <v>Yes</v>
      </c>
      <c r="S55" s="369"/>
      <c r="T55" s="369"/>
      <c r="U55" s="242"/>
      <c r="AD55" s="369"/>
      <c r="AE55" s="369"/>
      <c r="AF55" s="369"/>
      <c r="AG55" s="369"/>
      <c r="AH55" s="369"/>
      <c r="AI55" s="369"/>
      <c r="AJ55" s="369"/>
      <c r="AK55" s="369"/>
      <c r="AL55" s="60" t="s">
        <v>87</v>
      </c>
      <c r="AM55" s="352">
        <f t="shared" si="20"/>
        <v>1</v>
      </c>
      <c r="AN55" s="352">
        <f t="shared" si="19"/>
        <v>27</v>
      </c>
      <c r="AO55" s="352">
        <f t="shared" si="19"/>
        <v>34</v>
      </c>
      <c r="AP55" s="352">
        <f t="shared" si="19"/>
        <v>20</v>
      </c>
      <c r="AQ55" s="352">
        <f t="shared" si="19"/>
        <v>0</v>
      </c>
      <c r="AR55" s="60">
        <f t="shared" si="21"/>
        <v>82</v>
      </c>
    </row>
    <row r="56" spans="1:44" ht="14.25" customHeight="1" thickBot="1" x14ac:dyDescent="0.25">
      <c r="A56" s="463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270">
        <v>2</v>
      </c>
      <c r="H56" s="179">
        <f t="shared" si="3"/>
        <v>273.75060000000002</v>
      </c>
      <c r="I56" s="73">
        <f t="shared" si="12"/>
        <v>263.12469999999996</v>
      </c>
      <c r="J56" s="84">
        <f t="shared" si="15"/>
        <v>68.437650000000005</v>
      </c>
      <c r="K56" s="72" t="s">
        <v>325</v>
      </c>
      <c r="L56" s="72">
        <v>518.48</v>
      </c>
      <c r="M56" s="72">
        <v>400</v>
      </c>
      <c r="N56" s="71">
        <f t="shared" si="13"/>
        <v>136.87530000000001</v>
      </c>
      <c r="O56" s="275">
        <v>2</v>
      </c>
      <c r="P56" s="240">
        <f t="shared" si="5"/>
        <v>273.75060000000002</v>
      </c>
      <c r="Q56" s="81">
        <f t="shared" si="16"/>
        <v>126.24939999999998</v>
      </c>
      <c r="R56" s="243" t="str">
        <f t="shared" si="14"/>
        <v>No</v>
      </c>
      <c r="S56" s="369"/>
      <c r="T56" s="369"/>
      <c r="U56" s="242"/>
      <c r="AD56" s="369"/>
      <c r="AE56" s="369"/>
      <c r="AF56" s="369"/>
      <c r="AG56" s="369"/>
      <c r="AH56" s="369"/>
      <c r="AI56" s="369"/>
      <c r="AJ56" s="369"/>
      <c r="AK56" s="369"/>
      <c r="AL56" s="60" t="s">
        <v>88</v>
      </c>
      <c r="AM56" s="352">
        <f t="shared" si="20"/>
        <v>1</v>
      </c>
      <c r="AN56" s="352">
        <f t="shared" si="19"/>
        <v>0</v>
      </c>
      <c r="AO56" s="352">
        <f t="shared" si="19"/>
        <v>16</v>
      </c>
      <c r="AP56" s="352">
        <f t="shared" si="19"/>
        <v>1</v>
      </c>
      <c r="AQ56" s="352">
        <f t="shared" si="19"/>
        <v>0</v>
      </c>
      <c r="AR56" s="60">
        <f t="shared" si="21"/>
        <v>18</v>
      </c>
    </row>
    <row r="57" spans="1:44" x14ac:dyDescent="0.2">
      <c r="A57" s="304"/>
      <c r="B57" s="64"/>
      <c r="C57" s="304"/>
      <c r="D57" s="304" t="s">
        <v>369</v>
      </c>
      <c r="E57" s="304">
        <f>SUM(E3:E56)</f>
        <v>36600</v>
      </c>
      <c r="F57" s="64"/>
      <c r="G57" s="64"/>
      <c r="H57" s="6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69"/>
      <c r="T57" s="369"/>
      <c r="AD57" s="491" t="s">
        <v>610</v>
      </c>
      <c r="AE57" s="492"/>
      <c r="AF57" s="492"/>
      <c r="AG57" s="492"/>
      <c r="AH57" s="492"/>
      <c r="AI57" s="493"/>
      <c r="AJ57" s="161"/>
      <c r="AL57" s="60" t="s">
        <v>89</v>
      </c>
      <c r="AM57" s="352">
        <f t="shared" si="20"/>
        <v>0</v>
      </c>
      <c r="AN57" s="352">
        <f t="shared" si="19"/>
        <v>16</v>
      </c>
      <c r="AO57" s="352">
        <f t="shared" si="19"/>
        <v>1</v>
      </c>
      <c r="AP57" s="352">
        <f t="shared" si="19"/>
        <v>1</v>
      </c>
      <c r="AQ57" s="352">
        <f t="shared" si="19"/>
        <v>0</v>
      </c>
      <c r="AR57" s="60">
        <f t="shared" si="21"/>
        <v>18</v>
      </c>
    </row>
    <row r="58" spans="1:44" x14ac:dyDescent="0.2">
      <c r="A58" s="304"/>
      <c r="B58" s="64"/>
      <c r="C58" s="304"/>
      <c r="D58" s="304"/>
      <c r="E58" s="304"/>
      <c r="F58" s="64"/>
      <c r="G58" s="64"/>
      <c r="H58" s="6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69"/>
      <c r="T58" s="369"/>
      <c r="AD58" s="346" t="s">
        <v>528</v>
      </c>
      <c r="AE58" s="348" t="s">
        <v>529</v>
      </c>
      <c r="AF58" s="348" t="s">
        <v>530</v>
      </c>
      <c r="AG58" s="348" t="s">
        <v>531</v>
      </c>
      <c r="AH58" s="348" t="s">
        <v>532</v>
      </c>
      <c r="AI58" s="349" t="s">
        <v>582</v>
      </c>
      <c r="AJ58" s="328" t="s">
        <v>417</v>
      </c>
      <c r="AL58" s="60" t="s">
        <v>90</v>
      </c>
      <c r="AM58" s="352">
        <f t="shared" si="20"/>
        <v>1</v>
      </c>
      <c r="AN58" s="352">
        <f t="shared" si="19"/>
        <v>0</v>
      </c>
      <c r="AO58" s="352">
        <f t="shared" si="19"/>
        <v>1</v>
      </c>
      <c r="AP58" s="352">
        <f t="shared" si="19"/>
        <v>3</v>
      </c>
      <c r="AQ58" s="352">
        <f t="shared" si="19"/>
        <v>2</v>
      </c>
      <c r="AR58" s="60">
        <f t="shared" si="21"/>
        <v>7</v>
      </c>
    </row>
    <row r="59" spans="1:44" x14ac:dyDescent="0.2">
      <c r="A59" s="304"/>
      <c r="B59" s="64"/>
      <c r="C59" s="304"/>
      <c r="D59" s="304"/>
      <c r="E59" s="304"/>
      <c r="F59" s="64"/>
      <c r="G59" s="64"/>
      <c r="H59" s="6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69"/>
      <c r="T59" s="304"/>
      <c r="AD59" s="60" t="s">
        <v>84</v>
      </c>
      <c r="AE59" s="352">
        <v>0</v>
      </c>
      <c r="AF59" s="352">
        <f>10</f>
        <v>10</v>
      </c>
      <c r="AG59" s="450">
        <f>2+1</f>
        <v>3</v>
      </c>
      <c r="AH59" s="450">
        <f>2</f>
        <v>2</v>
      </c>
      <c r="AI59" s="352">
        <v>0</v>
      </c>
      <c r="AJ59" s="353">
        <f>SUM(AE59:AI59)</f>
        <v>15</v>
      </c>
      <c r="AL59" s="60" t="s">
        <v>91</v>
      </c>
      <c r="AM59" s="352">
        <f t="shared" si="20"/>
        <v>0</v>
      </c>
      <c r="AN59" s="352">
        <f t="shared" si="19"/>
        <v>19</v>
      </c>
      <c r="AO59" s="352">
        <f t="shared" si="19"/>
        <v>3</v>
      </c>
      <c r="AP59" s="352">
        <f t="shared" si="19"/>
        <v>2</v>
      </c>
      <c r="AQ59" s="352">
        <f t="shared" si="19"/>
        <v>0</v>
      </c>
      <c r="AR59" s="60">
        <f t="shared" si="21"/>
        <v>24</v>
      </c>
    </row>
    <row r="60" spans="1:44" x14ac:dyDescent="0.2">
      <c r="A60" s="304"/>
      <c r="B60" s="64"/>
      <c r="C60" s="304"/>
      <c r="D60" s="304"/>
      <c r="E60" s="304"/>
      <c r="F60" s="64"/>
      <c r="G60" s="64"/>
      <c r="H60" s="6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69"/>
      <c r="T60" s="304"/>
      <c r="AD60" s="60" t="s">
        <v>85</v>
      </c>
      <c r="AE60" s="352">
        <v>0</v>
      </c>
      <c r="AF60" s="352">
        <f>7+3+4</f>
        <v>14</v>
      </c>
      <c r="AG60" s="352">
        <f>5+3</f>
        <v>8</v>
      </c>
      <c r="AH60" s="352">
        <v>0</v>
      </c>
      <c r="AI60" s="352">
        <f>3+2</f>
        <v>5</v>
      </c>
      <c r="AJ60" s="60">
        <f t="shared" ref="AJ60:AJ70" si="22">SUM(AE60:AI60)</f>
        <v>27</v>
      </c>
      <c r="AL60" s="60" t="s">
        <v>92</v>
      </c>
      <c r="AM60" s="352">
        <f t="shared" si="20"/>
        <v>0</v>
      </c>
      <c r="AN60" s="352">
        <f t="shared" si="19"/>
        <v>7</v>
      </c>
      <c r="AO60" s="352">
        <f t="shared" si="19"/>
        <v>16</v>
      </c>
      <c r="AP60" s="352">
        <f t="shared" si="19"/>
        <v>0</v>
      </c>
      <c r="AQ60" s="352">
        <f t="shared" si="19"/>
        <v>0</v>
      </c>
      <c r="AR60" s="60">
        <f t="shared" si="21"/>
        <v>23</v>
      </c>
    </row>
    <row r="61" spans="1:44" x14ac:dyDescent="0.2">
      <c r="A61" s="304"/>
      <c r="B61" s="64"/>
      <c r="C61" s="304"/>
      <c r="D61" s="304"/>
      <c r="E61" s="304"/>
      <c r="F61" s="64"/>
      <c r="G61" s="64"/>
      <c r="H61" s="6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69"/>
      <c r="T61" s="304"/>
      <c r="AD61" s="60" t="s">
        <v>86</v>
      </c>
      <c r="AE61" s="352">
        <v>0</v>
      </c>
      <c r="AF61" s="352">
        <v>0</v>
      </c>
      <c r="AG61" s="350">
        <f>4+1</f>
        <v>5</v>
      </c>
      <c r="AH61" s="352">
        <v>0</v>
      </c>
      <c r="AI61" s="352">
        <f>3</f>
        <v>3</v>
      </c>
      <c r="AJ61" s="60">
        <f t="shared" si="22"/>
        <v>8</v>
      </c>
      <c r="AL61" s="60" t="s">
        <v>93</v>
      </c>
      <c r="AM61" s="352">
        <f t="shared" si="20"/>
        <v>0</v>
      </c>
      <c r="AN61" s="352">
        <f t="shared" si="19"/>
        <v>2</v>
      </c>
      <c r="AO61" s="352">
        <f t="shared" si="19"/>
        <v>3</v>
      </c>
      <c r="AP61" s="352">
        <f t="shared" si="19"/>
        <v>8</v>
      </c>
      <c r="AQ61" s="352">
        <f t="shared" si="19"/>
        <v>0</v>
      </c>
      <c r="AR61" s="60">
        <f t="shared" si="21"/>
        <v>13</v>
      </c>
    </row>
    <row r="62" spans="1:44" x14ac:dyDescent="0.2">
      <c r="A62" s="304"/>
      <c r="B62" s="65"/>
      <c r="C62" s="304"/>
      <c r="D62" s="304"/>
      <c r="E62" s="304"/>
      <c r="F62" s="64"/>
      <c r="G62" s="64"/>
      <c r="H62" s="6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69"/>
      <c r="T62" s="304"/>
      <c r="AD62" s="60" t="s">
        <v>87</v>
      </c>
      <c r="AE62" s="352">
        <v>0</v>
      </c>
      <c r="AF62" s="451">
        <f>10+7+8</f>
        <v>25</v>
      </c>
      <c r="AG62" s="352">
        <f>5+4+8+14+3</f>
        <v>34</v>
      </c>
      <c r="AH62" s="352">
        <f>3+8+9</f>
        <v>20</v>
      </c>
      <c r="AI62" s="352">
        <v>0</v>
      </c>
      <c r="AJ62" s="60">
        <f t="shared" si="22"/>
        <v>79</v>
      </c>
      <c r="AL62" s="60" t="s">
        <v>94</v>
      </c>
      <c r="AM62" s="352">
        <f t="shared" si="20"/>
        <v>1</v>
      </c>
      <c r="AN62" s="352">
        <f t="shared" si="19"/>
        <v>4</v>
      </c>
      <c r="AO62" s="352">
        <f t="shared" si="19"/>
        <v>3</v>
      </c>
      <c r="AP62" s="352">
        <f t="shared" si="19"/>
        <v>9</v>
      </c>
      <c r="AQ62" s="352">
        <f t="shared" si="19"/>
        <v>0</v>
      </c>
      <c r="AR62" s="60">
        <f t="shared" si="21"/>
        <v>17</v>
      </c>
    </row>
    <row r="63" spans="1:44" x14ac:dyDescent="0.2">
      <c r="A63" s="304"/>
      <c r="B63" s="65"/>
      <c r="C63" s="304"/>
      <c r="D63" s="304"/>
      <c r="E63" s="304"/>
      <c r="F63" s="64"/>
      <c r="G63" s="64"/>
      <c r="H63" s="6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69"/>
      <c r="T63" s="304"/>
      <c r="AD63" s="60" t="s">
        <v>88</v>
      </c>
      <c r="AE63" s="352">
        <v>0</v>
      </c>
      <c r="AF63" s="352">
        <v>0</v>
      </c>
      <c r="AG63" s="352">
        <f>2+3+1+8+1+1</f>
        <v>16</v>
      </c>
      <c r="AH63" s="352">
        <f>1</f>
        <v>1</v>
      </c>
      <c r="AI63" s="352">
        <v>0</v>
      </c>
      <c r="AJ63" s="60">
        <f t="shared" si="22"/>
        <v>17</v>
      </c>
      <c r="AL63" s="358" t="s">
        <v>508</v>
      </c>
      <c r="AM63" s="352">
        <f t="shared" si="20"/>
        <v>0</v>
      </c>
      <c r="AN63" s="352">
        <f t="shared" si="19"/>
        <v>1</v>
      </c>
      <c r="AO63" s="352">
        <f t="shared" si="19"/>
        <v>3</v>
      </c>
      <c r="AP63" s="352">
        <f t="shared" si="19"/>
        <v>0</v>
      </c>
      <c r="AQ63" s="352">
        <f t="shared" si="19"/>
        <v>0</v>
      </c>
      <c r="AR63" s="358">
        <f t="shared" si="21"/>
        <v>4</v>
      </c>
    </row>
    <row r="64" spans="1:44" x14ac:dyDescent="0.2">
      <c r="A64" s="304"/>
      <c r="B64" s="65"/>
      <c r="C64" s="304"/>
      <c r="D64" s="304"/>
      <c r="E64" s="304"/>
      <c r="F64" s="64"/>
      <c r="G64" s="64"/>
      <c r="H64" s="6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69"/>
      <c r="T64" s="304"/>
      <c r="AD64" s="60" t="s">
        <v>89</v>
      </c>
      <c r="AE64" s="352">
        <v>0</v>
      </c>
      <c r="AF64" s="352">
        <f>7+7+2</f>
        <v>16</v>
      </c>
      <c r="AG64" s="352">
        <f>1</f>
        <v>1</v>
      </c>
      <c r="AH64" s="352">
        <f>1</f>
        <v>1</v>
      </c>
      <c r="AI64" s="352">
        <v>0</v>
      </c>
      <c r="AJ64" s="60">
        <f t="shared" si="22"/>
        <v>18</v>
      </c>
      <c r="AL64" s="328" t="s">
        <v>537</v>
      </c>
      <c r="AM64" s="360">
        <f t="shared" ref="AM64:AR64" si="23">SUM(AM52:AM63)</f>
        <v>4</v>
      </c>
      <c r="AN64" s="360">
        <f t="shared" si="23"/>
        <v>100</v>
      </c>
      <c r="AO64" s="360">
        <f t="shared" si="23"/>
        <v>96</v>
      </c>
      <c r="AP64" s="360">
        <f t="shared" si="23"/>
        <v>46</v>
      </c>
      <c r="AQ64" s="360">
        <f t="shared" si="23"/>
        <v>10</v>
      </c>
      <c r="AR64" s="361">
        <f t="shared" si="23"/>
        <v>256</v>
      </c>
    </row>
    <row r="65" spans="1:44" x14ac:dyDescent="0.2">
      <c r="A65" s="304"/>
      <c r="B65" s="64"/>
      <c r="C65" s="304"/>
      <c r="D65" s="304"/>
      <c r="M65" s="304"/>
      <c r="N65" s="304"/>
      <c r="O65" s="304"/>
      <c r="P65" s="304"/>
      <c r="R65" s="304"/>
      <c r="S65" s="369"/>
      <c r="T65" s="304"/>
      <c r="AD65" s="60" t="s">
        <v>90</v>
      </c>
      <c r="AE65" s="352">
        <v>0</v>
      </c>
      <c r="AF65" s="350">
        <v>0</v>
      </c>
      <c r="AG65" s="350">
        <f>1</f>
        <v>1</v>
      </c>
      <c r="AH65" s="352">
        <f>3</f>
        <v>3</v>
      </c>
      <c r="AI65" s="352">
        <f>2</f>
        <v>2</v>
      </c>
      <c r="AJ65" s="60">
        <f t="shared" si="22"/>
        <v>6</v>
      </c>
      <c r="AL65" s="328" t="s">
        <v>536</v>
      </c>
      <c r="AM65" s="362">
        <f>PRODUCT(AM64*AN42)</f>
        <v>60</v>
      </c>
      <c r="AN65" s="452">
        <f>PRODUCT(AN64*AN43)</f>
        <v>1636.89</v>
      </c>
      <c r="AO65" s="452">
        <f>PRODUCT(AO64*AN44)</f>
        <v>1607.6831999999999</v>
      </c>
      <c r="AP65" s="452">
        <f>PRODUCT(AP64*AN45)</f>
        <v>776.78360000000009</v>
      </c>
      <c r="AQ65" s="452">
        <f>PRODUCT(AQ64*AN46)</f>
        <v>170</v>
      </c>
      <c r="AR65" s="453">
        <f>SUM(AM65:AQ65)</f>
        <v>4251.3567999999996</v>
      </c>
    </row>
    <row r="66" spans="1:44" x14ac:dyDescent="0.2">
      <c r="A66" s="304"/>
      <c r="B66" s="64"/>
      <c r="C66" s="304"/>
      <c r="D66" s="304"/>
      <c r="M66" s="304"/>
      <c r="N66" s="304"/>
      <c r="O66" s="304"/>
      <c r="P66" s="304"/>
      <c r="R66" s="304"/>
      <c r="S66" s="369"/>
      <c r="T66" s="304"/>
      <c r="AD66" s="60" t="s">
        <v>91</v>
      </c>
      <c r="AE66" s="352">
        <v>0</v>
      </c>
      <c r="AF66" s="350">
        <f>3+8+2+3+2+1</f>
        <v>19</v>
      </c>
      <c r="AG66" s="352">
        <f>1+2</f>
        <v>3</v>
      </c>
      <c r="AH66" s="352">
        <f>2</f>
        <v>2</v>
      </c>
      <c r="AI66" s="352">
        <v>0</v>
      </c>
      <c r="AJ66" s="60">
        <f t="shared" si="22"/>
        <v>24</v>
      </c>
      <c r="AL66" s="328" t="s">
        <v>583</v>
      </c>
      <c r="AM66" s="362">
        <f>AM64*AM42</f>
        <v>400</v>
      </c>
      <c r="AN66" s="362">
        <f>AN64*AM43</f>
        <v>15000</v>
      </c>
      <c r="AO66" s="362">
        <f>AO64*AM44</f>
        <v>19200</v>
      </c>
      <c r="AP66" s="362">
        <f>AP64*AM45</f>
        <v>11500</v>
      </c>
      <c r="AQ66" s="362">
        <f>AQ64*AM46</f>
        <v>3000</v>
      </c>
      <c r="AR66" s="328">
        <f>SUM(AM66:AQ66)</f>
        <v>49100</v>
      </c>
    </row>
    <row r="67" spans="1:44" x14ac:dyDescent="0.2">
      <c r="A67" s="304"/>
      <c r="B67" s="64"/>
      <c r="C67" s="304"/>
      <c r="D67" s="304"/>
      <c r="M67" s="304"/>
      <c r="N67" s="304"/>
      <c r="O67" s="304"/>
      <c r="P67" s="304"/>
      <c r="R67" s="304"/>
      <c r="S67" s="369"/>
      <c r="T67" s="304"/>
      <c r="AD67" s="60" t="s">
        <v>92</v>
      </c>
      <c r="AE67" s="352">
        <v>0</v>
      </c>
      <c r="AF67" s="350">
        <f>4+3</f>
        <v>7</v>
      </c>
      <c r="AG67" s="352">
        <f>14+2</f>
        <v>16</v>
      </c>
      <c r="AH67" s="352">
        <v>0</v>
      </c>
      <c r="AI67" s="352">
        <v>0</v>
      </c>
      <c r="AJ67" s="60">
        <f t="shared" si="22"/>
        <v>23</v>
      </c>
      <c r="AM67" s="459"/>
      <c r="AN67" s="350"/>
      <c r="AO67" s="350"/>
      <c r="AP67" s="352"/>
      <c r="AQ67" s="352"/>
      <c r="AR67" s="352"/>
    </row>
    <row r="68" spans="1:44" x14ac:dyDescent="0.2">
      <c r="A68" s="304"/>
      <c r="B68" s="64"/>
      <c r="C68" s="304"/>
      <c r="D68" s="304"/>
      <c r="E68" s="304"/>
      <c r="F68" s="64"/>
      <c r="G68" s="64"/>
      <c r="H68" s="6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69"/>
      <c r="T68" s="304"/>
      <c r="AD68" s="60" t="s">
        <v>93</v>
      </c>
      <c r="AE68" s="352">
        <v>0</v>
      </c>
      <c r="AF68" s="350">
        <v>0</v>
      </c>
      <c r="AG68" s="352">
        <f>2+1</f>
        <v>3</v>
      </c>
      <c r="AH68" s="352">
        <f>8</f>
        <v>8</v>
      </c>
      <c r="AI68" s="352">
        <v>0</v>
      </c>
      <c r="AJ68" s="60">
        <f t="shared" si="22"/>
        <v>11</v>
      </c>
      <c r="AM68" s="459"/>
      <c r="AN68" s="352"/>
      <c r="AO68" s="352"/>
      <c r="AP68" s="352"/>
      <c r="AQ68" s="352"/>
      <c r="AR68" s="352"/>
    </row>
    <row r="69" spans="1:44" ht="15" x14ac:dyDescent="0.25">
      <c r="B69" s="64"/>
      <c r="C69" s="304"/>
      <c r="D69" s="304"/>
      <c r="E69" s="304"/>
      <c r="F69" s="64"/>
      <c r="G69" s="64"/>
      <c r="H69" s="6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69"/>
      <c r="T69" s="304"/>
      <c r="V69" s="58"/>
      <c r="W69" s="58"/>
      <c r="AD69" s="60" t="s">
        <v>94</v>
      </c>
      <c r="AE69" s="352">
        <v>0</v>
      </c>
      <c r="AF69" s="451">
        <f>2</f>
        <v>2</v>
      </c>
      <c r="AG69" s="352">
        <f>2+1</f>
        <v>3</v>
      </c>
      <c r="AH69" s="352">
        <f>9</f>
        <v>9</v>
      </c>
      <c r="AI69" s="352"/>
      <c r="AJ69" s="60">
        <f t="shared" si="22"/>
        <v>14</v>
      </c>
      <c r="AL69" s="438">
        <f>AJ51+AJ71</f>
        <v>256</v>
      </c>
      <c r="AM69" s="459"/>
      <c r="AN69" s="352"/>
      <c r="AO69" s="350"/>
      <c r="AP69" s="352"/>
      <c r="AQ69" s="352"/>
      <c r="AR69" s="352"/>
    </row>
    <row r="70" spans="1:44" ht="15" x14ac:dyDescent="0.25">
      <c r="B70" s="64"/>
      <c r="C70" s="304"/>
      <c r="D70" s="304"/>
      <c r="E70" s="304"/>
      <c r="F70" s="64"/>
      <c r="G70" s="64"/>
      <c r="H70" s="64"/>
      <c r="I70" s="304"/>
      <c r="J70" s="304"/>
      <c r="K70" s="304"/>
      <c r="L70" s="304"/>
      <c r="M70" s="304"/>
      <c r="N70" s="304"/>
      <c r="O70" s="304"/>
      <c r="P70" s="304"/>
      <c r="Q70" s="304"/>
      <c r="R70" s="304"/>
      <c r="S70" s="369"/>
      <c r="T70" s="304"/>
      <c r="V70" s="58"/>
      <c r="W70" s="58"/>
      <c r="AD70" s="358" t="s">
        <v>508</v>
      </c>
      <c r="AE70" s="352">
        <v>0</v>
      </c>
      <c r="AF70" s="359">
        <f>1</f>
        <v>1</v>
      </c>
      <c r="AG70" s="359">
        <f>3</f>
        <v>3</v>
      </c>
      <c r="AH70" s="359">
        <v>0</v>
      </c>
      <c r="AI70" s="352">
        <v>0</v>
      </c>
      <c r="AJ70" s="358">
        <f t="shared" si="22"/>
        <v>4</v>
      </c>
      <c r="AL70" s="550">
        <f>AJ52+AJ72</f>
        <v>4251.3568000000005</v>
      </c>
      <c r="AM70" s="459"/>
      <c r="AN70" s="352"/>
      <c r="AO70" s="350"/>
      <c r="AP70" s="352"/>
      <c r="AQ70" s="352"/>
      <c r="AR70" s="352"/>
    </row>
    <row r="71" spans="1:44" x14ac:dyDescent="0.2">
      <c r="B71" s="64"/>
      <c r="C71" s="304"/>
      <c r="D71" s="304"/>
      <c r="E71" s="304"/>
      <c r="F71" s="64"/>
      <c r="G71" s="64"/>
      <c r="H71" s="6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69"/>
      <c r="T71" s="304"/>
      <c r="V71" s="58"/>
      <c r="W71" s="58"/>
      <c r="AD71" s="328" t="s">
        <v>537</v>
      </c>
      <c r="AE71" s="360">
        <f t="shared" ref="AE71:AJ71" si="24">SUM(AE59:AE70)</f>
        <v>0</v>
      </c>
      <c r="AF71" s="360">
        <f t="shared" si="24"/>
        <v>94</v>
      </c>
      <c r="AG71" s="360">
        <f t="shared" si="24"/>
        <v>96</v>
      </c>
      <c r="AH71" s="360">
        <f t="shared" si="24"/>
        <v>46</v>
      </c>
      <c r="AI71" s="360">
        <f t="shared" si="24"/>
        <v>10</v>
      </c>
      <c r="AJ71" s="361">
        <f t="shared" si="24"/>
        <v>246</v>
      </c>
      <c r="AL71" s="352">
        <f>AJ53+AJ73</f>
        <v>49100</v>
      </c>
      <c r="AM71" s="459"/>
      <c r="AN71" s="352"/>
      <c r="AO71" s="352"/>
      <c r="AP71" s="352"/>
      <c r="AQ71" s="352"/>
      <c r="AR71" s="352"/>
    </row>
    <row r="72" spans="1:44" x14ac:dyDescent="0.2">
      <c r="B72" s="64"/>
      <c r="C72" s="304"/>
      <c r="D72" s="304"/>
      <c r="E72" s="304"/>
      <c r="F72" s="64"/>
      <c r="G72" s="64"/>
      <c r="H72" s="6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69"/>
      <c r="T72" s="304"/>
      <c r="V72" s="58"/>
      <c r="W72" s="58"/>
      <c r="AD72" s="328" t="s">
        <v>536</v>
      </c>
      <c r="AE72" s="452">
        <f>PRODUCT(AE71*AN42)</f>
        <v>0</v>
      </c>
      <c r="AF72" s="452">
        <f>PRODUCT(AF71*AN43)</f>
        <v>1538.6766</v>
      </c>
      <c r="AG72" s="452">
        <f>PRODUCT(AG71*AN44)</f>
        <v>1607.6831999999999</v>
      </c>
      <c r="AH72" s="452">
        <f>PRODUCT(AH71*AN45)</f>
        <v>776.78360000000009</v>
      </c>
      <c r="AI72" s="452">
        <f>PRODUCT(AI71*AN46)</f>
        <v>170</v>
      </c>
      <c r="AJ72" s="453">
        <f>SUM(AE72:AI72)</f>
        <v>4093.1434000000004</v>
      </c>
    </row>
    <row r="73" spans="1:44" x14ac:dyDescent="0.2">
      <c r="B73" s="64"/>
      <c r="C73" s="304"/>
      <c r="D73" s="304"/>
      <c r="E73" s="304"/>
      <c r="F73" s="64"/>
      <c r="G73" s="64"/>
      <c r="H73" s="6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69"/>
      <c r="T73" s="304"/>
      <c r="V73" s="58"/>
      <c r="AD73" s="328" t="s">
        <v>583</v>
      </c>
      <c r="AE73" s="362">
        <f>AE71*AM42</f>
        <v>0</v>
      </c>
      <c r="AF73" s="362">
        <f>AF71*AM43</f>
        <v>14100</v>
      </c>
      <c r="AG73" s="362">
        <f>AG71*AM44</f>
        <v>19200</v>
      </c>
      <c r="AH73" s="362">
        <f>AH71*AM45</f>
        <v>11500</v>
      </c>
      <c r="AI73" s="362">
        <f>AI71*AM46</f>
        <v>3000</v>
      </c>
      <c r="AJ73" s="328">
        <f>SUM(AE73:AI73)</f>
        <v>47800</v>
      </c>
    </row>
    <row r="74" spans="1:44" x14ac:dyDescent="0.2">
      <c r="B74" s="64"/>
      <c r="C74" s="304"/>
      <c r="D74" s="304"/>
      <c r="E74" s="304"/>
      <c r="F74" s="64"/>
      <c r="G74" s="64"/>
      <c r="H74" s="6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69"/>
      <c r="T74" s="304"/>
      <c r="V74" s="58"/>
    </row>
    <row r="75" spans="1:44" x14ac:dyDescent="0.2">
      <c r="B75" s="64"/>
      <c r="C75" s="304"/>
      <c r="D75" s="304"/>
      <c r="E75" s="304"/>
      <c r="F75" s="64"/>
      <c r="G75" s="64"/>
      <c r="H75" s="6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69"/>
      <c r="T75" s="304"/>
    </row>
    <row r="76" spans="1:44" x14ac:dyDescent="0.2">
      <c r="B76" s="64"/>
      <c r="C76" s="304"/>
      <c r="D76" s="304"/>
      <c r="E76" s="304"/>
      <c r="F76" s="64"/>
      <c r="G76" s="64"/>
      <c r="H76" s="6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69"/>
      <c r="T76" s="304"/>
    </row>
    <row r="77" spans="1:44" x14ac:dyDescent="0.2">
      <c r="B77" s="64"/>
      <c r="C77" s="304"/>
      <c r="D77" s="304"/>
      <c r="E77" s="304"/>
      <c r="F77" s="64"/>
      <c r="G77" s="64"/>
      <c r="H77" s="6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69"/>
      <c r="T77" s="304"/>
    </row>
    <row r="78" spans="1:44" x14ac:dyDescent="0.2">
      <c r="B78" s="64"/>
      <c r="C78" s="304"/>
      <c r="D78" s="304"/>
      <c r="E78" s="304"/>
      <c r="F78" s="64"/>
      <c r="G78" s="64"/>
      <c r="H78" s="6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69"/>
      <c r="T78" s="304"/>
    </row>
    <row r="79" spans="1:44" x14ac:dyDescent="0.2">
      <c r="B79" s="64"/>
      <c r="C79" s="304"/>
      <c r="D79" s="304"/>
      <c r="E79" s="304"/>
      <c r="F79" s="64"/>
      <c r="G79" s="64"/>
      <c r="H79" s="6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69"/>
      <c r="T79" s="304"/>
    </row>
    <row r="80" spans="1:44" x14ac:dyDescent="0.2">
      <c r="B80" s="64"/>
      <c r="C80" s="304"/>
      <c r="D80" s="304"/>
      <c r="E80" s="304"/>
      <c r="F80" s="64"/>
      <c r="G80" s="64"/>
      <c r="H80" s="6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69"/>
      <c r="T80" s="304"/>
    </row>
    <row r="81" spans="2:20" x14ac:dyDescent="0.2">
      <c r="B81" s="64"/>
      <c r="C81" s="304"/>
      <c r="D81" s="304"/>
      <c r="E81" s="304"/>
      <c r="F81" s="64"/>
      <c r="G81" s="64"/>
      <c r="H81" s="6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69"/>
      <c r="T81" s="304"/>
    </row>
    <row r="82" spans="2:20" x14ac:dyDescent="0.2">
      <c r="B82" s="64"/>
      <c r="C82" s="304"/>
      <c r="D82" s="304"/>
      <c r="E82" s="304"/>
      <c r="F82" s="64"/>
      <c r="G82" s="64"/>
      <c r="H82" s="6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69"/>
      <c r="T82" s="304"/>
    </row>
    <row r="83" spans="2:20" x14ac:dyDescent="0.2">
      <c r="B83" s="64"/>
      <c r="C83" s="304"/>
      <c r="D83" s="304"/>
      <c r="E83" s="304"/>
      <c r="F83" s="64"/>
      <c r="G83" s="64"/>
      <c r="H83" s="6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69"/>
      <c r="T83" s="304"/>
    </row>
    <row r="84" spans="2:20" x14ac:dyDescent="0.2">
      <c r="B84" s="64"/>
      <c r="C84" s="304"/>
      <c r="D84" s="304"/>
      <c r="E84" s="304"/>
      <c r="F84" s="64"/>
      <c r="G84" s="64"/>
      <c r="H84" s="6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69"/>
      <c r="T84" s="304"/>
    </row>
    <row r="85" spans="2:20" x14ac:dyDescent="0.2">
      <c r="B85" s="64"/>
      <c r="C85" s="304"/>
      <c r="D85" s="304"/>
      <c r="E85" s="304"/>
      <c r="F85" s="64"/>
      <c r="G85" s="64"/>
      <c r="H85" s="6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69"/>
      <c r="T85" s="304"/>
    </row>
    <row r="86" spans="2:20" x14ac:dyDescent="0.2">
      <c r="B86" s="64"/>
      <c r="C86" s="304"/>
      <c r="D86" s="304"/>
      <c r="E86" s="304"/>
      <c r="F86" s="64"/>
      <c r="G86" s="64"/>
      <c r="H86" s="6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69"/>
      <c r="T86" s="304"/>
    </row>
    <row r="87" spans="2:20" x14ac:dyDescent="0.2">
      <c r="B87" s="64"/>
      <c r="C87" s="304"/>
      <c r="D87" s="304"/>
      <c r="E87" s="304"/>
      <c r="F87" s="64"/>
      <c r="G87" s="64"/>
      <c r="H87" s="6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69"/>
      <c r="T87" s="304"/>
    </row>
    <row r="88" spans="2:20" x14ac:dyDescent="0.2">
      <c r="B88" s="64"/>
      <c r="C88" s="304"/>
      <c r="D88" s="304"/>
      <c r="E88" s="304"/>
      <c r="F88" s="64"/>
      <c r="G88" s="64"/>
      <c r="H88" s="6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69"/>
      <c r="T88" s="304"/>
    </row>
    <row r="89" spans="2:20" x14ac:dyDescent="0.2">
      <c r="B89" s="64"/>
      <c r="C89" s="304"/>
      <c r="D89" s="304"/>
      <c r="E89" s="304"/>
      <c r="F89" s="64"/>
      <c r="G89" s="64"/>
      <c r="H89" s="6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69"/>
      <c r="T89" s="304"/>
    </row>
    <row r="90" spans="2:20" x14ac:dyDescent="0.2">
      <c r="B90" s="64"/>
      <c r="C90" s="304"/>
      <c r="D90" s="304"/>
      <c r="E90" s="304"/>
      <c r="F90" s="64"/>
      <c r="G90" s="64"/>
      <c r="H90" s="6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69"/>
      <c r="T90" s="304"/>
    </row>
    <row r="91" spans="2:20" x14ac:dyDescent="0.2">
      <c r="B91" s="64"/>
      <c r="C91" s="304"/>
      <c r="D91" s="304"/>
      <c r="E91" s="304"/>
      <c r="F91" s="64"/>
      <c r="G91" s="64"/>
      <c r="H91" s="6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69"/>
      <c r="T91" s="304"/>
    </row>
    <row r="92" spans="2:20" x14ac:dyDescent="0.2">
      <c r="B92" s="64"/>
      <c r="C92" s="304"/>
      <c r="D92" s="304"/>
      <c r="E92" s="304"/>
      <c r="F92" s="64"/>
      <c r="G92" s="64"/>
      <c r="H92" s="6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69"/>
      <c r="T92" s="304"/>
    </row>
    <row r="93" spans="2:20" x14ac:dyDescent="0.2">
      <c r="B93" s="64"/>
      <c r="C93" s="304"/>
      <c r="D93" s="304"/>
      <c r="E93" s="304"/>
      <c r="F93" s="64"/>
      <c r="G93" s="64"/>
      <c r="H93" s="6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69"/>
      <c r="T93" s="304"/>
    </row>
    <row r="94" spans="2:20" x14ac:dyDescent="0.2">
      <c r="B94" s="64"/>
      <c r="C94" s="304"/>
      <c r="D94" s="304"/>
      <c r="E94" s="304"/>
      <c r="F94" s="64"/>
      <c r="G94" s="64"/>
      <c r="H94" s="6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69"/>
      <c r="T94" s="304"/>
    </row>
    <row r="95" spans="2:20" x14ac:dyDescent="0.2">
      <c r="B95" s="64"/>
      <c r="C95" s="304"/>
      <c r="D95" s="304"/>
      <c r="E95" s="304"/>
      <c r="F95" s="64"/>
      <c r="G95" s="64"/>
      <c r="H95" s="6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69"/>
      <c r="T95" s="304"/>
    </row>
    <row r="96" spans="2:20" x14ac:dyDescent="0.2">
      <c r="B96" s="64"/>
      <c r="C96" s="304"/>
      <c r="D96" s="304"/>
      <c r="E96" s="304"/>
      <c r="F96" s="64"/>
      <c r="G96" s="64"/>
      <c r="H96" s="6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69"/>
      <c r="T96" s="304"/>
    </row>
    <row r="97" spans="2:20" x14ac:dyDescent="0.2">
      <c r="B97" s="64"/>
      <c r="C97" s="304"/>
      <c r="D97" s="304"/>
      <c r="E97" s="304"/>
      <c r="F97" s="64"/>
      <c r="G97" s="64"/>
      <c r="H97" s="64"/>
      <c r="I97" s="304"/>
      <c r="J97" s="304"/>
      <c r="K97" s="304"/>
      <c r="L97" s="304"/>
      <c r="M97" s="304"/>
      <c r="N97" s="304"/>
      <c r="O97" s="304"/>
      <c r="P97" s="304"/>
      <c r="Q97" s="304"/>
      <c r="R97" s="304"/>
      <c r="S97" s="369"/>
      <c r="T97" s="304"/>
    </row>
    <row r="98" spans="2:20" x14ac:dyDescent="0.2">
      <c r="B98" s="64"/>
      <c r="C98" s="304"/>
      <c r="D98" s="304"/>
      <c r="E98" s="304"/>
      <c r="F98" s="64"/>
      <c r="G98" s="64"/>
      <c r="H98" s="64"/>
      <c r="I98" s="304"/>
      <c r="J98" s="304"/>
      <c r="K98" s="304"/>
      <c r="L98" s="304"/>
      <c r="M98" s="304"/>
      <c r="N98" s="304"/>
      <c r="O98" s="304"/>
      <c r="P98" s="304"/>
      <c r="Q98" s="304"/>
      <c r="R98" s="304"/>
      <c r="S98" s="369"/>
      <c r="T98" s="304"/>
    </row>
    <row r="99" spans="2:20" x14ac:dyDescent="0.2">
      <c r="B99" s="64"/>
      <c r="C99" s="304"/>
      <c r="D99" s="304"/>
      <c r="E99" s="304"/>
      <c r="F99" s="64"/>
      <c r="G99" s="64"/>
      <c r="H99" s="6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69"/>
      <c r="T99" s="304"/>
    </row>
    <row r="100" spans="2:20" x14ac:dyDescent="0.2">
      <c r="B100" s="64"/>
      <c r="C100" s="304"/>
      <c r="D100" s="304"/>
      <c r="E100" s="304"/>
      <c r="F100" s="64"/>
      <c r="G100" s="64"/>
      <c r="H100" s="6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69"/>
      <c r="T100" s="304"/>
    </row>
    <row r="101" spans="2:20" x14ac:dyDescent="0.2">
      <c r="B101" s="64"/>
      <c r="C101" s="304"/>
      <c r="D101" s="304"/>
      <c r="E101" s="304"/>
      <c r="F101" s="64"/>
      <c r="G101" s="64"/>
      <c r="H101" s="6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69"/>
      <c r="T101" s="304"/>
    </row>
    <row r="102" spans="2:20" x14ac:dyDescent="0.2">
      <c r="B102" s="64"/>
      <c r="C102" s="304"/>
      <c r="D102" s="304"/>
      <c r="E102" s="304"/>
      <c r="F102" s="64"/>
      <c r="G102" s="64"/>
      <c r="H102" s="6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69"/>
      <c r="T102" s="304"/>
    </row>
    <row r="103" spans="2:20" x14ac:dyDescent="0.2">
      <c r="B103" s="64"/>
      <c r="C103" s="304"/>
      <c r="D103" s="304"/>
      <c r="E103" s="304"/>
      <c r="F103" s="64"/>
      <c r="G103" s="64"/>
      <c r="H103" s="64"/>
      <c r="I103" s="304"/>
      <c r="J103" s="304"/>
      <c r="K103" s="304"/>
      <c r="L103" s="304"/>
      <c r="M103" s="304"/>
      <c r="N103" s="304"/>
      <c r="O103" s="304"/>
      <c r="P103" s="304"/>
      <c r="Q103" s="304"/>
      <c r="R103" s="304"/>
      <c r="S103" s="369"/>
      <c r="T103" s="304"/>
    </row>
    <row r="104" spans="2:20" x14ac:dyDescent="0.2">
      <c r="B104" s="64"/>
      <c r="C104" s="304"/>
      <c r="D104" s="304"/>
      <c r="E104" s="304"/>
      <c r="F104" s="64"/>
      <c r="G104" s="64"/>
      <c r="H104" s="6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69"/>
      <c r="T104" s="304"/>
    </row>
    <row r="105" spans="2:20" x14ac:dyDescent="0.2">
      <c r="B105" s="64"/>
      <c r="C105" s="304"/>
      <c r="D105" s="304"/>
      <c r="E105" s="304"/>
      <c r="F105" s="64"/>
      <c r="G105" s="64"/>
      <c r="H105" s="6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69"/>
      <c r="T105" s="304"/>
    </row>
    <row r="106" spans="2:20" x14ac:dyDescent="0.2">
      <c r="B106" s="64"/>
      <c r="C106" s="304"/>
      <c r="D106" s="304"/>
      <c r="E106" s="304"/>
      <c r="F106" s="64"/>
      <c r="G106" s="64"/>
      <c r="H106" s="6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69"/>
      <c r="T106" s="304"/>
    </row>
    <row r="107" spans="2:20" x14ac:dyDescent="0.2">
      <c r="B107" s="64"/>
      <c r="C107" s="304"/>
      <c r="D107" s="304"/>
      <c r="E107" s="304"/>
      <c r="F107" s="64"/>
      <c r="G107" s="64"/>
      <c r="H107" s="6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69"/>
      <c r="T107" s="304"/>
    </row>
    <row r="108" spans="2:20" x14ac:dyDescent="0.2">
      <c r="B108" s="64"/>
      <c r="C108" s="304"/>
      <c r="D108" s="304"/>
      <c r="E108" s="304"/>
      <c r="F108" s="64"/>
      <c r="G108" s="64"/>
      <c r="H108" s="6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69"/>
      <c r="T108" s="304"/>
    </row>
    <row r="109" spans="2:20" x14ac:dyDescent="0.2">
      <c r="B109" s="64"/>
      <c r="C109" s="304"/>
      <c r="D109" s="304"/>
      <c r="E109" s="304"/>
      <c r="F109" s="64"/>
      <c r="G109" s="64"/>
      <c r="H109" s="6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69"/>
      <c r="T109" s="304"/>
    </row>
    <row r="110" spans="2:20" x14ac:dyDescent="0.2">
      <c r="B110" s="64"/>
      <c r="C110" s="304"/>
      <c r="D110" s="304"/>
      <c r="E110" s="304"/>
      <c r="F110" s="64"/>
      <c r="G110" s="64"/>
      <c r="H110" s="6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69"/>
      <c r="T110" s="304"/>
    </row>
    <row r="111" spans="2:20" x14ac:dyDescent="0.2">
      <c r="B111" s="64"/>
      <c r="C111" s="304"/>
      <c r="D111" s="304"/>
      <c r="E111" s="304"/>
      <c r="F111" s="64"/>
      <c r="G111" s="64"/>
      <c r="H111" s="6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69"/>
      <c r="T111" s="304"/>
    </row>
    <row r="112" spans="2:20" x14ac:dyDescent="0.2">
      <c r="B112" s="64"/>
      <c r="C112" s="304"/>
      <c r="D112" s="304"/>
      <c r="E112" s="304"/>
      <c r="F112" s="64"/>
      <c r="G112" s="64"/>
      <c r="H112" s="6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69"/>
      <c r="T112" s="304"/>
    </row>
    <row r="113" spans="1:20" x14ac:dyDescent="0.2">
      <c r="B113" s="64"/>
      <c r="C113" s="304"/>
      <c r="D113" s="304"/>
      <c r="E113" s="304"/>
      <c r="F113" s="64"/>
      <c r="G113" s="64"/>
      <c r="H113" s="64"/>
      <c r="I113" s="304"/>
      <c r="J113" s="304"/>
      <c r="K113" s="304"/>
      <c r="L113" s="304"/>
      <c r="M113" s="304"/>
      <c r="N113" s="304"/>
      <c r="O113" s="304"/>
      <c r="P113" s="304"/>
      <c r="Q113" s="304"/>
      <c r="R113" s="304"/>
      <c r="S113" s="369"/>
      <c r="T113" s="304"/>
    </row>
    <row r="114" spans="1:20" x14ac:dyDescent="0.2">
      <c r="B114" s="64"/>
      <c r="C114" s="304"/>
      <c r="D114" s="304"/>
      <c r="E114" s="304"/>
      <c r="F114" s="64"/>
      <c r="G114" s="64"/>
      <c r="H114" s="6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69"/>
      <c r="T114" s="304"/>
    </row>
    <row r="115" spans="1:20" x14ac:dyDescent="0.2">
      <c r="B115" s="64"/>
      <c r="C115" s="304"/>
      <c r="D115" s="304"/>
      <c r="E115" s="304"/>
      <c r="F115" s="64"/>
      <c r="G115" s="64"/>
      <c r="H115" s="6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69"/>
      <c r="T115" s="304"/>
    </row>
    <row r="116" spans="1:20" x14ac:dyDescent="0.2">
      <c r="B116" s="64"/>
      <c r="C116" s="304"/>
      <c r="D116" s="304"/>
      <c r="E116" s="304"/>
      <c r="F116" s="64"/>
      <c r="G116" s="64"/>
      <c r="H116" s="64"/>
      <c r="I116" s="304"/>
      <c r="J116" s="304"/>
      <c r="K116" s="304"/>
      <c r="L116" s="304"/>
      <c r="M116" s="304"/>
      <c r="N116" s="304"/>
      <c r="O116" s="304"/>
      <c r="P116" s="304"/>
      <c r="Q116" s="304"/>
      <c r="R116" s="304"/>
      <c r="S116" s="369"/>
      <c r="T116" s="304"/>
    </row>
    <row r="117" spans="1:20" x14ac:dyDescent="0.2">
      <c r="B117" s="64"/>
      <c r="C117" s="304"/>
      <c r="D117" s="304"/>
      <c r="E117" s="304"/>
      <c r="F117" s="64"/>
      <c r="G117" s="64"/>
      <c r="H117" s="64"/>
      <c r="I117" s="304"/>
      <c r="J117" s="304"/>
      <c r="K117" s="304"/>
      <c r="L117" s="304"/>
      <c r="M117" s="304"/>
      <c r="N117" s="304"/>
      <c r="O117" s="304"/>
      <c r="P117" s="304"/>
      <c r="Q117" s="304"/>
      <c r="R117" s="304"/>
      <c r="S117" s="369"/>
      <c r="T117" s="304"/>
    </row>
    <row r="118" spans="1:20" x14ac:dyDescent="0.2">
      <c r="B118" s="64"/>
      <c r="C118" s="304"/>
      <c r="D118" s="304"/>
      <c r="E118" s="304"/>
      <c r="F118" s="64"/>
      <c r="G118" s="64"/>
      <c r="H118" s="6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69"/>
      <c r="T118" s="304"/>
    </row>
    <row r="119" spans="1:20" x14ac:dyDescent="0.2">
      <c r="B119" s="64"/>
      <c r="C119" s="304"/>
      <c r="D119" s="304"/>
      <c r="E119" s="304"/>
      <c r="F119" s="64"/>
      <c r="G119" s="64"/>
      <c r="H119" s="6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69"/>
      <c r="T119" s="304"/>
    </row>
    <row r="120" spans="1:20" x14ac:dyDescent="0.2">
      <c r="B120" s="64"/>
      <c r="C120" s="304"/>
      <c r="D120" s="304"/>
      <c r="E120" s="304"/>
      <c r="F120" s="64"/>
      <c r="G120" s="64"/>
      <c r="H120" s="6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69"/>
      <c r="T120" s="304"/>
    </row>
    <row r="121" spans="1:20" x14ac:dyDescent="0.2">
      <c r="B121" s="64"/>
      <c r="C121" s="304"/>
      <c r="D121" s="304"/>
      <c r="E121" s="304"/>
      <c r="F121" s="64"/>
      <c r="G121" s="64"/>
      <c r="H121" s="6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69"/>
      <c r="T121" s="304"/>
    </row>
    <row r="122" spans="1:20" x14ac:dyDescent="0.2">
      <c r="B122" s="64"/>
      <c r="C122" s="304"/>
      <c r="D122" s="304"/>
      <c r="E122" s="304"/>
      <c r="F122" s="64"/>
      <c r="G122" s="64"/>
      <c r="H122" s="6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69"/>
      <c r="T122" s="304"/>
    </row>
    <row r="123" spans="1:20" x14ac:dyDescent="0.2">
      <c r="B123" s="64"/>
      <c r="C123" s="304"/>
      <c r="D123" s="304"/>
      <c r="E123" s="304"/>
      <c r="F123" s="64"/>
      <c r="G123" s="64"/>
      <c r="H123" s="6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69"/>
      <c r="T123" s="304"/>
    </row>
    <row r="124" spans="1:20" x14ac:dyDescent="0.2">
      <c r="A124" s="304"/>
      <c r="B124" s="64"/>
      <c r="C124" s="304"/>
      <c r="D124" s="304"/>
      <c r="E124" s="304"/>
      <c r="F124" s="64"/>
      <c r="G124" s="64"/>
      <c r="H124" s="6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69"/>
      <c r="T124" s="304"/>
    </row>
    <row r="125" spans="1:20" x14ac:dyDescent="0.2">
      <c r="A125" s="304"/>
      <c r="B125" s="64"/>
      <c r="C125" s="304"/>
      <c r="D125" s="304"/>
      <c r="E125" s="304"/>
      <c r="F125" s="64"/>
      <c r="G125" s="64"/>
      <c r="H125" s="6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69"/>
      <c r="T125" s="304"/>
    </row>
    <row r="126" spans="1:20" x14ac:dyDescent="0.2">
      <c r="A126" s="304"/>
      <c r="B126" s="64"/>
      <c r="C126" s="304"/>
      <c r="D126" s="304"/>
      <c r="E126" s="304"/>
      <c r="F126" s="64"/>
      <c r="G126" s="64"/>
      <c r="H126" s="6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69"/>
      <c r="T126" s="304"/>
    </row>
    <row r="127" spans="1:20" x14ac:dyDescent="0.2">
      <c r="A127" s="304"/>
      <c r="B127" s="64"/>
      <c r="C127" s="304"/>
      <c r="D127" s="304"/>
      <c r="E127" s="304"/>
      <c r="F127" s="64"/>
      <c r="G127" s="64"/>
      <c r="H127" s="64"/>
      <c r="I127" s="304"/>
      <c r="J127" s="304"/>
      <c r="K127" s="304"/>
      <c r="L127" s="304"/>
      <c r="M127" s="304"/>
      <c r="N127" s="304"/>
      <c r="O127" s="304"/>
      <c r="P127" s="304"/>
      <c r="Q127" s="304"/>
      <c r="R127" s="304"/>
      <c r="S127" s="369"/>
      <c r="T127" s="304"/>
    </row>
    <row r="128" spans="1:20" x14ac:dyDescent="0.2">
      <c r="A128" s="304"/>
      <c r="B128" s="64"/>
      <c r="C128" s="304"/>
      <c r="D128" s="304"/>
      <c r="E128" s="304"/>
      <c r="F128" s="64"/>
      <c r="G128" s="64"/>
      <c r="H128" s="6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69"/>
      <c r="T128" s="304"/>
    </row>
    <row r="129" spans="1:20" x14ac:dyDescent="0.2">
      <c r="A129" s="304"/>
      <c r="B129" s="64"/>
      <c r="C129" s="304"/>
      <c r="D129" s="304"/>
      <c r="E129" s="304"/>
      <c r="F129" s="64"/>
      <c r="G129" s="64"/>
      <c r="H129" s="6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69"/>
      <c r="T129" s="304"/>
    </row>
    <row r="130" spans="1:20" x14ac:dyDescent="0.2">
      <c r="A130" s="304"/>
      <c r="B130" s="64"/>
      <c r="C130" s="304"/>
      <c r="D130" s="304"/>
      <c r="E130" s="304"/>
      <c r="F130" s="64"/>
      <c r="G130" s="64"/>
      <c r="H130" s="6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69"/>
      <c r="T130" s="304"/>
    </row>
    <row r="131" spans="1:20" x14ac:dyDescent="0.2">
      <c r="A131" s="304"/>
      <c r="B131" s="64"/>
      <c r="C131" s="304"/>
      <c r="D131" s="304"/>
      <c r="E131" s="304"/>
      <c r="F131" s="64"/>
      <c r="G131" s="64"/>
      <c r="H131" s="6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69"/>
      <c r="T131" s="304"/>
    </row>
    <row r="132" spans="1:20" x14ac:dyDescent="0.2">
      <c r="A132" s="304"/>
      <c r="B132" s="64"/>
      <c r="C132" s="304"/>
      <c r="D132" s="304"/>
      <c r="E132" s="304"/>
      <c r="F132" s="64"/>
      <c r="G132" s="64"/>
      <c r="H132" s="6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69"/>
      <c r="T132" s="304"/>
    </row>
    <row r="133" spans="1:20" x14ac:dyDescent="0.2">
      <c r="A133" s="304"/>
      <c r="B133" s="64"/>
      <c r="C133" s="304"/>
      <c r="D133" s="304"/>
      <c r="E133" s="304"/>
      <c r="F133" s="64"/>
      <c r="G133" s="64"/>
      <c r="H133" s="64"/>
      <c r="I133" s="304"/>
      <c r="J133" s="304"/>
      <c r="K133" s="304"/>
      <c r="L133" s="304"/>
      <c r="M133" s="304"/>
      <c r="N133" s="304"/>
      <c r="O133" s="304"/>
      <c r="P133" s="304"/>
      <c r="Q133" s="304"/>
      <c r="R133" s="304"/>
      <c r="S133" s="369"/>
      <c r="T133" s="304"/>
    </row>
    <row r="134" spans="1:20" x14ac:dyDescent="0.2">
      <c r="A134" s="304"/>
      <c r="B134" s="64"/>
      <c r="C134" s="304"/>
      <c r="D134" s="304"/>
      <c r="E134" s="304"/>
      <c r="F134" s="64"/>
      <c r="G134" s="64"/>
      <c r="H134" s="6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69"/>
      <c r="T134" s="304"/>
    </row>
    <row r="135" spans="1:20" x14ac:dyDescent="0.2">
      <c r="A135" s="304"/>
      <c r="B135" s="64"/>
      <c r="C135" s="304"/>
      <c r="D135" s="304"/>
      <c r="E135" s="304"/>
      <c r="F135" s="64"/>
      <c r="G135" s="64"/>
      <c r="H135" s="6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69"/>
      <c r="T135" s="304"/>
    </row>
    <row r="136" spans="1:20" x14ac:dyDescent="0.2">
      <c r="A136" s="304"/>
      <c r="B136" s="64"/>
      <c r="C136" s="304"/>
      <c r="D136" s="304"/>
      <c r="E136" s="304"/>
      <c r="F136" s="64"/>
      <c r="G136" s="64"/>
      <c r="H136" s="6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69"/>
      <c r="T136" s="304"/>
    </row>
    <row r="137" spans="1:20" x14ac:dyDescent="0.2">
      <c r="A137" s="304"/>
      <c r="B137" s="64"/>
      <c r="C137" s="304"/>
      <c r="D137" s="304"/>
      <c r="E137" s="304"/>
      <c r="F137" s="64"/>
      <c r="G137" s="64"/>
      <c r="H137" s="6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69"/>
      <c r="T137" s="304"/>
    </row>
    <row r="138" spans="1:20" x14ac:dyDescent="0.2">
      <c r="A138" s="304"/>
      <c r="B138" s="64"/>
      <c r="C138" s="304"/>
      <c r="D138" s="304"/>
      <c r="E138" s="304"/>
      <c r="F138" s="64"/>
      <c r="G138" s="64"/>
      <c r="H138" s="64"/>
      <c r="I138" s="304"/>
      <c r="J138" s="304"/>
      <c r="K138" s="304"/>
      <c r="L138" s="304"/>
      <c r="M138" s="304"/>
      <c r="N138" s="304"/>
      <c r="O138" s="304"/>
      <c r="P138" s="304"/>
      <c r="Q138" s="304"/>
      <c r="R138" s="304"/>
      <c r="S138" s="369"/>
      <c r="T138" s="304"/>
    </row>
    <row r="139" spans="1:20" x14ac:dyDescent="0.2">
      <c r="A139" s="304"/>
      <c r="B139" s="64"/>
      <c r="C139" s="304"/>
      <c r="D139" s="304"/>
      <c r="E139" s="304"/>
      <c r="F139" s="64"/>
      <c r="G139" s="64"/>
      <c r="H139" s="64"/>
      <c r="I139" s="304"/>
      <c r="J139" s="304"/>
      <c r="K139" s="304"/>
      <c r="L139" s="304"/>
      <c r="M139" s="304"/>
      <c r="N139" s="304"/>
      <c r="O139" s="304"/>
      <c r="P139" s="304"/>
      <c r="Q139" s="304"/>
      <c r="R139" s="304"/>
      <c r="S139" s="369"/>
      <c r="T139" s="304"/>
    </row>
    <row r="140" spans="1:20" x14ac:dyDescent="0.2">
      <c r="A140" s="304"/>
      <c r="B140" s="64"/>
      <c r="C140" s="304"/>
      <c r="D140" s="304"/>
      <c r="E140" s="304"/>
      <c r="F140" s="64"/>
      <c r="G140" s="64"/>
      <c r="H140" s="6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69"/>
      <c r="T140" s="304"/>
    </row>
    <row r="141" spans="1:20" x14ac:dyDescent="0.2">
      <c r="A141" s="304"/>
      <c r="B141" s="64"/>
      <c r="C141" s="304"/>
      <c r="D141" s="304"/>
      <c r="E141" s="304"/>
      <c r="F141" s="64"/>
      <c r="G141" s="64"/>
      <c r="H141" s="6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69"/>
      <c r="T141" s="304"/>
    </row>
    <row r="142" spans="1:20" x14ac:dyDescent="0.2">
      <c r="A142" s="304"/>
      <c r="B142" s="64"/>
      <c r="C142" s="304"/>
      <c r="D142" s="304"/>
      <c r="E142" s="304"/>
      <c r="F142" s="64"/>
      <c r="G142" s="64"/>
      <c r="H142" s="6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69"/>
      <c r="T142" s="304"/>
    </row>
    <row r="143" spans="1:20" x14ac:dyDescent="0.2">
      <c r="A143" s="304"/>
      <c r="B143" s="64"/>
      <c r="C143" s="304"/>
      <c r="D143" s="304"/>
      <c r="E143" s="304"/>
      <c r="F143" s="64"/>
      <c r="G143" s="64"/>
      <c r="H143" s="6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69"/>
      <c r="T143" s="304"/>
    </row>
    <row r="144" spans="1:20" x14ac:dyDescent="0.2">
      <c r="A144" s="304"/>
      <c r="B144" s="64"/>
      <c r="C144" s="304"/>
      <c r="D144" s="304"/>
      <c r="E144" s="304"/>
      <c r="F144" s="64"/>
      <c r="G144" s="64"/>
      <c r="H144" s="64"/>
      <c r="I144" s="304"/>
      <c r="J144" s="304"/>
      <c r="K144" s="304"/>
      <c r="L144" s="304"/>
      <c r="M144" s="304"/>
      <c r="N144" s="304"/>
      <c r="O144" s="304"/>
      <c r="P144" s="304"/>
      <c r="Q144" s="304"/>
      <c r="R144" s="304"/>
      <c r="S144" s="369"/>
      <c r="T144" s="304"/>
    </row>
    <row r="145" spans="1:20" x14ac:dyDescent="0.2">
      <c r="A145" s="304"/>
      <c r="B145" s="64"/>
      <c r="C145" s="304"/>
      <c r="D145" s="304"/>
      <c r="E145" s="304"/>
      <c r="F145" s="64"/>
      <c r="G145" s="64"/>
      <c r="H145" s="6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69"/>
      <c r="T145" s="304"/>
    </row>
    <row r="146" spans="1:20" x14ac:dyDescent="0.2">
      <c r="A146" s="304"/>
      <c r="B146" s="64"/>
      <c r="C146" s="304"/>
      <c r="D146" s="304"/>
      <c r="E146" s="304"/>
      <c r="F146" s="64"/>
      <c r="G146" s="64"/>
      <c r="H146" s="6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69"/>
      <c r="T146" s="304"/>
    </row>
    <row r="147" spans="1:20" x14ac:dyDescent="0.2">
      <c r="A147" s="304"/>
      <c r="B147" s="64"/>
      <c r="C147" s="304"/>
      <c r="D147" s="304"/>
      <c r="E147" s="304"/>
      <c r="F147" s="64"/>
      <c r="G147" s="64"/>
      <c r="H147" s="6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69"/>
      <c r="T147" s="304"/>
    </row>
    <row r="148" spans="1:20" x14ac:dyDescent="0.2">
      <c r="A148" s="304"/>
      <c r="B148" s="64"/>
      <c r="C148" s="304"/>
      <c r="D148" s="304"/>
      <c r="E148" s="304"/>
      <c r="F148" s="64"/>
      <c r="G148" s="64"/>
      <c r="H148" s="6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69"/>
      <c r="T148" s="304"/>
    </row>
    <row r="149" spans="1:20" x14ac:dyDescent="0.2">
      <c r="A149" s="304"/>
      <c r="B149" s="64"/>
      <c r="C149" s="304"/>
      <c r="D149" s="304"/>
      <c r="E149" s="304"/>
      <c r="F149" s="64"/>
      <c r="G149" s="64"/>
      <c r="H149" s="6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69"/>
      <c r="T149" s="304"/>
    </row>
    <row r="150" spans="1:20" x14ac:dyDescent="0.2">
      <c r="A150" s="304"/>
      <c r="B150" s="64"/>
      <c r="C150" s="304"/>
      <c r="D150" s="304"/>
      <c r="E150" s="304"/>
      <c r="F150" s="64"/>
      <c r="G150" s="64"/>
      <c r="H150" s="6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69"/>
      <c r="T150" s="304"/>
    </row>
    <row r="151" spans="1:20" x14ac:dyDescent="0.2">
      <c r="A151" s="304"/>
      <c r="B151" s="64"/>
      <c r="C151" s="304"/>
      <c r="D151" s="304"/>
      <c r="E151" s="304"/>
      <c r="F151" s="64"/>
      <c r="G151" s="64"/>
      <c r="H151" s="6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69"/>
      <c r="T151" s="304"/>
    </row>
    <row r="152" spans="1:20" x14ac:dyDescent="0.2">
      <c r="A152" s="304"/>
      <c r="B152" s="64"/>
      <c r="C152" s="304"/>
      <c r="D152" s="304"/>
      <c r="E152" s="304"/>
      <c r="F152" s="64"/>
      <c r="G152" s="64"/>
      <c r="H152" s="6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69"/>
      <c r="T152" s="304"/>
    </row>
    <row r="153" spans="1:20" x14ac:dyDescent="0.2">
      <c r="A153" s="304"/>
      <c r="B153" s="64"/>
      <c r="C153" s="304"/>
      <c r="D153" s="304"/>
      <c r="E153" s="304"/>
      <c r="F153" s="64"/>
      <c r="G153" s="64"/>
      <c r="H153" s="6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69"/>
      <c r="T153" s="304"/>
    </row>
    <row r="154" spans="1:20" x14ac:dyDescent="0.2">
      <c r="A154" s="304"/>
      <c r="B154" s="64"/>
      <c r="C154" s="304"/>
      <c r="D154" s="304"/>
      <c r="E154" s="304"/>
      <c r="F154" s="64"/>
      <c r="G154" s="64"/>
      <c r="H154" s="64"/>
      <c r="I154" s="304"/>
      <c r="J154" s="304"/>
      <c r="K154" s="304"/>
      <c r="L154" s="304"/>
      <c r="M154" s="304"/>
      <c r="N154" s="304"/>
      <c r="O154" s="304"/>
      <c r="P154" s="304"/>
      <c r="Q154" s="304"/>
      <c r="R154" s="304"/>
      <c r="S154" s="369"/>
      <c r="T154" s="304"/>
    </row>
    <row r="155" spans="1:20" x14ac:dyDescent="0.2">
      <c r="A155" s="304"/>
      <c r="B155" s="64"/>
      <c r="C155" s="304"/>
      <c r="D155" s="304"/>
      <c r="E155" s="304"/>
      <c r="F155" s="64"/>
      <c r="G155" s="64"/>
      <c r="H155" s="6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69"/>
      <c r="T155" s="304"/>
    </row>
    <row r="156" spans="1:20" x14ac:dyDescent="0.2">
      <c r="A156" s="304"/>
      <c r="B156" s="64"/>
      <c r="C156" s="304"/>
      <c r="D156" s="304"/>
      <c r="E156" s="304"/>
      <c r="F156" s="64"/>
      <c r="G156" s="64"/>
      <c r="H156" s="6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69"/>
      <c r="T156" s="304"/>
    </row>
    <row r="157" spans="1:20" x14ac:dyDescent="0.2">
      <c r="A157" s="304"/>
      <c r="B157" s="64"/>
      <c r="C157" s="304"/>
      <c r="D157" s="304"/>
      <c r="E157" s="304"/>
      <c r="F157" s="64"/>
      <c r="G157" s="64"/>
      <c r="H157" s="6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69"/>
      <c r="T157" s="304"/>
    </row>
    <row r="158" spans="1:20" x14ac:dyDescent="0.2">
      <c r="A158" s="304"/>
      <c r="B158" s="64"/>
      <c r="C158" s="304"/>
      <c r="D158" s="304"/>
      <c r="E158" s="304"/>
      <c r="F158" s="64"/>
      <c r="G158" s="64"/>
      <c r="H158" s="6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69"/>
      <c r="T158" s="304"/>
    </row>
    <row r="159" spans="1:20" x14ac:dyDescent="0.2">
      <c r="A159" s="304"/>
      <c r="B159" s="64"/>
      <c r="C159" s="304"/>
      <c r="D159" s="304"/>
      <c r="E159" s="304"/>
      <c r="F159" s="64"/>
      <c r="G159" s="64"/>
      <c r="H159" s="64"/>
      <c r="I159" s="304"/>
      <c r="J159" s="304"/>
      <c r="K159" s="304"/>
      <c r="L159" s="304"/>
      <c r="M159" s="304"/>
      <c r="N159" s="304"/>
      <c r="O159" s="304"/>
      <c r="P159" s="304"/>
      <c r="Q159" s="304"/>
      <c r="R159" s="304"/>
      <c r="S159" s="369"/>
      <c r="T159" s="304"/>
    </row>
    <row r="160" spans="1:20" x14ac:dyDescent="0.2">
      <c r="A160" s="304"/>
      <c r="B160" s="64"/>
      <c r="C160" s="304"/>
      <c r="D160" s="304"/>
      <c r="E160" s="304"/>
      <c r="F160" s="64"/>
      <c r="G160" s="64"/>
      <c r="H160" s="64"/>
      <c r="I160" s="304"/>
      <c r="J160" s="304"/>
      <c r="K160" s="304"/>
      <c r="L160" s="304"/>
      <c r="M160" s="304"/>
      <c r="N160" s="304"/>
      <c r="O160" s="304"/>
      <c r="P160" s="304"/>
      <c r="Q160" s="304"/>
      <c r="R160" s="304"/>
      <c r="S160" s="369"/>
      <c r="T160" s="304"/>
    </row>
    <row r="161" spans="1:20" x14ac:dyDescent="0.2">
      <c r="A161" s="304"/>
      <c r="B161" s="64"/>
      <c r="C161" s="304"/>
      <c r="D161" s="304"/>
      <c r="E161" s="304"/>
      <c r="F161" s="64"/>
      <c r="G161" s="64"/>
      <c r="H161" s="6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69"/>
      <c r="T161" s="304"/>
    </row>
    <row r="162" spans="1:20" x14ac:dyDescent="0.2">
      <c r="A162" s="304"/>
      <c r="B162" s="64"/>
      <c r="C162" s="304"/>
      <c r="D162" s="304"/>
      <c r="E162" s="304"/>
      <c r="F162" s="64"/>
      <c r="G162" s="64"/>
      <c r="H162" s="6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69"/>
      <c r="T162" s="304"/>
    </row>
    <row r="163" spans="1:20" x14ac:dyDescent="0.2">
      <c r="A163" s="304"/>
      <c r="B163" s="64"/>
      <c r="C163" s="304"/>
      <c r="D163" s="304"/>
      <c r="E163" s="304"/>
      <c r="F163" s="64"/>
      <c r="G163" s="64"/>
      <c r="H163" s="6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69"/>
      <c r="T163" s="304"/>
    </row>
    <row r="164" spans="1:20" x14ac:dyDescent="0.2">
      <c r="A164" s="304"/>
      <c r="B164" s="64"/>
      <c r="C164" s="304"/>
      <c r="D164" s="304"/>
      <c r="E164" s="304"/>
      <c r="F164" s="64"/>
      <c r="G164" s="64"/>
      <c r="H164" s="6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69"/>
      <c r="T164" s="304"/>
    </row>
    <row r="165" spans="1:20" x14ac:dyDescent="0.2">
      <c r="A165" s="304"/>
      <c r="B165" s="64"/>
      <c r="C165" s="304"/>
      <c r="D165" s="304"/>
      <c r="E165" s="304"/>
      <c r="F165" s="64"/>
      <c r="G165" s="64"/>
      <c r="H165" s="64"/>
      <c r="I165" s="304"/>
      <c r="J165" s="304"/>
      <c r="K165" s="304"/>
      <c r="L165" s="304"/>
      <c r="M165" s="304"/>
      <c r="N165" s="304"/>
      <c r="O165" s="304"/>
      <c r="P165" s="304"/>
      <c r="Q165" s="304"/>
      <c r="R165" s="304"/>
      <c r="S165" s="369"/>
      <c r="T165" s="304"/>
    </row>
    <row r="166" spans="1:20" x14ac:dyDescent="0.2">
      <c r="A166" s="304"/>
      <c r="B166" s="64"/>
      <c r="C166" s="304"/>
      <c r="D166" s="304"/>
      <c r="E166" s="304"/>
      <c r="F166" s="64"/>
      <c r="G166" s="64"/>
      <c r="H166" s="64"/>
      <c r="I166" s="304"/>
      <c r="J166" s="304"/>
      <c r="K166" s="304"/>
      <c r="L166" s="304"/>
      <c r="M166" s="304"/>
      <c r="N166" s="304"/>
      <c r="O166" s="304"/>
      <c r="P166" s="304"/>
      <c r="Q166" s="304"/>
      <c r="R166" s="304"/>
      <c r="S166" s="369"/>
      <c r="T166" s="304"/>
    </row>
    <row r="167" spans="1:20" x14ac:dyDescent="0.2">
      <c r="A167" s="304"/>
      <c r="B167" s="64"/>
      <c r="C167" s="304"/>
      <c r="D167" s="304"/>
      <c r="E167" s="304"/>
      <c r="F167" s="64"/>
      <c r="G167" s="64"/>
      <c r="H167" s="6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69"/>
      <c r="T167" s="304"/>
    </row>
    <row r="168" spans="1:20" x14ac:dyDescent="0.2">
      <c r="A168" s="304"/>
      <c r="B168" s="64"/>
      <c r="C168" s="304"/>
      <c r="D168" s="304"/>
      <c r="E168" s="304"/>
      <c r="F168" s="64"/>
      <c r="G168" s="64"/>
      <c r="H168" s="6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69"/>
      <c r="T168" s="304"/>
    </row>
    <row r="169" spans="1:20" x14ac:dyDescent="0.2">
      <c r="A169" s="304"/>
      <c r="B169" s="64"/>
      <c r="C169" s="304"/>
      <c r="D169" s="304"/>
      <c r="E169" s="304"/>
      <c r="F169" s="64"/>
      <c r="G169" s="64"/>
      <c r="H169" s="6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69"/>
      <c r="T169" s="304"/>
    </row>
    <row r="170" spans="1:20" x14ac:dyDescent="0.2">
      <c r="A170" s="304"/>
      <c r="B170" s="64"/>
      <c r="C170" s="304"/>
      <c r="D170" s="304"/>
      <c r="E170" s="304"/>
      <c r="F170" s="64"/>
      <c r="G170" s="64"/>
      <c r="H170" s="6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69"/>
      <c r="T170" s="304"/>
    </row>
    <row r="171" spans="1:20" x14ac:dyDescent="0.2">
      <c r="A171" s="304"/>
      <c r="B171" s="64"/>
      <c r="C171" s="304"/>
      <c r="D171" s="304"/>
      <c r="E171" s="304"/>
      <c r="F171" s="64"/>
      <c r="G171" s="64"/>
      <c r="H171" s="64"/>
      <c r="I171" s="304"/>
      <c r="J171" s="304"/>
      <c r="K171" s="304"/>
      <c r="L171" s="304"/>
      <c r="M171" s="304"/>
      <c r="N171" s="304"/>
      <c r="O171" s="304"/>
      <c r="P171" s="304"/>
      <c r="Q171" s="304"/>
      <c r="R171" s="304"/>
      <c r="S171" s="369"/>
      <c r="T171" s="304"/>
    </row>
    <row r="172" spans="1:20" x14ac:dyDescent="0.2">
      <c r="A172" s="304"/>
      <c r="B172" s="64"/>
      <c r="C172" s="304"/>
      <c r="D172" s="304"/>
      <c r="E172" s="304"/>
      <c r="F172" s="64"/>
      <c r="G172" s="64"/>
      <c r="H172" s="64"/>
      <c r="I172" s="304"/>
      <c r="J172" s="304"/>
      <c r="K172" s="304"/>
      <c r="L172" s="304"/>
      <c r="M172" s="304"/>
      <c r="N172" s="304"/>
      <c r="O172" s="304"/>
      <c r="P172" s="304"/>
      <c r="Q172" s="304"/>
      <c r="R172" s="304"/>
      <c r="S172" s="369"/>
      <c r="T172" s="304"/>
    </row>
    <row r="173" spans="1:20" x14ac:dyDescent="0.2">
      <c r="A173" s="304"/>
      <c r="B173" s="64"/>
      <c r="C173" s="304"/>
      <c r="D173" s="304"/>
      <c r="E173" s="304"/>
      <c r="F173" s="64"/>
      <c r="G173" s="64"/>
      <c r="H173" s="6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69"/>
      <c r="T173" s="304"/>
    </row>
    <row r="174" spans="1:20" x14ac:dyDescent="0.2">
      <c r="A174" s="304"/>
      <c r="B174" s="64"/>
      <c r="C174" s="304"/>
      <c r="D174" s="304"/>
      <c r="E174" s="304"/>
      <c r="F174" s="64"/>
      <c r="G174" s="64"/>
      <c r="H174" s="6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69"/>
      <c r="T174" s="304"/>
    </row>
    <row r="175" spans="1:20" x14ac:dyDescent="0.2">
      <c r="A175" s="304"/>
      <c r="B175" s="64"/>
      <c r="C175" s="304"/>
      <c r="D175" s="304"/>
      <c r="E175" s="304"/>
      <c r="F175" s="64"/>
      <c r="G175" s="64"/>
      <c r="H175" s="6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69"/>
      <c r="T175" s="304"/>
    </row>
    <row r="176" spans="1:20" x14ac:dyDescent="0.2">
      <c r="A176" s="304"/>
      <c r="B176" s="64"/>
      <c r="C176" s="304"/>
      <c r="D176" s="304"/>
      <c r="E176" s="304"/>
      <c r="F176" s="64"/>
      <c r="G176" s="64"/>
      <c r="H176" s="6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69"/>
      <c r="T176" s="304"/>
    </row>
    <row r="177" spans="1:20" x14ac:dyDescent="0.2">
      <c r="A177" s="304"/>
      <c r="B177" s="64"/>
      <c r="C177" s="304"/>
      <c r="D177" s="304"/>
      <c r="E177" s="304"/>
      <c r="F177" s="64"/>
      <c r="G177" s="64"/>
      <c r="H177" s="64"/>
      <c r="I177" s="304"/>
      <c r="J177" s="304"/>
      <c r="K177" s="304"/>
      <c r="L177" s="304"/>
      <c r="M177" s="304"/>
      <c r="N177" s="304"/>
      <c r="O177" s="304"/>
      <c r="P177" s="304"/>
      <c r="Q177" s="304"/>
      <c r="R177" s="304"/>
      <c r="S177" s="369"/>
      <c r="T177" s="304"/>
    </row>
    <row r="178" spans="1:20" x14ac:dyDescent="0.2">
      <c r="A178" s="304"/>
      <c r="B178" s="64"/>
      <c r="C178" s="304"/>
      <c r="D178" s="304"/>
      <c r="E178" s="304"/>
      <c r="F178" s="64"/>
      <c r="G178" s="64"/>
      <c r="H178" s="6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  <c r="S178" s="369"/>
      <c r="T178" s="304"/>
    </row>
    <row r="179" spans="1:20" x14ac:dyDescent="0.2">
      <c r="A179" s="304"/>
      <c r="B179" s="64"/>
      <c r="C179" s="304"/>
      <c r="D179" s="304"/>
      <c r="E179" s="304"/>
      <c r="F179" s="64"/>
      <c r="G179" s="64"/>
      <c r="H179" s="6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4"/>
      <c r="S179" s="369"/>
      <c r="T179" s="304"/>
    </row>
  </sheetData>
  <dataConsolidate/>
  <mergeCells count="30">
    <mergeCell ref="AL50:AQ50"/>
    <mergeCell ref="AD57:AI57"/>
    <mergeCell ref="C1:I1"/>
    <mergeCell ref="K1:R1"/>
    <mergeCell ref="A4:A5"/>
    <mergeCell ref="A6:A8"/>
    <mergeCell ref="A9:A13"/>
    <mergeCell ref="AI17:AJ17"/>
    <mergeCell ref="Z19:AB19"/>
    <mergeCell ref="AB20:AC20"/>
    <mergeCell ref="AD20:AE20"/>
    <mergeCell ref="A21:A24"/>
    <mergeCell ref="V24:W24"/>
    <mergeCell ref="A15:A20"/>
    <mergeCell ref="AD37:AI37"/>
    <mergeCell ref="A39:A40"/>
    <mergeCell ref="A41:A43"/>
    <mergeCell ref="A45:A48"/>
    <mergeCell ref="A26:A27"/>
    <mergeCell ref="S26:S27"/>
    <mergeCell ref="T26:T27"/>
    <mergeCell ref="A28:A32"/>
    <mergeCell ref="S28:S32"/>
    <mergeCell ref="T28:T32"/>
    <mergeCell ref="A49:A50"/>
    <mergeCell ref="A51:A52"/>
    <mergeCell ref="A53:A54"/>
    <mergeCell ref="A55:A56"/>
    <mergeCell ref="A33:A35"/>
    <mergeCell ref="A36:A37"/>
  </mergeCells>
  <conditionalFormatting sqref="Q3:Q56">
    <cfRule type="cellIs" dxfId="55" priority="9" operator="lessThan">
      <formula>0</formula>
    </cfRule>
  </conditionalFormatting>
  <conditionalFormatting sqref="R3:R56">
    <cfRule type="containsText" dxfId="54" priority="8" operator="containsText" text="Yes">
      <formula>NOT(ISERROR(SEARCH("Yes",R3)))</formula>
    </cfRule>
  </conditionalFormatting>
  <conditionalFormatting sqref="M3:M56">
    <cfRule type="expression" dxfId="53" priority="7">
      <formula>(M3&lt;F3)</formula>
    </cfRule>
  </conditionalFormatting>
  <conditionalFormatting sqref="AE39:AJ50">
    <cfRule type="cellIs" dxfId="52" priority="6" operator="greaterThan">
      <formula>0</formula>
    </cfRule>
  </conditionalFormatting>
  <conditionalFormatting sqref="AN67:AR71">
    <cfRule type="cellIs" dxfId="51" priority="5" operator="greaterThan">
      <formula>0</formula>
    </cfRule>
  </conditionalFormatting>
  <conditionalFormatting sqref="AM52:AR63">
    <cfRule type="cellIs" dxfId="50" priority="4" operator="greaterThan">
      <formula>0</formula>
    </cfRule>
  </conditionalFormatting>
  <conditionalFormatting sqref="AJ59:AJ70">
    <cfRule type="cellIs" dxfId="49" priority="3" operator="greaterThan">
      <formula>0</formula>
    </cfRule>
  </conditionalFormatting>
  <conditionalFormatting sqref="AF59:AI70">
    <cfRule type="cellIs" dxfId="48" priority="2" operator="greaterThan">
      <formula>0</formula>
    </cfRule>
  </conditionalFormatting>
  <conditionalFormatting sqref="AE59:AE70">
    <cfRule type="cellIs" dxfId="47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9"/>
  <sheetViews>
    <sheetView topLeftCell="X36" zoomScale="120" zoomScaleNormal="120" workbookViewId="0">
      <selection activeCell="AD57" sqref="AD57:AJ73"/>
    </sheetView>
  </sheetViews>
  <sheetFormatPr defaultColWidth="9" defaultRowHeight="12.75" x14ac:dyDescent="0.2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33.8554687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16384" width="9" style="5"/>
  </cols>
  <sheetData>
    <row r="1" spans="1:31" ht="14.25" customHeight="1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9"/>
      <c r="J1" s="366"/>
      <c r="K1" s="465" t="s">
        <v>451</v>
      </c>
      <c r="L1" s="466"/>
      <c r="M1" s="466"/>
      <c r="N1" s="466"/>
      <c r="O1" s="466"/>
      <c r="P1" s="466"/>
      <c r="Q1" s="466"/>
      <c r="R1" s="520"/>
      <c r="S1" s="7"/>
      <c r="T1" s="7"/>
    </row>
    <row r="2" spans="1:31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90" t="s">
        <v>33</v>
      </c>
      <c r="F2" s="190" t="s">
        <v>447</v>
      </c>
      <c r="G2" s="190" t="s">
        <v>459</v>
      </c>
      <c r="H2" s="190" t="s">
        <v>461</v>
      </c>
      <c r="I2" s="189" t="s">
        <v>444</v>
      </c>
      <c r="J2" s="251" t="s">
        <v>458</v>
      </c>
      <c r="K2" s="188" t="s">
        <v>446</v>
      </c>
      <c r="L2" s="188" t="s">
        <v>34</v>
      </c>
      <c r="M2" s="188" t="s">
        <v>33</v>
      </c>
      <c r="N2" s="187" t="s">
        <v>445</v>
      </c>
      <c r="O2" s="186" t="s">
        <v>459</v>
      </c>
      <c r="P2" s="186" t="s">
        <v>461</v>
      </c>
      <c r="Q2" s="186" t="s">
        <v>444</v>
      </c>
      <c r="R2" s="241" t="s">
        <v>457</v>
      </c>
      <c r="S2" s="369"/>
      <c r="T2" s="304"/>
    </row>
    <row r="3" spans="1:31" ht="13.5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179">
        <v>400</v>
      </c>
      <c r="F3" s="179">
        <v>131.95400000000001</v>
      </c>
      <c r="G3" s="85">
        <v>2</v>
      </c>
      <c r="H3" s="179">
        <f>G3*F3</f>
        <v>263.90800000000002</v>
      </c>
      <c r="I3" s="178">
        <f t="shared" ref="I3:I13" si="0">E3-F3</f>
        <v>268.04599999999999</v>
      </c>
      <c r="J3" s="179">
        <f>H3/E3*100</f>
        <v>65.977000000000004</v>
      </c>
      <c r="K3" s="177" t="s">
        <v>435</v>
      </c>
      <c r="L3" s="177">
        <v>598.85</v>
      </c>
      <c r="M3" s="177">
        <v>300</v>
      </c>
      <c r="N3" s="176">
        <f t="shared" ref="N3:N13" si="1">F3</f>
        <v>131.95400000000001</v>
      </c>
      <c r="O3" s="101">
        <v>2</v>
      </c>
      <c r="P3" s="240">
        <f>O3*N3</f>
        <v>263.90800000000002</v>
      </c>
      <c r="Q3" s="280">
        <f>M3-P3</f>
        <v>36.091999999999985</v>
      </c>
      <c r="R3" s="176" t="str">
        <f t="shared" ref="R3:R9" si="2">IF(Q3&gt;=0,"No","Yes")</f>
        <v>No</v>
      </c>
      <c r="S3" s="369"/>
      <c r="T3" s="369"/>
    </row>
    <row r="4" spans="1:31" ht="13.5" thickBot="1" x14ac:dyDescent="0.25">
      <c r="A4" s="480" t="s">
        <v>44</v>
      </c>
      <c r="B4" s="174" t="s">
        <v>3</v>
      </c>
      <c r="C4" s="173" t="s">
        <v>44</v>
      </c>
      <c r="D4" s="172">
        <v>424.31</v>
      </c>
      <c r="E4" s="172">
        <v>200</v>
      </c>
      <c r="F4" s="172">
        <v>79.758499999999998</v>
      </c>
      <c r="G4" s="269">
        <v>2</v>
      </c>
      <c r="H4" s="179">
        <f t="shared" ref="H4:H56" si="3">G4*F4</f>
        <v>159.517</v>
      </c>
      <c r="I4" s="171">
        <f t="shared" si="0"/>
        <v>120.2415</v>
      </c>
      <c r="J4" s="179">
        <f t="shared" ref="J4:J13" si="4">H4/E4*100</f>
        <v>79.758499999999998</v>
      </c>
      <c r="K4" s="170" t="s">
        <v>434</v>
      </c>
      <c r="L4" s="170">
        <v>561.44000000000005</v>
      </c>
      <c r="M4" s="170">
        <v>150</v>
      </c>
      <c r="N4" s="169">
        <f t="shared" si="1"/>
        <v>79.758499999999998</v>
      </c>
      <c r="O4" s="273">
        <v>2</v>
      </c>
      <c r="P4" s="240">
        <f t="shared" ref="P4:P56" si="5">O4*N4</f>
        <v>159.517</v>
      </c>
      <c r="Q4" s="280">
        <f t="shared" ref="Q4:Q13" si="6">M4-P4</f>
        <v>-9.5169999999999959</v>
      </c>
      <c r="R4" s="177" t="str">
        <f t="shared" si="2"/>
        <v>Yes</v>
      </c>
      <c r="S4" s="369"/>
      <c r="T4" s="369"/>
    </row>
    <row r="5" spans="1:31" ht="14.25" customHeight="1" thickBot="1" x14ac:dyDescent="0.25">
      <c r="A5" s="464"/>
      <c r="B5" s="63" t="s">
        <v>25</v>
      </c>
      <c r="C5" s="116" t="s">
        <v>65</v>
      </c>
      <c r="D5" s="95">
        <v>645.40499999999997</v>
      </c>
      <c r="E5" s="95">
        <v>300</v>
      </c>
      <c r="F5" s="94">
        <v>101.52370000000001</v>
      </c>
      <c r="G5" s="271">
        <v>2</v>
      </c>
      <c r="H5" s="179">
        <f t="shared" si="3"/>
        <v>203.04740000000001</v>
      </c>
      <c r="I5" s="94">
        <f t="shared" si="0"/>
        <v>198.47629999999998</v>
      </c>
      <c r="J5" s="179">
        <f t="shared" si="4"/>
        <v>67.68246666666667</v>
      </c>
      <c r="K5" s="93" t="s">
        <v>429</v>
      </c>
      <c r="L5" s="93">
        <v>691.82</v>
      </c>
      <c r="M5" s="93">
        <v>300</v>
      </c>
      <c r="N5" s="92">
        <f t="shared" si="1"/>
        <v>101.52370000000001</v>
      </c>
      <c r="O5" s="274">
        <v>2</v>
      </c>
      <c r="P5" s="240">
        <f t="shared" si="5"/>
        <v>203.04740000000001</v>
      </c>
      <c r="Q5" s="280">
        <f t="shared" si="6"/>
        <v>96.95259999999999</v>
      </c>
      <c r="R5" s="177" t="str">
        <f t="shared" si="2"/>
        <v>No</v>
      </c>
      <c r="S5" s="367" t="s">
        <v>440</v>
      </c>
      <c r="T5" s="367" t="s">
        <v>456</v>
      </c>
    </row>
    <row r="6" spans="1:31" ht="13.5" thickBot="1" x14ac:dyDescent="0.25">
      <c r="A6" s="462" t="s">
        <v>433</v>
      </c>
      <c r="B6" s="87" t="s">
        <v>432</v>
      </c>
      <c r="C6" s="86" t="s">
        <v>392</v>
      </c>
      <c r="D6" s="85">
        <v>774.56</v>
      </c>
      <c r="E6" s="85">
        <v>1500</v>
      </c>
      <c r="F6" s="85">
        <v>593.39</v>
      </c>
      <c r="G6" s="269">
        <v>2</v>
      </c>
      <c r="H6" s="179">
        <f t="shared" si="3"/>
        <v>1186.78</v>
      </c>
      <c r="I6" s="84">
        <f t="shared" si="0"/>
        <v>906.61</v>
      </c>
      <c r="J6" s="179">
        <f t="shared" si="4"/>
        <v>79.118666666666655</v>
      </c>
      <c r="K6" s="83" t="s">
        <v>431</v>
      </c>
      <c r="L6" s="83">
        <v>778.62</v>
      </c>
      <c r="M6" s="83">
        <v>1500</v>
      </c>
      <c r="N6" s="82">
        <f t="shared" si="1"/>
        <v>593.39</v>
      </c>
      <c r="O6" s="273">
        <v>2</v>
      </c>
      <c r="P6" s="240">
        <f t="shared" si="5"/>
        <v>1186.78</v>
      </c>
      <c r="Q6" s="280">
        <f t="shared" si="6"/>
        <v>313.22000000000003</v>
      </c>
      <c r="R6" s="177" t="str">
        <f t="shared" si="2"/>
        <v>No</v>
      </c>
      <c r="S6" s="213"/>
      <c r="T6" s="212"/>
    </row>
    <row r="7" spans="1:31" ht="14.25" customHeight="1" thickBot="1" x14ac:dyDescent="0.25">
      <c r="A7" s="464"/>
      <c r="B7" s="97" t="s">
        <v>4</v>
      </c>
      <c r="C7" s="96" t="s">
        <v>45</v>
      </c>
      <c r="D7" s="110">
        <v>221.095</v>
      </c>
      <c r="E7" s="110">
        <v>500</v>
      </c>
      <c r="F7" s="110">
        <v>165.54</v>
      </c>
      <c r="G7" s="271">
        <v>2</v>
      </c>
      <c r="H7" s="179">
        <f t="shared" si="3"/>
        <v>331.08</v>
      </c>
      <c r="I7" s="109">
        <f t="shared" si="0"/>
        <v>334.46000000000004</v>
      </c>
      <c r="J7" s="179">
        <f t="shared" si="4"/>
        <v>66.215999999999994</v>
      </c>
      <c r="K7" s="108" t="s">
        <v>430</v>
      </c>
      <c r="L7" s="108">
        <v>904.18</v>
      </c>
      <c r="M7" s="108">
        <v>300</v>
      </c>
      <c r="N7" s="107">
        <f t="shared" si="1"/>
        <v>165.54</v>
      </c>
      <c r="O7" s="274">
        <v>2</v>
      </c>
      <c r="P7" s="240">
        <f t="shared" si="5"/>
        <v>331.08</v>
      </c>
      <c r="Q7" s="280">
        <f t="shared" si="6"/>
        <v>-31.079999999999984</v>
      </c>
      <c r="R7" s="291" t="str">
        <f t="shared" si="2"/>
        <v>Yes</v>
      </c>
      <c r="S7" s="250" t="s">
        <v>351</v>
      </c>
      <c r="T7" s="234" t="s">
        <v>351</v>
      </c>
    </row>
    <row r="8" spans="1:31" ht="14.25" customHeight="1" thickBot="1" x14ac:dyDescent="0.25">
      <c r="A8" s="464"/>
      <c r="B8" s="97" t="s">
        <v>25</v>
      </c>
      <c r="C8" s="96" t="s">
        <v>65</v>
      </c>
      <c r="D8" s="95">
        <v>645.40499999999997</v>
      </c>
      <c r="E8" s="95">
        <v>300</v>
      </c>
      <c r="F8" s="95">
        <v>101.52370000000001</v>
      </c>
      <c r="G8" s="271">
        <v>2</v>
      </c>
      <c r="H8" s="179">
        <f t="shared" si="3"/>
        <v>203.04740000000001</v>
      </c>
      <c r="I8" s="94">
        <f t="shared" si="0"/>
        <v>198.47629999999998</v>
      </c>
      <c r="J8" s="179">
        <f t="shared" si="4"/>
        <v>67.68246666666667</v>
      </c>
      <c r="K8" s="93" t="s">
        <v>429</v>
      </c>
      <c r="L8" s="93">
        <v>691.82</v>
      </c>
      <c r="M8" s="93">
        <v>300</v>
      </c>
      <c r="N8" s="92">
        <f t="shared" si="1"/>
        <v>101.52370000000001</v>
      </c>
      <c r="O8" s="274">
        <v>2</v>
      </c>
      <c r="P8" s="240">
        <f t="shared" si="5"/>
        <v>203.04740000000001</v>
      </c>
      <c r="Q8" s="280">
        <f t="shared" si="6"/>
        <v>96.95259999999999</v>
      </c>
      <c r="R8" s="177" t="str">
        <f t="shared" si="2"/>
        <v>No</v>
      </c>
      <c r="S8" s="249"/>
      <c r="T8" s="234"/>
    </row>
    <row r="9" spans="1:31" ht="13.5" thickBot="1" x14ac:dyDescent="0.25">
      <c r="A9" s="462" t="s">
        <v>46</v>
      </c>
      <c r="B9" s="87" t="s">
        <v>5</v>
      </c>
      <c r="C9" s="86" t="s">
        <v>46</v>
      </c>
      <c r="D9" s="85">
        <v>87.444999999999993</v>
      </c>
      <c r="E9" s="85">
        <v>900</v>
      </c>
      <c r="F9" s="85">
        <v>330.03719999999998</v>
      </c>
      <c r="G9" s="269">
        <v>2</v>
      </c>
      <c r="H9" s="179">
        <f t="shared" si="3"/>
        <v>660.07439999999997</v>
      </c>
      <c r="I9" s="84">
        <f t="shared" si="0"/>
        <v>569.96280000000002</v>
      </c>
      <c r="J9" s="179">
        <f t="shared" si="4"/>
        <v>73.3416</v>
      </c>
      <c r="K9" s="83" t="s">
        <v>428</v>
      </c>
      <c r="L9" s="83">
        <v>243.73500000000001</v>
      </c>
      <c r="M9" s="83">
        <v>750</v>
      </c>
      <c r="N9" s="82">
        <f t="shared" si="1"/>
        <v>330.03719999999998</v>
      </c>
      <c r="O9" s="273">
        <v>2</v>
      </c>
      <c r="P9" s="240">
        <f t="shared" si="5"/>
        <v>660.07439999999997</v>
      </c>
      <c r="Q9" s="280">
        <f t="shared" si="6"/>
        <v>89.925600000000031</v>
      </c>
      <c r="R9" s="176" t="str">
        <f t="shared" si="2"/>
        <v>No</v>
      </c>
      <c r="S9" s="229"/>
      <c r="T9" s="229"/>
      <c r="U9" s="242"/>
    </row>
    <row r="10" spans="1:31" ht="14.25" customHeight="1" thickBot="1" x14ac:dyDescent="0.25">
      <c r="A10" s="464"/>
      <c r="B10" s="97" t="s">
        <v>7</v>
      </c>
      <c r="C10" s="96" t="s">
        <v>48</v>
      </c>
      <c r="D10" s="110">
        <v>457.755</v>
      </c>
      <c r="E10" s="110">
        <v>600</v>
      </c>
      <c r="F10" s="110">
        <v>200.11</v>
      </c>
      <c r="G10" s="271">
        <v>2</v>
      </c>
      <c r="H10" s="179">
        <f t="shared" si="3"/>
        <v>400.22</v>
      </c>
      <c r="I10" s="109">
        <f t="shared" si="0"/>
        <v>399.89</v>
      </c>
      <c r="J10" s="179">
        <f t="shared" si="4"/>
        <v>66.703333333333333</v>
      </c>
      <c r="K10" s="108" t="s">
        <v>427</v>
      </c>
      <c r="L10" s="108">
        <v>614.06500000000005</v>
      </c>
      <c r="M10" s="108">
        <v>450</v>
      </c>
      <c r="N10" s="107">
        <f t="shared" si="1"/>
        <v>200.11</v>
      </c>
      <c r="O10" s="274">
        <v>2</v>
      </c>
      <c r="P10" s="240">
        <f t="shared" si="5"/>
        <v>400.22</v>
      </c>
      <c r="Q10" s="280">
        <f t="shared" si="6"/>
        <v>49.779999999999973</v>
      </c>
      <c r="R10" s="248" t="s">
        <v>467</v>
      </c>
      <c r="S10" s="369"/>
      <c r="T10" s="369"/>
      <c r="U10" s="242"/>
    </row>
    <row r="11" spans="1:31" ht="14.25" customHeight="1" thickBot="1" x14ac:dyDescent="0.25">
      <c r="A11" s="464"/>
      <c r="B11" s="97" t="s">
        <v>8</v>
      </c>
      <c r="C11" s="96" t="s">
        <v>74</v>
      </c>
      <c r="D11" s="110">
        <v>632.29</v>
      </c>
      <c r="E11" s="110">
        <v>1050</v>
      </c>
      <c r="F11" s="110">
        <v>416.14780000000002</v>
      </c>
      <c r="G11" s="271">
        <v>2</v>
      </c>
      <c r="H11" s="179">
        <f t="shared" si="3"/>
        <v>832.29560000000004</v>
      </c>
      <c r="I11" s="109">
        <f t="shared" si="0"/>
        <v>633.85220000000004</v>
      </c>
      <c r="J11" s="179">
        <f t="shared" si="4"/>
        <v>79.266247619047618</v>
      </c>
      <c r="K11" s="108" t="s">
        <v>426</v>
      </c>
      <c r="L11" s="108">
        <v>692.19500000000005</v>
      </c>
      <c r="M11" s="108">
        <v>1050</v>
      </c>
      <c r="N11" s="107">
        <f t="shared" si="1"/>
        <v>416.14780000000002</v>
      </c>
      <c r="O11" s="274">
        <v>2</v>
      </c>
      <c r="P11" s="240">
        <f t="shared" si="5"/>
        <v>832.29560000000004</v>
      </c>
      <c r="Q11" s="280">
        <f t="shared" si="6"/>
        <v>217.70439999999996</v>
      </c>
      <c r="R11" s="176" t="str">
        <f>IF(Q11&gt;=0,"No","Yes")</f>
        <v>No</v>
      </c>
      <c r="S11" s="369"/>
      <c r="T11" s="369"/>
      <c r="U11" s="242"/>
    </row>
    <row r="12" spans="1:31" ht="14.25" customHeight="1" thickBot="1" x14ac:dyDescent="0.25">
      <c r="A12" s="464"/>
      <c r="B12" s="97" t="s">
        <v>12</v>
      </c>
      <c r="C12" s="96" t="s">
        <v>52</v>
      </c>
      <c r="D12" s="110">
        <v>428.91</v>
      </c>
      <c r="E12" s="110">
        <v>800</v>
      </c>
      <c r="F12" s="110">
        <v>320.77999999999997</v>
      </c>
      <c r="G12" s="271">
        <v>2</v>
      </c>
      <c r="H12" s="179">
        <f t="shared" si="3"/>
        <v>641.55999999999995</v>
      </c>
      <c r="I12" s="109">
        <f t="shared" si="0"/>
        <v>479.22</v>
      </c>
      <c r="J12" s="179">
        <f t="shared" si="4"/>
        <v>80.194999999999993</v>
      </c>
      <c r="K12" s="108" t="s">
        <v>420</v>
      </c>
      <c r="L12" s="108">
        <v>440.09</v>
      </c>
      <c r="M12" s="108">
        <v>800</v>
      </c>
      <c r="N12" s="107">
        <f t="shared" si="1"/>
        <v>320.77999999999997</v>
      </c>
      <c r="O12" s="274">
        <v>2</v>
      </c>
      <c r="P12" s="240">
        <f t="shared" si="5"/>
        <v>641.55999999999995</v>
      </c>
      <c r="Q12" s="280">
        <f t="shared" si="6"/>
        <v>158.44000000000005</v>
      </c>
      <c r="R12" s="176" t="str">
        <f>IF(Q12&gt;=0,"No","Yes")</f>
        <v>No</v>
      </c>
      <c r="S12" s="369"/>
      <c r="T12" s="369"/>
      <c r="U12" s="242"/>
    </row>
    <row r="13" spans="1:31" ht="14.25" customHeight="1" thickBot="1" x14ac:dyDescent="0.25">
      <c r="A13" s="464"/>
      <c r="B13" s="97" t="s">
        <v>396</v>
      </c>
      <c r="C13" s="96" t="s">
        <v>63</v>
      </c>
      <c r="D13" s="95">
        <v>530.30999999999995</v>
      </c>
      <c r="E13" s="95">
        <v>200</v>
      </c>
      <c r="F13" s="95">
        <v>22.35</v>
      </c>
      <c r="G13" s="270">
        <v>2</v>
      </c>
      <c r="H13" s="179">
        <f t="shared" si="3"/>
        <v>44.7</v>
      </c>
      <c r="I13" s="94">
        <f t="shared" si="0"/>
        <v>177.65</v>
      </c>
      <c r="J13" s="179">
        <f t="shared" si="4"/>
        <v>22.35</v>
      </c>
      <c r="K13" s="93" t="s">
        <v>418</v>
      </c>
      <c r="L13" s="93">
        <v>541.49</v>
      </c>
      <c r="M13" s="93">
        <v>150</v>
      </c>
      <c r="N13" s="92">
        <f t="shared" si="1"/>
        <v>22.35</v>
      </c>
      <c r="O13" s="275">
        <v>2</v>
      </c>
      <c r="P13" s="240">
        <f t="shared" si="5"/>
        <v>44.7</v>
      </c>
      <c r="Q13" s="280">
        <f t="shared" si="6"/>
        <v>105.3</v>
      </c>
      <c r="R13" s="176" t="str">
        <f>IF(Q13&gt;=0,"No","Yes")</f>
        <v>No</v>
      </c>
      <c r="S13" s="369"/>
      <c r="T13" s="369"/>
      <c r="U13" s="242"/>
    </row>
    <row r="14" spans="1:31" ht="13.5" thickBot="1" x14ac:dyDescent="0.25">
      <c r="A14" s="365" t="s">
        <v>426</v>
      </c>
      <c r="B14" s="87" t="s">
        <v>351</v>
      </c>
      <c r="C14" s="157"/>
      <c r="D14" s="85"/>
      <c r="E14" s="85"/>
      <c r="F14" s="85"/>
      <c r="G14" s="95">
        <v>2</v>
      </c>
      <c r="H14" s="179">
        <f t="shared" si="3"/>
        <v>0</v>
      </c>
      <c r="I14" s="84"/>
      <c r="J14" s="179"/>
      <c r="K14" s="83"/>
      <c r="L14" s="83"/>
      <c r="M14" s="83"/>
      <c r="N14" s="82"/>
      <c r="O14" s="91">
        <v>2</v>
      </c>
      <c r="P14" s="240">
        <f t="shared" si="5"/>
        <v>0</v>
      </c>
      <c r="Q14" s="81"/>
      <c r="R14" s="82"/>
      <c r="S14" s="369"/>
      <c r="T14" s="369"/>
      <c r="U14" s="242"/>
      <c r="Z14" s="367"/>
      <c r="AA14" s="367"/>
      <c r="AB14" s="367"/>
      <c r="AC14" s="369"/>
      <c r="AD14" s="369"/>
      <c r="AE14" s="369"/>
    </row>
    <row r="15" spans="1:31" ht="13.5" thickBot="1" x14ac:dyDescent="0.25">
      <c r="A15" s="462" t="s">
        <v>49</v>
      </c>
      <c r="B15" s="87" t="s">
        <v>425</v>
      </c>
      <c r="C15" s="86" t="s">
        <v>47</v>
      </c>
      <c r="D15" s="85">
        <v>341.36500000000001</v>
      </c>
      <c r="E15" s="85">
        <v>1000</v>
      </c>
      <c r="F15" s="85">
        <v>414.50749999999999</v>
      </c>
      <c r="G15" s="269">
        <v>2</v>
      </c>
      <c r="H15" s="179">
        <f t="shared" si="3"/>
        <v>829.01499999999999</v>
      </c>
      <c r="I15" s="84">
        <f t="shared" ref="I15:I24" si="7">E15-F15</f>
        <v>585.49250000000006</v>
      </c>
      <c r="J15" s="85">
        <f>H15/E15*100</f>
        <v>82.901499999999999</v>
      </c>
      <c r="K15" s="83" t="s">
        <v>424</v>
      </c>
      <c r="L15" s="83">
        <v>527.53499999999997</v>
      </c>
      <c r="M15" s="83">
        <v>1000</v>
      </c>
      <c r="N15" s="82">
        <f t="shared" ref="N15:N24" si="8">F15</f>
        <v>414.50749999999999</v>
      </c>
      <c r="O15" s="273">
        <v>2</v>
      </c>
      <c r="P15" s="240">
        <f t="shared" si="5"/>
        <v>829.01499999999999</v>
      </c>
      <c r="Q15" s="199">
        <f>M15-P15</f>
        <v>170.98500000000001</v>
      </c>
      <c r="R15" s="82" t="str">
        <f t="shared" ref="R15:R24" si="9">IF(Q15&gt;=0,"No","Yes")</f>
        <v>No</v>
      </c>
      <c r="S15" s="369"/>
      <c r="T15" s="369"/>
      <c r="U15" s="242"/>
      <c r="Z15" s="369"/>
      <c r="AA15" s="369"/>
      <c r="AB15" s="367"/>
      <c r="AC15" s="367"/>
      <c r="AD15" s="367"/>
      <c r="AE15" s="367"/>
    </row>
    <row r="16" spans="1:31" ht="14.25" customHeight="1" thickBot="1" x14ac:dyDescent="0.25">
      <c r="A16" s="464"/>
      <c r="B16" s="97" t="s">
        <v>9</v>
      </c>
      <c r="C16" s="96" t="s">
        <v>423</v>
      </c>
      <c r="D16" s="110">
        <v>72.555000000000007</v>
      </c>
      <c r="E16" s="110">
        <v>600</v>
      </c>
      <c r="F16" s="110">
        <v>249.06020000000001</v>
      </c>
      <c r="G16" s="271">
        <v>2</v>
      </c>
      <c r="H16" s="179">
        <f t="shared" si="3"/>
        <v>498.12040000000002</v>
      </c>
      <c r="I16" s="109">
        <f t="shared" si="7"/>
        <v>350.93979999999999</v>
      </c>
      <c r="J16" s="85">
        <f t="shared" ref="J16:J24" si="10">H16/E16*100</f>
        <v>83.020066666666665</v>
      </c>
      <c r="K16" s="108" t="s">
        <v>422</v>
      </c>
      <c r="L16" s="108">
        <v>258.625</v>
      </c>
      <c r="M16" s="108">
        <v>500</v>
      </c>
      <c r="N16" s="107">
        <f t="shared" si="8"/>
        <v>249.06020000000001</v>
      </c>
      <c r="O16" s="274">
        <v>2</v>
      </c>
      <c r="P16" s="240">
        <f t="shared" si="5"/>
        <v>498.12040000000002</v>
      </c>
      <c r="Q16" s="199">
        <f t="shared" ref="Q16:Q24" si="11">M16-P16</f>
        <v>1.8795999999999822</v>
      </c>
      <c r="R16" s="82" t="str">
        <f t="shared" si="9"/>
        <v>No</v>
      </c>
      <c r="S16" s="369"/>
      <c r="T16" s="369"/>
      <c r="U16" s="242"/>
      <c r="Z16" s="367"/>
      <c r="AA16" s="367"/>
      <c r="AB16" s="367"/>
      <c r="AC16" s="367"/>
      <c r="AD16" s="367"/>
      <c r="AE16" s="367"/>
    </row>
    <row r="17" spans="1:37" ht="14.25" customHeight="1" thickBot="1" x14ac:dyDescent="0.25">
      <c r="A17" s="464"/>
      <c r="B17" s="97" t="s">
        <v>10</v>
      </c>
      <c r="C17" s="96" t="s">
        <v>386</v>
      </c>
      <c r="D17" s="110">
        <v>894.93</v>
      </c>
      <c r="E17" s="110">
        <v>450</v>
      </c>
      <c r="F17" s="110">
        <v>185.4342</v>
      </c>
      <c r="G17" s="271">
        <v>2</v>
      </c>
      <c r="H17" s="179">
        <f t="shared" si="3"/>
        <v>370.86840000000001</v>
      </c>
      <c r="I17" s="109">
        <f t="shared" si="7"/>
        <v>264.56579999999997</v>
      </c>
      <c r="J17" s="85">
        <f t="shared" si="10"/>
        <v>82.415199999999999</v>
      </c>
      <c r="K17" s="108" t="s">
        <v>385</v>
      </c>
      <c r="L17" s="108">
        <v>975.03499999999997</v>
      </c>
      <c r="M17" s="108">
        <v>450</v>
      </c>
      <c r="N17" s="107">
        <f t="shared" si="8"/>
        <v>185.4342</v>
      </c>
      <c r="O17" s="274">
        <v>2</v>
      </c>
      <c r="P17" s="240">
        <f t="shared" si="5"/>
        <v>370.86840000000001</v>
      </c>
      <c r="Q17" s="199">
        <f t="shared" si="11"/>
        <v>79.131599999999992</v>
      </c>
      <c r="R17" s="82" t="str">
        <f t="shared" si="9"/>
        <v>No</v>
      </c>
      <c r="S17" s="369"/>
      <c r="T17" s="369"/>
      <c r="U17" s="242"/>
      <c r="Z17" s="369"/>
      <c r="AA17" s="369"/>
      <c r="AB17" s="369"/>
      <c r="AC17" s="369"/>
      <c r="AD17" s="369"/>
      <c r="AE17" s="369"/>
      <c r="AI17" s="528"/>
      <c r="AJ17" s="548"/>
    </row>
    <row r="18" spans="1:37" ht="14.25" customHeight="1" thickBot="1" x14ac:dyDescent="0.25">
      <c r="A18" s="464"/>
      <c r="B18" s="97" t="s">
        <v>11</v>
      </c>
      <c r="C18" s="96" t="s">
        <v>378</v>
      </c>
      <c r="D18" s="110">
        <v>839.23</v>
      </c>
      <c r="E18" s="110">
        <v>600</v>
      </c>
      <c r="F18" s="110">
        <v>213.84829999999999</v>
      </c>
      <c r="G18" s="271">
        <v>2</v>
      </c>
      <c r="H18" s="179">
        <f t="shared" si="3"/>
        <v>427.69659999999999</v>
      </c>
      <c r="I18" s="109">
        <f t="shared" si="7"/>
        <v>386.15170000000001</v>
      </c>
      <c r="J18" s="85">
        <f t="shared" si="10"/>
        <v>71.28276666666666</v>
      </c>
      <c r="K18" s="108" t="s">
        <v>421</v>
      </c>
      <c r="L18" s="108">
        <v>1025.3</v>
      </c>
      <c r="M18" s="108">
        <v>600</v>
      </c>
      <c r="N18" s="107">
        <f t="shared" si="8"/>
        <v>213.84829999999999</v>
      </c>
      <c r="O18" s="274">
        <v>2</v>
      </c>
      <c r="P18" s="240">
        <f t="shared" si="5"/>
        <v>427.69659999999999</v>
      </c>
      <c r="Q18" s="199">
        <f t="shared" si="11"/>
        <v>172.30340000000001</v>
      </c>
      <c r="R18" s="82" t="str">
        <f t="shared" si="9"/>
        <v>No</v>
      </c>
      <c r="S18" s="369"/>
      <c r="T18" s="369"/>
      <c r="U18" s="242"/>
      <c r="Z18" s="369"/>
      <c r="AA18" s="369"/>
      <c r="AB18" s="369"/>
      <c r="AC18" s="369"/>
      <c r="AD18" s="369"/>
      <c r="AE18" s="369"/>
      <c r="AF18" s="369"/>
      <c r="AG18" s="369"/>
      <c r="AI18" s="193"/>
      <c r="AJ18" s="193"/>
      <c r="AK18" s="304"/>
    </row>
    <row r="19" spans="1:37" ht="14.25" customHeight="1" thickBot="1" x14ac:dyDescent="0.25">
      <c r="A19" s="464"/>
      <c r="B19" s="97" t="s">
        <v>12</v>
      </c>
      <c r="C19" s="96" t="s">
        <v>52</v>
      </c>
      <c r="D19" s="110">
        <v>428.91</v>
      </c>
      <c r="E19" s="110">
        <v>800</v>
      </c>
      <c r="F19" s="110">
        <v>320.7817</v>
      </c>
      <c r="G19" s="271">
        <v>2</v>
      </c>
      <c r="H19" s="179">
        <f t="shared" si="3"/>
        <v>641.5634</v>
      </c>
      <c r="I19" s="109">
        <f t="shared" si="7"/>
        <v>479.2183</v>
      </c>
      <c r="J19" s="85">
        <f t="shared" si="10"/>
        <v>80.195425</v>
      </c>
      <c r="K19" s="108" t="s">
        <v>420</v>
      </c>
      <c r="L19" s="108">
        <v>440.09</v>
      </c>
      <c r="M19" s="108">
        <v>800</v>
      </c>
      <c r="N19" s="107">
        <f t="shared" si="8"/>
        <v>320.7817</v>
      </c>
      <c r="O19" s="274">
        <v>2</v>
      </c>
      <c r="P19" s="240">
        <f t="shared" si="5"/>
        <v>641.5634</v>
      </c>
      <c r="Q19" s="199">
        <f t="shared" si="11"/>
        <v>158.4366</v>
      </c>
      <c r="R19" s="82" t="str">
        <f t="shared" si="9"/>
        <v>No</v>
      </c>
      <c r="S19" s="369"/>
      <c r="T19" s="369"/>
      <c r="U19" s="242"/>
      <c r="Z19" s="461"/>
      <c r="AA19" s="461"/>
      <c r="AB19" s="461"/>
      <c r="AC19" s="369"/>
      <c r="AD19" s="369"/>
      <c r="AE19" s="369"/>
      <c r="AF19" s="369"/>
      <c r="AG19" s="369"/>
      <c r="AI19" s="304"/>
      <c r="AJ19" s="304"/>
      <c r="AK19" s="304"/>
    </row>
    <row r="20" spans="1:37" ht="14.25" customHeight="1" thickBot="1" x14ac:dyDescent="0.25">
      <c r="A20" s="464"/>
      <c r="B20" s="97" t="s">
        <v>419</v>
      </c>
      <c r="C20" s="96" t="s">
        <v>411</v>
      </c>
      <c r="D20" s="95">
        <v>530.30999999999995</v>
      </c>
      <c r="E20" s="95">
        <f>E13</f>
        <v>200</v>
      </c>
      <c r="F20" s="95">
        <v>22.35</v>
      </c>
      <c r="G20" s="271">
        <v>2</v>
      </c>
      <c r="H20" s="179">
        <f t="shared" si="3"/>
        <v>44.7</v>
      </c>
      <c r="I20" s="94">
        <f t="shared" si="7"/>
        <v>177.65</v>
      </c>
      <c r="J20" s="85">
        <f t="shared" si="10"/>
        <v>22.35</v>
      </c>
      <c r="K20" s="93" t="s">
        <v>418</v>
      </c>
      <c r="L20" s="93">
        <v>541.49</v>
      </c>
      <c r="M20" s="93">
        <v>200</v>
      </c>
      <c r="N20" s="92">
        <f t="shared" si="8"/>
        <v>22.35</v>
      </c>
      <c r="O20" s="274">
        <v>2</v>
      </c>
      <c r="P20" s="240">
        <f t="shared" si="5"/>
        <v>44.7</v>
      </c>
      <c r="Q20" s="199">
        <f t="shared" si="11"/>
        <v>155.30000000000001</v>
      </c>
      <c r="R20" s="82" t="str">
        <f t="shared" si="9"/>
        <v>No</v>
      </c>
      <c r="S20" s="369"/>
      <c r="T20" s="369"/>
      <c r="U20" s="242"/>
      <c r="Z20" s="369"/>
      <c r="AA20" s="369"/>
      <c r="AB20" s="461"/>
      <c r="AC20" s="461"/>
      <c r="AD20" s="461"/>
      <c r="AE20" s="461"/>
      <c r="AF20" s="369"/>
      <c r="AG20" s="369"/>
      <c r="AI20" s="345"/>
      <c r="AJ20" s="345"/>
      <c r="AK20" s="304"/>
    </row>
    <row r="21" spans="1:37" ht="13.5" thickBot="1" x14ac:dyDescent="0.25">
      <c r="A21" s="462" t="s">
        <v>413</v>
      </c>
      <c r="B21" s="87" t="s">
        <v>7</v>
      </c>
      <c r="C21" s="86" t="s">
        <v>48</v>
      </c>
      <c r="D21" s="85">
        <v>457.755</v>
      </c>
      <c r="E21" s="85">
        <f>E10</f>
        <v>600</v>
      </c>
      <c r="F21" s="85">
        <v>200.1122</v>
      </c>
      <c r="G21" s="269">
        <v>2</v>
      </c>
      <c r="H21" s="179">
        <f t="shared" si="3"/>
        <v>400.2244</v>
      </c>
      <c r="I21" s="84">
        <f t="shared" si="7"/>
        <v>399.88779999999997</v>
      </c>
      <c r="J21" s="85">
        <f t="shared" si="10"/>
        <v>66.704066666666677</v>
      </c>
      <c r="K21" s="83" t="s">
        <v>416</v>
      </c>
      <c r="L21" s="83">
        <v>733.18499999999995</v>
      </c>
      <c r="M21" s="83">
        <v>600</v>
      </c>
      <c r="N21" s="82">
        <f t="shared" si="8"/>
        <v>200.1122</v>
      </c>
      <c r="O21" s="273">
        <v>2</v>
      </c>
      <c r="P21" s="240">
        <f t="shared" si="5"/>
        <v>400.2244</v>
      </c>
      <c r="Q21" s="199">
        <f t="shared" si="11"/>
        <v>199.7756</v>
      </c>
      <c r="R21" s="197" t="str">
        <f t="shared" si="9"/>
        <v>No</v>
      </c>
      <c r="S21" s="369"/>
      <c r="T21" s="369"/>
      <c r="U21" s="242"/>
      <c r="Z21" s="367"/>
      <c r="AA21" s="367"/>
      <c r="AB21" s="367"/>
      <c r="AC21" s="367"/>
      <c r="AD21" s="367"/>
      <c r="AE21" s="367"/>
      <c r="AF21" s="369"/>
      <c r="AG21" s="369"/>
      <c r="AI21" s="304"/>
      <c r="AJ21" s="304"/>
      <c r="AK21" s="304"/>
    </row>
    <row r="22" spans="1:37" ht="14.25" customHeight="1" thickBot="1" x14ac:dyDescent="0.25">
      <c r="A22" s="464"/>
      <c r="B22" s="97" t="s">
        <v>415</v>
      </c>
      <c r="C22" s="96" t="s">
        <v>74</v>
      </c>
      <c r="D22" s="110">
        <v>632.29</v>
      </c>
      <c r="E22" s="110">
        <f>E11</f>
        <v>1050</v>
      </c>
      <c r="F22" s="110">
        <v>416.14780000000002</v>
      </c>
      <c r="G22" s="271">
        <v>2</v>
      </c>
      <c r="H22" s="179">
        <f t="shared" si="3"/>
        <v>832.29560000000004</v>
      </c>
      <c r="I22" s="109">
        <f t="shared" si="7"/>
        <v>633.85220000000004</v>
      </c>
      <c r="J22" s="85">
        <f t="shared" si="10"/>
        <v>79.266247619047618</v>
      </c>
      <c r="K22" s="108" t="s">
        <v>361</v>
      </c>
      <c r="L22" s="108">
        <v>692.19500000000005</v>
      </c>
      <c r="M22" s="108">
        <v>1050</v>
      </c>
      <c r="N22" s="107">
        <f t="shared" si="8"/>
        <v>416.14780000000002</v>
      </c>
      <c r="O22" s="274">
        <v>2</v>
      </c>
      <c r="P22" s="240">
        <f t="shared" si="5"/>
        <v>832.29560000000004</v>
      </c>
      <c r="Q22" s="199">
        <f t="shared" si="11"/>
        <v>217.70439999999996</v>
      </c>
      <c r="R22" s="82" t="str">
        <f t="shared" si="9"/>
        <v>No</v>
      </c>
      <c r="S22" s="369"/>
      <c r="T22" s="369"/>
      <c r="U22" s="242"/>
      <c r="Z22" s="369"/>
      <c r="AA22" s="369"/>
      <c r="AB22" s="369"/>
      <c r="AC22" s="369"/>
      <c r="AD22" s="369"/>
      <c r="AE22" s="369"/>
      <c r="AF22" s="369"/>
      <c r="AG22" s="369"/>
      <c r="AI22" s="304"/>
      <c r="AJ22" s="304"/>
      <c r="AK22" s="304"/>
    </row>
    <row r="23" spans="1:37" ht="14.25" customHeight="1" thickBot="1" x14ac:dyDescent="0.25">
      <c r="A23" s="464"/>
      <c r="B23" s="97" t="s">
        <v>414</v>
      </c>
      <c r="C23" s="96" t="s">
        <v>413</v>
      </c>
      <c r="D23" s="110">
        <v>370.31</v>
      </c>
      <c r="E23" s="110">
        <v>200</v>
      </c>
      <c r="F23" s="110">
        <v>24.103000000000002</v>
      </c>
      <c r="G23" s="271">
        <v>2</v>
      </c>
      <c r="H23" s="179">
        <f t="shared" si="3"/>
        <v>48.206000000000003</v>
      </c>
      <c r="I23" s="109">
        <f t="shared" si="7"/>
        <v>175.89699999999999</v>
      </c>
      <c r="J23" s="85">
        <f t="shared" si="10"/>
        <v>24.103000000000002</v>
      </c>
      <c r="K23" s="108" t="s">
        <v>412</v>
      </c>
      <c r="L23" s="108">
        <v>820.63</v>
      </c>
      <c r="M23" s="108">
        <v>200</v>
      </c>
      <c r="N23" s="107">
        <f t="shared" si="8"/>
        <v>24.103000000000002</v>
      </c>
      <c r="O23" s="274">
        <v>2</v>
      </c>
      <c r="P23" s="240">
        <f t="shared" si="5"/>
        <v>48.206000000000003</v>
      </c>
      <c r="Q23" s="199">
        <f t="shared" si="11"/>
        <v>151.79399999999998</v>
      </c>
      <c r="R23" s="82" t="str">
        <f t="shared" si="9"/>
        <v>No</v>
      </c>
      <c r="S23" s="369"/>
      <c r="T23" s="369"/>
      <c r="U23" s="242"/>
      <c r="V23" s="304"/>
      <c r="W23" s="58"/>
      <c r="Z23" s="369"/>
      <c r="AA23" s="369"/>
      <c r="AB23" s="369"/>
      <c r="AC23" s="369"/>
      <c r="AD23" s="369"/>
      <c r="AE23" s="369"/>
      <c r="AF23" s="369"/>
      <c r="AG23" s="369"/>
      <c r="AI23" s="304"/>
      <c r="AJ23" s="304"/>
      <c r="AK23" s="304"/>
    </row>
    <row r="24" spans="1:37" ht="14.25" customHeight="1" thickBot="1" x14ac:dyDescent="0.25">
      <c r="A24" s="464"/>
      <c r="B24" s="97" t="s">
        <v>396</v>
      </c>
      <c r="C24" s="96" t="s">
        <v>411</v>
      </c>
      <c r="D24" s="95">
        <v>530.30999999999995</v>
      </c>
      <c r="E24" s="95">
        <f>E13</f>
        <v>200</v>
      </c>
      <c r="F24" s="95">
        <v>22.35</v>
      </c>
      <c r="G24" s="270">
        <v>2</v>
      </c>
      <c r="H24" s="179">
        <f t="shared" si="3"/>
        <v>44.7</v>
      </c>
      <c r="I24" s="94">
        <f t="shared" si="7"/>
        <v>177.65</v>
      </c>
      <c r="J24" s="85">
        <f t="shared" si="10"/>
        <v>22.35</v>
      </c>
      <c r="K24" s="93" t="s">
        <v>410</v>
      </c>
      <c r="L24" s="93">
        <v>660.63</v>
      </c>
      <c r="M24" s="93">
        <v>200</v>
      </c>
      <c r="N24" s="92">
        <f t="shared" si="8"/>
        <v>22.35</v>
      </c>
      <c r="O24" s="275">
        <v>2</v>
      </c>
      <c r="P24" s="240">
        <f t="shared" si="5"/>
        <v>44.7</v>
      </c>
      <c r="Q24" s="199">
        <f t="shared" si="11"/>
        <v>155.30000000000001</v>
      </c>
      <c r="R24" s="82" t="str">
        <f t="shared" si="9"/>
        <v>No</v>
      </c>
      <c r="S24" s="369"/>
      <c r="T24" s="369"/>
      <c r="V24" s="528" t="s">
        <v>454</v>
      </c>
      <c r="W24" s="529"/>
      <c r="X24" s="368"/>
      <c r="Z24" s="369"/>
      <c r="AA24" s="369"/>
      <c r="AB24" s="369"/>
      <c r="AC24" s="369"/>
      <c r="AD24" s="369"/>
      <c r="AE24" s="369"/>
      <c r="AF24" s="369"/>
      <c r="AG24" s="369"/>
      <c r="AI24" s="304"/>
      <c r="AJ24" s="304"/>
      <c r="AK24" s="304"/>
    </row>
    <row r="25" spans="1:37" ht="13.5" thickBot="1" x14ac:dyDescent="0.25">
      <c r="A25" s="158" t="s">
        <v>409</v>
      </c>
      <c r="B25" s="87" t="s">
        <v>408</v>
      </c>
      <c r="C25" s="157"/>
      <c r="D25" s="85"/>
      <c r="E25" s="85"/>
      <c r="F25" s="85"/>
      <c r="G25" s="95">
        <v>2</v>
      </c>
      <c r="H25" s="179">
        <f t="shared" si="3"/>
        <v>0</v>
      </c>
      <c r="I25" s="84"/>
      <c r="J25" s="179"/>
      <c r="K25" s="83"/>
      <c r="L25" s="83"/>
      <c r="M25" s="83"/>
      <c r="N25" s="82"/>
      <c r="O25" s="91">
        <v>2</v>
      </c>
      <c r="P25" s="240">
        <f t="shared" si="5"/>
        <v>0</v>
      </c>
      <c r="Q25" s="81"/>
      <c r="R25" s="82"/>
      <c r="S25" s="367" t="s">
        <v>440</v>
      </c>
      <c r="T25" s="367" t="s">
        <v>456</v>
      </c>
      <c r="V25" s="90"/>
      <c r="W25" s="304"/>
      <c r="X25" s="100"/>
      <c r="Z25" s="369"/>
      <c r="AA25" s="369"/>
      <c r="AB25" s="369"/>
      <c r="AC25" s="369"/>
      <c r="AD25" s="369"/>
      <c r="AE25" s="369"/>
      <c r="AF25" s="369"/>
      <c r="AG25" s="369"/>
      <c r="AI25" s="304"/>
      <c r="AJ25" s="304"/>
      <c r="AK25" s="304"/>
    </row>
    <row r="26" spans="1:37" ht="15" customHeight="1" thickBot="1" x14ac:dyDescent="0.25">
      <c r="A26" s="480" t="s">
        <v>407</v>
      </c>
      <c r="B26" s="155" t="s">
        <v>14</v>
      </c>
      <c r="C26" s="86" t="s">
        <v>406</v>
      </c>
      <c r="D26" s="85">
        <v>391.72</v>
      </c>
      <c r="E26" s="84">
        <v>1600</v>
      </c>
      <c r="F26" s="85">
        <v>664.51419999999996</v>
      </c>
      <c r="G26" s="269">
        <v>2</v>
      </c>
      <c r="H26" s="179">
        <f t="shared" si="3"/>
        <v>1329.0283999999999</v>
      </c>
      <c r="I26" s="84">
        <f t="shared" ref="I26:I56" si="12">E26-F26</f>
        <v>935.48580000000004</v>
      </c>
      <c r="J26" s="84">
        <f>H26/E26*100</f>
        <v>83.064274999999995</v>
      </c>
      <c r="K26" s="83" t="s">
        <v>405</v>
      </c>
      <c r="L26" s="83">
        <v>799.22</v>
      </c>
      <c r="M26" s="83">
        <v>1200</v>
      </c>
      <c r="N26" s="82">
        <f t="shared" ref="N26:N56" si="13">F26</f>
        <v>664.51419999999996</v>
      </c>
      <c r="O26" s="273">
        <v>2</v>
      </c>
      <c r="P26" s="240">
        <f t="shared" si="5"/>
        <v>1329.0283999999999</v>
      </c>
      <c r="Q26" s="81">
        <f>M26-P26</f>
        <v>-129.02839999999992</v>
      </c>
      <c r="R26" s="214" t="str">
        <f t="shared" ref="R26:R56" si="14">IF(Q26&gt;=0,"No","Yes")</f>
        <v>Yes</v>
      </c>
      <c r="S26" s="532" t="s">
        <v>14</v>
      </c>
      <c r="T26" s="530">
        <v>44</v>
      </c>
      <c r="V26" s="292" t="s">
        <v>390</v>
      </c>
      <c r="W26" s="193" t="s">
        <v>389</v>
      </c>
      <c r="X26" s="293" t="s">
        <v>388</v>
      </c>
      <c r="Z26" s="369"/>
      <c r="AA26" s="369"/>
      <c r="AB26" s="369"/>
      <c r="AC26" s="369"/>
      <c r="AD26" s="369"/>
      <c r="AE26" s="369"/>
      <c r="AF26" s="369"/>
      <c r="AG26" s="369"/>
      <c r="AI26" s="304"/>
      <c r="AJ26" s="304"/>
      <c r="AK26" s="304"/>
    </row>
    <row r="27" spans="1:37" ht="14.25" customHeight="1" thickBot="1" x14ac:dyDescent="0.25">
      <c r="A27" s="481"/>
      <c r="B27" s="76" t="s">
        <v>360</v>
      </c>
      <c r="C27" s="75" t="s">
        <v>55</v>
      </c>
      <c r="D27" s="152">
        <v>566.26</v>
      </c>
      <c r="E27" s="152">
        <v>1050</v>
      </c>
      <c r="F27" s="152">
        <v>424.66829999999999</v>
      </c>
      <c r="G27" s="271">
        <v>2</v>
      </c>
      <c r="H27" s="179">
        <f t="shared" si="3"/>
        <v>849.33659999999998</v>
      </c>
      <c r="I27" s="151">
        <f t="shared" si="12"/>
        <v>625.33169999999996</v>
      </c>
      <c r="J27" s="84">
        <f t="shared" ref="J27:J56" si="15">H27/E27*100</f>
        <v>80.889199999999988</v>
      </c>
      <c r="K27" s="150" t="s">
        <v>404</v>
      </c>
      <c r="L27" s="150">
        <v>973.76</v>
      </c>
      <c r="M27" s="150">
        <v>1050</v>
      </c>
      <c r="N27" s="71">
        <f t="shared" si="13"/>
        <v>424.66829999999999</v>
      </c>
      <c r="O27" s="274">
        <v>2</v>
      </c>
      <c r="P27" s="240">
        <f t="shared" si="5"/>
        <v>849.33659999999998</v>
      </c>
      <c r="Q27" s="81">
        <f t="shared" ref="Q27:Q56" si="16">M27-P27</f>
        <v>200.66340000000002</v>
      </c>
      <c r="R27" s="197" t="str">
        <f t="shared" si="14"/>
        <v>No</v>
      </c>
      <c r="S27" s="533"/>
      <c r="T27" s="531"/>
      <c r="V27" s="133" t="s">
        <v>14</v>
      </c>
      <c r="W27" s="132">
        <v>44</v>
      </c>
      <c r="X27" s="100">
        <f>(W27/200)*100</f>
        <v>22</v>
      </c>
      <c r="Z27" s="369"/>
      <c r="AA27" s="369"/>
      <c r="AB27" s="369"/>
      <c r="AC27" s="369"/>
      <c r="AD27" s="369"/>
      <c r="AE27" s="369"/>
      <c r="AF27" s="369"/>
      <c r="AG27" s="369"/>
      <c r="AI27" s="304"/>
      <c r="AJ27" s="304"/>
      <c r="AK27" s="304"/>
    </row>
    <row r="28" spans="1:37" ht="15" customHeight="1" thickBot="1" x14ac:dyDescent="0.25">
      <c r="A28" s="464" t="s">
        <v>403</v>
      </c>
      <c r="B28" s="63" t="s">
        <v>6</v>
      </c>
      <c r="C28" s="116" t="s">
        <v>47</v>
      </c>
      <c r="D28" s="95">
        <v>341.46499999999997</v>
      </c>
      <c r="E28" s="94">
        <f>E15</f>
        <v>1000</v>
      </c>
      <c r="F28" s="95">
        <v>414.50749999999999</v>
      </c>
      <c r="G28" s="269">
        <v>2</v>
      </c>
      <c r="H28" s="179">
        <f t="shared" si="3"/>
        <v>829.01499999999999</v>
      </c>
      <c r="I28" s="94">
        <f t="shared" si="12"/>
        <v>585.49250000000006</v>
      </c>
      <c r="J28" s="84">
        <f t="shared" si="15"/>
        <v>82.901499999999999</v>
      </c>
      <c r="K28" s="93" t="s">
        <v>402</v>
      </c>
      <c r="L28" s="93">
        <v>849.47500000000002</v>
      </c>
      <c r="M28" s="93">
        <v>750</v>
      </c>
      <c r="N28" s="92">
        <f t="shared" si="13"/>
        <v>414.50749999999999</v>
      </c>
      <c r="O28" s="273">
        <v>2</v>
      </c>
      <c r="P28" s="240">
        <f t="shared" si="5"/>
        <v>829.01499999999999</v>
      </c>
      <c r="Q28" s="81">
        <f t="shared" si="16"/>
        <v>-79.014999999999986</v>
      </c>
      <c r="R28" s="197" t="str">
        <f t="shared" si="14"/>
        <v>Yes</v>
      </c>
      <c r="S28" s="532" t="s">
        <v>16</v>
      </c>
      <c r="T28" s="535">
        <v>68</v>
      </c>
      <c r="V28" s="133" t="s">
        <v>16</v>
      </c>
      <c r="W28" s="132">
        <v>68</v>
      </c>
      <c r="X28" s="100">
        <f>(W28/150)*100</f>
        <v>45.333333333333329</v>
      </c>
      <c r="Z28" s="369"/>
      <c r="AA28" s="369"/>
      <c r="AB28" s="369"/>
      <c r="AC28" s="369"/>
      <c r="AD28" s="369"/>
      <c r="AE28" s="369"/>
      <c r="AF28" s="369"/>
      <c r="AG28" s="369"/>
      <c r="AI28" s="304"/>
      <c r="AJ28" s="304"/>
      <c r="AK28" s="304"/>
    </row>
    <row r="29" spans="1:37" ht="14.25" customHeight="1" thickBot="1" x14ac:dyDescent="0.25">
      <c r="A29" s="464"/>
      <c r="B29" s="63" t="s">
        <v>401</v>
      </c>
      <c r="C29" s="116" t="s">
        <v>386</v>
      </c>
      <c r="D29" s="95">
        <v>894.93</v>
      </c>
      <c r="E29" s="94">
        <f>E17</f>
        <v>450</v>
      </c>
      <c r="F29" s="95">
        <v>185.4342</v>
      </c>
      <c r="G29" s="271">
        <v>2</v>
      </c>
      <c r="H29" s="179">
        <f t="shared" si="3"/>
        <v>370.86840000000001</v>
      </c>
      <c r="I29" s="94">
        <f t="shared" si="12"/>
        <v>264.56579999999997</v>
      </c>
      <c r="J29" s="84">
        <f t="shared" si="15"/>
        <v>82.415199999999999</v>
      </c>
      <c r="K29" s="93" t="s">
        <v>385</v>
      </c>
      <c r="L29" s="93">
        <v>975.03499999999997</v>
      </c>
      <c r="M29" s="93">
        <v>450</v>
      </c>
      <c r="N29" s="92">
        <f t="shared" si="13"/>
        <v>185.4342</v>
      </c>
      <c r="O29" s="274">
        <v>2</v>
      </c>
      <c r="P29" s="240">
        <f t="shared" si="5"/>
        <v>370.86840000000001</v>
      </c>
      <c r="Q29" s="81">
        <f t="shared" si="16"/>
        <v>79.131599999999992</v>
      </c>
      <c r="R29" s="197" t="str">
        <f t="shared" si="14"/>
        <v>No</v>
      </c>
      <c r="S29" s="534"/>
      <c r="T29" s="536"/>
      <c r="V29" s="133" t="s">
        <v>19</v>
      </c>
      <c r="W29" s="132">
        <v>186</v>
      </c>
      <c r="X29" s="100"/>
      <c r="Z29" s="369"/>
      <c r="AA29" s="369"/>
      <c r="AB29" s="369"/>
      <c r="AC29" s="369"/>
      <c r="AD29" s="369"/>
      <c r="AE29" s="369"/>
      <c r="AF29" s="369"/>
      <c r="AG29" s="369"/>
      <c r="AI29" s="304"/>
      <c r="AJ29" s="304"/>
      <c r="AK29" s="304"/>
    </row>
    <row r="30" spans="1:37" ht="14.25" customHeight="1" thickBot="1" x14ac:dyDescent="0.25">
      <c r="A30" s="464"/>
      <c r="B30" s="97" t="s">
        <v>400</v>
      </c>
      <c r="C30" s="96" t="s">
        <v>378</v>
      </c>
      <c r="D30" s="110">
        <v>839.23</v>
      </c>
      <c r="E30" s="110">
        <f>E18</f>
        <v>600</v>
      </c>
      <c r="F30" s="110">
        <v>213.84829999999999</v>
      </c>
      <c r="G30" s="271">
        <v>2</v>
      </c>
      <c r="H30" s="179">
        <f t="shared" si="3"/>
        <v>427.69659999999999</v>
      </c>
      <c r="I30" s="109">
        <f t="shared" si="12"/>
        <v>386.15170000000001</v>
      </c>
      <c r="J30" s="84">
        <f t="shared" si="15"/>
        <v>71.28276666666666</v>
      </c>
      <c r="K30" s="108" t="s">
        <v>399</v>
      </c>
      <c r="L30" s="108">
        <v>1347.24</v>
      </c>
      <c r="M30" s="108">
        <v>400</v>
      </c>
      <c r="N30" s="107">
        <f t="shared" si="13"/>
        <v>213.84829999999999</v>
      </c>
      <c r="O30" s="274">
        <v>2</v>
      </c>
      <c r="P30" s="240">
        <f t="shared" si="5"/>
        <v>427.69659999999999</v>
      </c>
      <c r="Q30" s="81">
        <f t="shared" si="16"/>
        <v>-27.696599999999989</v>
      </c>
      <c r="R30" s="214" t="str">
        <f t="shared" si="14"/>
        <v>Yes</v>
      </c>
      <c r="S30" s="534"/>
      <c r="T30" s="536"/>
      <c r="V30" s="90" t="s">
        <v>20</v>
      </c>
      <c r="W30" s="304">
        <v>300</v>
      </c>
      <c r="X30" s="100"/>
      <c r="Z30" s="18"/>
      <c r="AA30" s="18"/>
      <c r="AB30" s="369"/>
      <c r="AC30" s="18"/>
      <c r="AD30" s="369"/>
      <c r="AE30" s="369"/>
      <c r="AF30" s="340"/>
      <c r="AG30" s="369"/>
      <c r="AI30" s="304"/>
      <c r="AJ30" s="304"/>
      <c r="AK30" s="304"/>
    </row>
    <row r="31" spans="1:37" ht="14.25" customHeight="1" thickBot="1" x14ac:dyDescent="0.25">
      <c r="A31" s="464"/>
      <c r="B31" s="97" t="s">
        <v>398</v>
      </c>
      <c r="C31" s="96" t="s">
        <v>52</v>
      </c>
      <c r="D31" s="95">
        <v>428.91</v>
      </c>
      <c r="E31" s="94">
        <f>E12</f>
        <v>800</v>
      </c>
      <c r="F31" s="95">
        <v>320.7817</v>
      </c>
      <c r="G31" s="271">
        <v>2</v>
      </c>
      <c r="H31" s="179">
        <f t="shared" si="3"/>
        <v>641.5634</v>
      </c>
      <c r="I31" s="94">
        <f t="shared" si="12"/>
        <v>479.2183</v>
      </c>
      <c r="J31" s="84">
        <f t="shared" si="15"/>
        <v>80.195425</v>
      </c>
      <c r="K31" s="93" t="s">
        <v>397</v>
      </c>
      <c r="L31" s="93">
        <v>762.03</v>
      </c>
      <c r="M31" s="93">
        <v>600</v>
      </c>
      <c r="N31" s="92">
        <f t="shared" si="13"/>
        <v>320.7817</v>
      </c>
      <c r="O31" s="274">
        <v>2</v>
      </c>
      <c r="P31" s="240">
        <f t="shared" si="5"/>
        <v>641.5634</v>
      </c>
      <c r="Q31" s="81">
        <f t="shared" si="16"/>
        <v>-41.563400000000001</v>
      </c>
      <c r="R31" s="214" t="str">
        <f t="shared" si="14"/>
        <v>Yes</v>
      </c>
      <c r="S31" s="534"/>
      <c r="T31" s="536"/>
      <c r="V31" s="294"/>
      <c r="W31" s="230"/>
      <c r="X31" s="89"/>
      <c r="Y31" s="304"/>
      <c r="Z31" s="18"/>
      <c r="AA31" s="18"/>
      <c r="AB31" s="369"/>
      <c r="AC31" s="18"/>
      <c r="AD31" s="369"/>
      <c r="AE31" s="369"/>
      <c r="AF31" s="340"/>
      <c r="AG31" s="369"/>
      <c r="AI31" s="304"/>
      <c r="AJ31" s="304"/>
      <c r="AK31" s="304"/>
    </row>
    <row r="32" spans="1:37" ht="14.25" customHeight="1" thickBot="1" x14ac:dyDescent="0.25">
      <c r="A32" s="464"/>
      <c r="B32" s="97" t="s">
        <v>395</v>
      </c>
      <c r="C32" s="96" t="s">
        <v>56</v>
      </c>
      <c r="D32" s="95">
        <v>268.91000000000003</v>
      </c>
      <c r="E32" s="95">
        <v>750</v>
      </c>
      <c r="F32" s="95">
        <v>277.57420000000002</v>
      </c>
      <c r="G32" s="271">
        <v>2</v>
      </c>
      <c r="H32" s="179">
        <f t="shared" si="3"/>
        <v>555.14840000000004</v>
      </c>
      <c r="I32" s="94">
        <f t="shared" si="12"/>
        <v>472.42579999999998</v>
      </c>
      <c r="J32" s="84">
        <f t="shared" si="15"/>
        <v>74.019786666666676</v>
      </c>
      <c r="K32" s="93" t="s">
        <v>394</v>
      </c>
      <c r="L32" s="93">
        <v>922.03</v>
      </c>
      <c r="M32" s="93">
        <v>450</v>
      </c>
      <c r="N32" s="107">
        <f t="shared" si="13"/>
        <v>277.57420000000002</v>
      </c>
      <c r="O32" s="274">
        <v>2</v>
      </c>
      <c r="P32" s="240">
        <f t="shared" si="5"/>
        <v>555.14840000000004</v>
      </c>
      <c r="Q32" s="81">
        <f t="shared" si="16"/>
        <v>-105.14840000000004</v>
      </c>
      <c r="R32" s="197" t="str">
        <f t="shared" si="14"/>
        <v>Yes</v>
      </c>
      <c r="S32" s="533"/>
      <c r="T32" s="537"/>
      <c r="V32" s="160" t="s">
        <v>369</v>
      </c>
      <c r="W32" s="247">
        <f>SUM(W27:W31)</f>
        <v>598</v>
      </c>
      <c r="Y32" s="304"/>
      <c r="Z32" s="369"/>
      <c r="AA32" s="369"/>
      <c r="AB32" s="369"/>
      <c r="AC32" s="369"/>
      <c r="AD32" s="369"/>
      <c r="AE32" s="369"/>
    </row>
    <row r="33" spans="1:44" ht="13.5" thickBot="1" x14ac:dyDescent="0.25">
      <c r="A33" s="462" t="s">
        <v>382</v>
      </c>
      <c r="B33" s="87" t="s">
        <v>393</v>
      </c>
      <c r="C33" s="86" t="s">
        <v>392</v>
      </c>
      <c r="D33" s="85">
        <v>774.56</v>
      </c>
      <c r="E33" s="85">
        <f>E6</f>
        <v>1500</v>
      </c>
      <c r="F33" s="85">
        <v>593.39</v>
      </c>
      <c r="G33" s="269">
        <v>2</v>
      </c>
      <c r="H33" s="179">
        <f t="shared" si="3"/>
        <v>1186.78</v>
      </c>
      <c r="I33" s="84">
        <f t="shared" si="12"/>
        <v>906.61</v>
      </c>
      <c r="J33" s="84">
        <f t="shared" si="15"/>
        <v>79.118666666666655</v>
      </c>
      <c r="K33" s="83" t="s">
        <v>391</v>
      </c>
      <c r="L33" s="83">
        <v>778.62</v>
      </c>
      <c r="M33" s="83">
        <v>1500</v>
      </c>
      <c r="N33" s="82">
        <f t="shared" si="13"/>
        <v>593.39</v>
      </c>
      <c r="O33" s="273">
        <v>2</v>
      </c>
      <c r="P33" s="240">
        <f t="shared" si="5"/>
        <v>1186.78</v>
      </c>
      <c r="Q33" s="81">
        <f t="shared" si="16"/>
        <v>313.22000000000003</v>
      </c>
      <c r="R33" s="197" t="str">
        <f t="shared" si="14"/>
        <v>No</v>
      </c>
      <c r="S33" s="229"/>
      <c r="T33" s="229"/>
      <c r="U33" s="242"/>
      <c r="V33" s="246" t="s">
        <v>365</v>
      </c>
      <c r="W33" s="245">
        <f>W32/E57</f>
        <v>1.6338797814207651E-2</v>
      </c>
    </row>
    <row r="34" spans="1:44" ht="14.25" customHeight="1" thickBot="1" x14ac:dyDescent="0.25">
      <c r="A34" s="464"/>
      <c r="B34" s="97" t="s">
        <v>387</v>
      </c>
      <c r="C34" s="96" t="s">
        <v>386</v>
      </c>
      <c r="D34" s="110">
        <v>894.93</v>
      </c>
      <c r="E34" s="109">
        <f>E17</f>
        <v>450</v>
      </c>
      <c r="F34" s="110">
        <v>185.4342</v>
      </c>
      <c r="G34" s="271">
        <v>2</v>
      </c>
      <c r="H34" s="179">
        <f t="shared" si="3"/>
        <v>370.86840000000001</v>
      </c>
      <c r="I34" s="109">
        <f t="shared" si="12"/>
        <v>264.56579999999997</v>
      </c>
      <c r="J34" s="84">
        <f t="shared" si="15"/>
        <v>82.415199999999999</v>
      </c>
      <c r="K34" s="108" t="s">
        <v>385</v>
      </c>
      <c r="L34" s="108">
        <v>975.03499999999997</v>
      </c>
      <c r="M34" s="108">
        <v>450</v>
      </c>
      <c r="N34" s="107">
        <f t="shared" si="13"/>
        <v>185.4342</v>
      </c>
      <c r="O34" s="274">
        <v>2</v>
      </c>
      <c r="P34" s="240">
        <f t="shared" si="5"/>
        <v>370.86840000000001</v>
      </c>
      <c r="Q34" s="81">
        <f t="shared" si="16"/>
        <v>79.131599999999992</v>
      </c>
      <c r="R34" s="197" t="str">
        <f t="shared" si="14"/>
        <v>No</v>
      </c>
      <c r="S34" s="369"/>
      <c r="T34" s="369"/>
      <c r="U34" s="242"/>
      <c r="X34" s="304"/>
    </row>
    <row r="35" spans="1:44" ht="14.25" customHeight="1" thickBot="1" x14ac:dyDescent="0.25">
      <c r="A35" s="464"/>
      <c r="B35" s="97" t="s">
        <v>383</v>
      </c>
      <c r="C35" s="96" t="s">
        <v>382</v>
      </c>
      <c r="D35" s="95">
        <v>553.46500000000003</v>
      </c>
      <c r="E35" s="94">
        <v>1200</v>
      </c>
      <c r="F35" s="95">
        <v>491.47570000000002</v>
      </c>
      <c r="G35" s="271">
        <v>2</v>
      </c>
      <c r="H35" s="179">
        <f t="shared" si="3"/>
        <v>982.95140000000004</v>
      </c>
      <c r="I35" s="94">
        <f t="shared" si="12"/>
        <v>708.52430000000004</v>
      </c>
      <c r="J35" s="84">
        <f t="shared" si="15"/>
        <v>81.912616666666665</v>
      </c>
      <c r="K35" s="93" t="s">
        <v>381</v>
      </c>
      <c r="L35" s="93">
        <v>660.12</v>
      </c>
      <c r="M35" s="93">
        <v>1200</v>
      </c>
      <c r="N35" s="92">
        <f t="shared" si="13"/>
        <v>491.47570000000002</v>
      </c>
      <c r="O35" s="274">
        <v>2</v>
      </c>
      <c r="P35" s="240">
        <f t="shared" si="5"/>
        <v>982.95140000000004</v>
      </c>
      <c r="Q35" s="81">
        <f t="shared" si="16"/>
        <v>217.04859999999996</v>
      </c>
      <c r="R35" s="197" t="str">
        <f t="shared" si="14"/>
        <v>No</v>
      </c>
      <c r="S35" s="369"/>
      <c r="T35" s="369"/>
      <c r="U35" s="242"/>
      <c r="X35" s="304"/>
      <c r="Y35" s="304"/>
    </row>
    <row r="36" spans="1:44" ht="13.5" thickBot="1" x14ac:dyDescent="0.25">
      <c r="A36" s="462" t="s">
        <v>375</v>
      </c>
      <c r="B36" s="87" t="s">
        <v>379</v>
      </c>
      <c r="C36" s="86" t="s">
        <v>378</v>
      </c>
      <c r="D36" s="85">
        <v>839.23</v>
      </c>
      <c r="E36" s="84">
        <f>E18</f>
        <v>600</v>
      </c>
      <c r="F36" s="85">
        <v>213.84829999999999</v>
      </c>
      <c r="G36" s="269">
        <v>2</v>
      </c>
      <c r="H36" s="179">
        <f t="shared" si="3"/>
        <v>427.69659999999999</v>
      </c>
      <c r="I36" s="84">
        <f t="shared" si="12"/>
        <v>386.15170000000001</v>
      </c>
      <c r="J36" s="84">
        <f t="shared" si="15"/>
        <v>71.28276666666666</v>
      </c>
      <c r="K36" s="83" t="s">
        <v>377</v>
      </c>
      <c r="L36" s="83">
        <v>844.89</v>
      </c>
      <c r="M36" s="83">
        <v>600</v>
      </c>
      <c r="N36" s="82">
        <f t="shared" si="13"/>
        <v>213.84829999999999</v>
      </c>
      <c r="O36" s="273">
        <v>2</v>
      </c>
      <c r="P36" s="240">
        <f t="shared" si="5"/>
        <v>427.69659999999999</v>
      </c>
      <c r="Q36" s="81">
        <f t="shared" si="16"/>
        <v>172.30340000000001</v>
      </c>
      <c r="R36" s="197" t="str">
        <f t="shared" si="14"/>
        <v>No</v>
      </c>
      <c r="S36" s="369"/>
      <c r="T36" s="369"/>
      <c r="U36" s="242"/>
    </row>
    <row r="37" spans="1:44" ht="14.25" customHeight="1" thickBot="1" x14ac:dyDescent="0.25">
      <c r="A37" s="464"/>
      <c r="B37" s="97" t="s">
        <v>376</v>
      </c>
      <c r="C37" s="96" t="s">
        <v>375</v>
      </c>
      <c r="D37" s="95">
        <v>497.76499999999999</v>
      </c>
      <c r="E37" s="95">
        <v>2800</v>
      </c>
      <c r="F37" s="95">
        <v>1151.328</v>
      </c>
      <c r="G37" s="270">
        <v>2</v>
      </c>
      <c r="H37" s="179">
        <f t="shared" si="3"/>
        <v>2302.6559999999999</v>
      </c>
      <c r="I37" s="94">
        <f t="shared" si="12"/>
        <v>1648.672</v>
      </c>
      <c r="J37" s="84">
        <f t="shared" si="15"/>
        <v>82.237714285714276</v>
      </c>
      <c r="K37" s="93" t="s">
        <v>374</v>
      </c>
      <c r="L37" s="93">
        <v>503.42500000000001</v>
      </c>
      <c r="M37" s="93">
        <v>2800</v>
      </c>
      <c r="N37" s="92">
        <f t="shared" si="13"/>
        <v>1151.328</v>
      </c>
      <c r="O37" s="275">
        <v>2</v>
      </c>
      <c r="P37" s="240">
        <f t="shared" si="5"/>
        <v>2302.6559999999999</v>
      </c>
      <c r="Q37" s="81">
        <f t="shared" si="16"/>
        <v>497.34400000000005</v>
      </c>
      <c r="R37" s="197" t="str">
        <f t="shared" si="14"/>
        <v>No</v>
      </c>
      <c r="S37" s="244"/>
      <c r="T37" s="244"/>
      <c r="U37" s="242"/>
      <c r="AD37" s="491" t="s">
        <v>612</v>
      </c>
      <c r="AE37" s="492"/>
      <c r="AF37" s="492"/>
      <c r="AG37" s="492"/>
      <c r="AH37" s="492"/>
      <c r="AI37" s="493"/>
      <c r="AJ37" s="161"/>
      <c r="AO37" s="459"/>
      <c r="AP37" s="459"/>
      <c r="AQ37" s="459"/>
      <c r="AR37" s="459"/>
    </row>
    <row r="38" spans="1:44" ht="13.5" thickBot="1" x14ac:dyDescent="0.25">
      <c r="A38" s="365" t="s">
        <v>372</v>
      </c>
      <c r="B38" s="87" t="s">
        <v>373</v>
      </c>
      <c r="C38" s="86" t="s">
        <v>372</v>
      </c>
      <c r="D38" s="85">
        <v>285.27999999999997</v>
      </c>
      <c r="E38" s="85">
        <v>2000</v>
      </c>
      <c r="F38" s="85">
        <v>779.52329999999995</v>
      </c>
      <c r="G38" s="95">
        <v>2</v>
      </c>
      <c r="H38" s="179">
        <f t="shared" si="3"/>
        <v>1559.0465999999999</v>
      </c>
      <c r="I38" s="84">
        <f t="shared" si="12"/>
        <v>1220.4767000000002</v>
      </c>
      <c r="J38" s="84">
        <f t="shared" si="15"/>
        <v>77.952329999999989</v>
      </c>
      <c r="K38" s="83" t="s">
        <v>371</v>
      </c>
      <c r="L38" s="83">
        <v>539.80499999999995</v>
      </c>
      <c r="M38" s="83">
        <v>1200</v>
      </c>
      <c r="N38" s="82">
        <f t="shared" si="13"/>
        <v>779.52329999999995</v>
      </c>
      <c r="O38" s="91">
        <v>2</v>
      </c>
      <c r="P38" s="240">
        <f t="shared" si="5"/>
        <v>1559.0465999999999</v>
      </c>
      <c r="Q38" s="81">
        <f t="shared" si="16"/>
        <v>-359.0465999999999</v>
      </c>
      <c r="R38" s="214" t="str">
        <f t="shared" si="14"/>
        <v>Yes</v>
      </c>
      <c r="S38" s="216" t="s">
        <v>19</v>
      </c>
      <c r="T38" s="215">
        <v>186</v>
      </c>
      <c r="AD38" s="346" t="s">
        <v>528</v>
      </c>
      <c r="AE38" s="348" t="s">
        <v>529</v>
      </c>
      <c r="AF38" s="348" t="s">
        <v>530</v>
      </c>
      <c r="AG38" s="348" t="s">
        <v>531</v>
      </c>
      <c r="AH38" s="348" t="s">
        <v>532</v>
      </c>
      <c r="AI38" s="349" t="s">
        <v>582</v>
      </c>
      <c r="AJ38" s="328" t="s">
        <v>417</v>
      </c>
      <c r="AO38" s="459"/>
      <c r="AP38" s="459"/>
      <c r="AQ38" s="459"/>
      <c r="AR38" s="342"/>
    </row>
    <row r="39" spans="1:44" ht="13.5" thickBot="1" x14ac:dyDescent="0.25">
      <c r="A39" s="462" t="s">
        <v>60</v>
      </c>
      <c r="B39" s="87" t="s">
        <v>368</v>
      </c>
      <c r="C39" s="86" t="s">
        <v>367</v>
      </c>
      <c r="D39" s="85">
        <v>239.47</v>
      </c>
      <c r="E39" s="84">
        <v>2250</v>
      </c>
      <c r="F39" s="85">
        <v>886.15449999999998</v>
      </c>
      <c r="G39" s="269">
        <v>2</v>
      </c>
      <c r="H39" s="179">
        <f t="shared" si="3"/>
        <v>1772.309</v>
      </c>
      <c r="I39" s="84">
        <f t="shared" si="12"/>
        <v>1363.8454999999999</v>
      </c>
      <c r="J39" s="84">
        <f t="shared" si="15"/>
        <v>78.769288888888894</v>
      </c>
      <c r="K39" s="83" t="s">
        <v>366</v>
      </c>
      <c r="L39" s="83">
        <v>585.61500000000001</v>
      </c>
      <c r="M39" s="83">
        <v>1350</v>
      </c>
      <c r="N39" s="82">
        <f t="shared" si="13"/>
        <v>886.15449999999998</v>
      </c>
      <c r="O39" s="273">
        <v>2</v>
      </c>
      <c r="P39" s="240">
        <f t="shared" si="5"/>
        <v>1772.309</v>
      </c>
      <c r="Q39" s="81">
        <f t="shared" si="16"/>
        <v>-422.30899999999997</v>
      </c>
      <c r="R39" s="214" t="str">
        <f t="shared" si="14"/>
        <v>Yes</v>
      </c>
      <c r="S39" s="213" t="s">
        <v>20</v>
      </c>
      <c r="T39" s="212" t="s">
        <v>541</v>
      </c>
      <c r="AD39" s="60" t="s">
        <v>84</v>
      </c>
      <c r="AE39" s="350">
        <v>0</v>
      </c>
      <c r="AF39" s="350">
        <v>0</v>
      </c>
      <c r="AG39" s="351">
        <v>0</v>
      </c>
      <c r="AH39" s="351">
        <v>0</v>
      </c>
      <c r="AI39" s="352">
        <v>0</v>
      </c>
      <c r="AJ39" s="353">
        <f>SUM(AE39:AI39)</f>
        <v>0</v>
      </c>
      <c r="AO39" s="459"/>
      <c r="AP39" s="459"/>
      <c r="AQ39" s="459"/>
      <c r="AR39" s="459"/>
    </row>
    <row r="40" spans="1:44" ht="14.25" customHeight="1" thickBot="1" x14ac:dyDescent="0.25">
      <c r="A40" s="463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271">
        <v>2</v>
      </c>
      <c r="H40" s="179">
        <f t="shared" si="3"/>
        <v>467.61399999999998</v>
      </c>
      <c r="I40" s="73">
        <f t="shared" si="12"/>
        <v>366.19299999999998</v>
      </c>
      <c r="J40" s="84">
        <f t="shared" si="15"/>
        <v>77.935666666666663</v>
      </c>
      <c r="K40" s="72" t="s">
        <v>328</v>
      </c>
      <c r="L40" s="72">
        <v>673.16499999999996</v>
      </c>
      <c r="M40" s="72">
        <v>450</v>
      </c>
      <c r="N40" s="121">
        <f t="shared" si="13"/>
        <v>233.80699999999999</v>
      </c>
      <c r="O40" s="274">
        <v>2</v>
      </c>
      <c r="P40" s="240">
        <f t="shared" si="5"/>
        <v>467.61399999999998</v>
      </c>
      <c r="Q40" s="81">
        <f t="shared" si="16"/>
        <v>-17.613999999999976</v>
      </c>
      <c r="R40" s="197" t="str">
        <f t="shared" si="14"/>
        <v>Yes</v>
      </c>
      <c r="S40" s="211"/>
      <c r="T40" s="210"/>
      <c r="AD40" s="60" t="s">
        <v>85</v>
      </c>
      <c r="AE40" s="350">
        <v>0</v>
      </c>
      <c r="AF40" s="350">
        <v>0</v>
      </c>
      <c r="AG40" s="350">
        <v>0</v>
      </c>
      <c r="AH40" s="350">
        <v>0</v>
      </c>
      <c r="AI40" s="352">
        <v>0</v>
      </c>
      <c r="AJ40" s="60">
        <f t="shared" ref="AJ40:AJ50" si="17">SUM(AE40:AI40)</f>
        <v>0</v>
      </c>
      <c r="AO40" s="459"/>
      <c r="AP40" s="459"/>
      <c r="AQ40" s="459"/>
      <c r="AR40" s="459"/>
    </row>
    <row r="41" spans="1:44" ht="13.5" thickBot="1" x14ac:dyDescent="0.25">
      <c r="A41" s="464" t="s">
        <v>363</v>
      </c>
      <c r="B41" s="63" t="s">
        <v>362</v>
      </c>
      <c r="C41" s="116" t="s">
        <v>74</v>
      </c>
      <c r="D41" s="95">
        <v>632.29499999999996</v>
      </c>
      <c r="E41" s="95">
        <f>E22</f>
        <v>1050</v>
      </c>
      <c r="F41" s="95">
        <v>416.14780000000002</v>
      </c>
      <c r="G41" s="269">
        <v>2</v>
      </c>
      <c r="H41" s="179">
        <f t="shared" si="3"/>
        <v>832.29560000000004</v>
      </c>
      <c r="I41" s="94">
        <f t="shared" si="12"/>
        <v>633.85220000000004</v>
      </c>
      <c r="J41" s="84">
        <f t="shared" si="15"/>
        <v>79.266247619047618</v>
      </c>
      <c r="K41" s="93" t="s">
        <v>361</v>
      </c>
      <c r="L41" s="93">
        <v>692.19500000000005</v>
      </c>
      <c r="M41" s="93">
        <v>1050</v>
      </c>
      <c r="N41" s="92">
        <f t="shared" si="13"/>
        <v>416.14780000000002</v>
      </c>
      <c r="O41" s="273">
        <v>2</v>
      </c>
      <c r="P41" s="240">
        <f t="shared" si="5"/>
        <v>832.29560000000004</v>
      </c>
      <c r="Q41" s="81">
        <f t="shared" si="16"/>
        <v>217.70439999999996</v>
      </c>
      <c r="R41" s="197" t="str">
        <f t="shared" si="14"/>
        <v>No</v>
      </c>
      <c r="S41" s="229"/>
      <c r="T41" s="229"/>
      <c r="AD41" s="60" t="s">
        <v>86</v>
      </c>
      <c r="AE41" s="350">
        <v>0</v>
      </c>
      <c r="AF41" s="350">
        <v>0</v>
      </c>
      <c r="AG41" s="350">
        <v>0</v>
      </c>
      <c r="AH41" s="350">
        <v>0</v>
      </c>
      <c r="AI41" s="352">
        <v>0</v>
      </c>
      <c r="AJ41" s="60">
        <f t="shared" si="17"/>
        <v>0</v>
      </c>
      <c r="AL41" s="457" t="s">
        <v>534</v>
      </c>
      <c r="AM41" s="457" t="s">
        <v>535</v>
      </c>
      <c r="AN41" s="355" t="s">
        <v>536</v>
      </c>
      <c r="AO41" s="459"/>
      <c r="AP41" s="459"/>
    </row>
    <row r="42" spans="1:44" ht="14.25" customHeight="1" thickBot="1" x14ac:dyDescent="0.25">
      <c r="A42" s="464"/>
      <c r="B42" s="97" t="s">
        <v>360</v>
      </c>
      <c r="C42" s="96" t="s">
        <v>55</v>
      </c>
      <c r="D42" s="110">
        <v>566.26</v>
      </c>
      <c r="E42" s="110">
        <f>E27</f>
        <v>1050</v>
      </c>
      <c r="F42" s="110">
        <v>424.66829999999999</v>
      </c>
      <c r="G42" s="271">
        <v>2</v>
      </c>
      <c r="H42" s="179">
        <f t="shared" si="3"/>
        <v>849.33659999999998</v>
      </c>
      <c r="I42" s="109">
        <f t="shared" si="12"/>
        <v>625.33169999999996</v>
      </c>
      <c r="J42" s="84">
        <f t="shared" si="15"/>
        <v>80.889199999999988</v>
      </c>
      <c r="K42" s="108" t="s">
        <v>359</v>
      </c>
      <c r="L42" s="108">
        <v>1033.6600000000001</v>
      </c>
      <c r="M42" s="108">
        <v>1050</v>
      </c>
      <c r="N42" s="107">
        <f t="shared" si="13"/>
        <v>424.66829999999999</v>
      </c>
      <c r="O42" s="274">
        <v>2</v>
      </c>
      <c r="P42" s="240">
        <f t="shared" si="5"/>
        <v>849.33659999999998</v>
      </c>
      <c r="Q42" s="81">
        <f t="shared" si="16"/>
        <v>200.66340000000002</v>
      </c>
      <c r="R42" s="197" t="str">
        <f t="shared" si="14"/>
        <v>No</v>
      </c>
      <c r="S42" s="369"/>
      <c r="T42" s="369"/>
      <c r="U42" s="242"/>
      <c r="AD42" s="60" t="s">
        <v>87</v>
      </c>
      <c r="AE42" s="350">
        <v>0</v>
      </c>
      <c r="AF42" s="350">
        <v>2</v>
      </c>
      <c r="AG42" s="350">
        <v>0</v>
      </c>
      <c r="AH42" s="350">
        <v>0</v>
      </c>
      <c r="AI42" s="352">
        <v>0</v>
      </c>
      <c r="AJ42" s="60">
        <f t="shared" si="17"/>
        <v>2</v>
      </c>
      <c r="AL42" s="61" t="s">
        <v>529</v>
      </c>
      <c r="AM42" s="61">
        <v>100</v>
      </c>
      <c r="AN42" s="454">
        <v>15</v>
      </c>
      <c r="AO42" s="459"/>
      <c r="AP42" s="459"/>
    </row>
    <row r="43" spans="1:44" ht="14.25" customHeight="1" thickBot="1" x14ac:dyDescent="0.25">
      <c r="A43" s="464"/>
      <c r="B43" s="97" t="s">
        <v>358</v>
      </c>
      <c r="C43" s="96" t="s">
        <v>62</v>
      </c>
      <c r="D43" s="95">
        <v>174.54</v>
      </c>
      <c r="E43" s="95">
        <v>250</v>
      </c>
      <c r="F43" s="95">
        <v>80.336669999999998</v>
      </c>
      <c r="G43" s="270">
        <v>2</v>
      </c>
      <c r="H43" s="179">
        <f t="shared" si="3"/>
        <v>160.67334</v>
      </c>
      <c r="I43" s="94">
        <f t="shared" si="12"/>
        <v>169.66333</v>
      </c>
      <c r="J43" s="84">
        <f t="shared" si="15"/>
        <v>64.269335999999996</v>
      </c>
      <c r="K43" s="93" t="s">
        <v>357</v>
      </c>
      <c r="L43" s="93">
        <v>811.21</v>
      </c>
      <c r="M43" s="93">
        <v>150</v>
      </c>
      <c r="N43" s="107">
        <f t="shared" si="13"/>
        <v>80.336669999999998</v>
      </c>
      <c r="O43" s="275">
        <v>2</v>
      </c>
      <c r="P43" s="240">
        <f t="shared" si="5"/>
        <v>160.67334</v>
      </c>
      <c r="Q43" s="81">
        <f t="shared" si="16"/>
        <v>-10.673339999999996</v>
      </c>
      <c r="R43" s="197" t="str">
        <f t="shared" si="14"/>
        <v>Yes</v>
      </c>
      <c r="S43" s="369"/>
      <c r="T43" s="369"/>
      <c r="U43" s="242"/>
      <c r="AD43" s="60" t="s">
        <v>88</v>
      </c>
      <c r="AE43" s="350">
        <v>1</v>
      </c>
      <c r="AF43" s="350">
        <v>0</v>
      </c>
      <c r="AG43" s="350">
        <v>0</v>
      </c>
      <c r="AH43" s="350">
        <v>0</v>
      </c>
      <c r="AI43" s="352">
        <v>0</v>
      </c>
      <c r="AJ43" s="60">
        <f t="shared" si="17"/>
        <v>1</v>
      </c>
      <c r="AK43" s="369"/>
      <c r="AL43" s="356" t="s">
        <v>530</v>
      </c>
      <c r="AM43" s="356">
        <v>150</v>
      </c>
      <c r="AN43" s="455">
        <v>16.3689</v>
      </c>
      <c r="AO43" s="459"/>
      <c r="AP43" s="459"/>
      <c r="AR43" s="459"/>
    </row>
    <row r="44" spans="1:44" ht="13.5" thickBot="1" x14ac:dyDescent="0.25">
      <c r="A44" s="365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95">
        <v>2</v>
      </c>
      <c r="H44" s="179">
        <f t="shared" si="3"/>
        <v>134.48365999999999</v>
      </c>
      <c r="I44" s="84">
        <f t="shared" si="12"/>
        <v>132.75817000000001</v>
      </c>
      <c r="J44" s="84">
        <f t="shared" si="15"/>
        <v>67.241829999999993</v>
      </c>
      <c r="K44" s="83" t="s">
        <v>354</v>
      </c>
      <c r="L44" s="83">
        <v>607.995</v>
      </c>
      <c r="M44" s="83">
        <v>150</v>
      </c>
      <c r="N44" s="82">
        <f t="shared" si="13"/>
        <v>67.241829999999993</v>
      </c>
      <c r="O44" s="91">
        <v>2</v>
      </c>
      <c r="P44" s="240">
        <f t="shared" si="5"/>
        <v>134.48365999999999</v>
      </c>
      <c r="Q44" s="81">
        <f t="shared" si="16"/>
        <v>15.516340000000014</v>
      </c>
      <c r="R44" s="197" t="str">
        <f t="shared" si="14"/>
        <v>No</v>
      </c>
      <c r="S44" s="369"/>
      <c r="T44" s="369"/>
      <c r="U44" s="242"/>
      <c r="AD44" s="60" t="s">
        <v>89</v>
      </c>
      <c r="AE44" s="350">
        <v>0</v>
      </c>
      <c r="AF44" s="350">
        <v>0</v>
      </c>
      <c r="AG44" s="350">
        <v>0</v>
      </c>
      <c r="AH44" s="350">
        <v>0</v>
      </c>
      <c r="AI44" s="352">
        <v>0</v>
      </c>
      <c r="AJ44" s="60">
        <f t="shared" si="17"/>
        <v>0</v>
      </c>
      <c r="AK44" s="367"/>
      <c r="AL44" s="356" t="s">
        <v>531</v>
      </c>
      <c r="AM44" s="356">
        <v>200</v>
      </c>
      <c r="AN44" s="455">
        <v>16.746700000000001</v>
      </c>
      <c r="AO44" s="459"/>
      <c r="AP44" s="459"/>
      <c r="AR44" s="459"/>
    </row>
    <row r="45" spans="1:44" ht="13.5" thickBot="1" x14ac:dyDescent="0.25">
      <c r="A45" s="462" t="s">
        <v>349</v>
      </c>
      <c r="B45" s="87" t="s">
        <v>353</v>
      </c>
      <c r="C45" s="86" t="s">
        <v>342</v>
      </c>
      <c r="D45" s="85">
        <v>592.98500000000001</v>
      </c>
      <c r="E45" s="85">
        <v>450</v>
      </c>
      <c r="F45" s="85">
        <v>175.91919999999999</v>
      </c>
      <c r="G45" s="269">
        <v>2</v>
      </c>
      <c r="H45" s="179">
        <f t="shared" si="3"/>
        <v>351.83839999999998</v>
      </c>
      <c r="I45" s="84">
        <f t="shared" si="12"/>
        <v>274.08080000000001</v>
      </c>
      <c r="J45" s="84">
        <f t="shared" si="15"/>
        <v>78.18631111111111</v>
      </c>
      <c r="K45" s="83" t="s">
        <v>352</v>
      </c>
      <c r="L45" s="83">
        <v>1051.23</v>
      </c>
      <c r="M45" s="83">
        <v>450</v>
      </c>
      <c r="N45" s="82">
        <f t="shared" si="13"/>
        <v>175.91919999999999</v>
      </c>
      <c r="O45" s="273">
        <v>2</v>
      </c>
      <c r="P45" s="240">
        <f t="shared" si="5"/>
        <v>351.83839999999998</v>
      </c>
      <c r="Q45" s="81">
        <f t="shared" si="16"/>
        <v>98.161600000000021</v>
      </c>
      <c r="R45" s="197" t="str">
        <f t="shared" si="14"/>
        <v>No</v>
      </c>
      <c r="S45" s="369"/>
      <c r="T45" s="369"/>
      <c r="U45" s="242"/>
      <c r="AD45" s="60" t="s">
        <v>90</v>
      </c>
      <c r="AE45" s="350">
        <v>1</v>
      </c>
      <c r="AF45" s="350">
        <v>0</v>
      </c>
      <c r="AG45" s="350">
        <v>0</v>
      </c>
      <c r="AH45" s="350">
        <v>0</v>
      </c>
      <c r="AI45" s="352">
        <v>0</v>
      </c>
      <c r="AJ45" s="60">
        <f t="shared" si="17"/>
        <v>1</v>
      </c>
      <c r="AK45" s="367"/>
      <c r="AL45" s="356" t="s">
        <v>532</v>
      </c>
      <c r="AM45" s="356">
        <v>250</v>
      </c>
      <c r="AN45" s="455">
        <v>16.886600000000001</v>
      </c>
      <c r="AO45" s="459"/>
      <c r="AP45" s="459"/>
      <c r="AR45" s="459"/>
    </row>
    <row r="46" spans="1:44" ht="14.25" customHeight="1" thickBot="1" x14ac:dyDescent="0.25">
      <c r="A46" s="464"/>
      <c r="B46" s="97" t="s">
        <v>350</v>
      </c>
      <c r="C46" s="96" t="s">
        <v>349</v>
      </c>
      <c r="D46" s="110">
        <v>374.84</v>
      </c>
      <c r="E46" s="110">
        <v>400</v>
      </c>
      <c r="F46" s="110">
        <v>115.1143</v>
      </c>
      <c r="G46" s="271">
        <v>2</v>
      </c>
      <c r="H46" s="179">
        <f t="shared" si="3"/>
        <v>230.2286</v>
      </c>
      <c r="I46" s="109">
        <f t="shared" si="12"/>
        <v>284.88569999999999</v>
      </c>
      <c r="J46" s="84">
        <f t="shared" si="15"/>
        <v>57.55715</v>
      </c>
      <c r="K46" s="108" t="s">
        <v>348</v>
      </c>
      <c r="L46" s="108">
        <v>838.745</v>
      </c>
      <c r="M46" s="108">
        <v>300</v>
      </c>
      <c r="N46" s="107">
        <f t="shared" si="13"/>
        <v>115.1143</v>
      </c>
      <c r="O46" s="274">
        <v>2</v>
      </c>
      <c r="P46" s="240">
        <f t="shared" si="5"/>
        <v>230.2286</v>
      </c>
      <c r="Q46" s="81">
        <f t="shared" si="16"/>
        <v>69.7714</v>
      </c>
      <c r="R46" s="197" t="str">
        <f t="shared" si="14"/>
        <v>No</v>
      </c>
      <c r="S46" s="369"/>
      <c r="T46" s="369"/>
      <c r="U46" s="242"/>
      <c r="AD46" s="60" t="s">
        <v>91</v>
      </c>
      <c r="AE46" s="350">
        <v>0</v>
      </c>
      <c r="AF46" s="350">
        <v>0</v>
      </c>
      <c r="AG46" s="352">
        <v>0</v>
      </c>
      <c r="AH46" s="352">
        <v>0</v>
      </c>
      <c r="AI46" s="352">
        <v>0</v>
      </c>
      <c r="AJ46" s="60">
        <f t="shared" si="17"/>
        <v>0</v>
      </c>
      <c r="AK46" s="369"/>
      <c r="AL46" s="357" t="s">
        <v>582</v>
      </c>
      <c r="AM46" s="357">
        <v>300</v>
      </c>
      <c r="AN46" s="456">
        <v>17</v>
      </c>
      <c r="AO46" s="459"/>
      <c r="AP46" s="459"/>
      <c r="AR46" s="459"/>
    </row>
    <row r="47" spans="1:44" ht="14.25" customHeight="1" thickBot="1" x14ac:dyDescent="0.25">
      <c r="A47" s="464"/>
      <c r="B47" s="97" t="s">
        <v>347</v>
      </c>
      <c r="C47" s="96" t="s">
        <v>335</v>
      </c>
      <c r="D47" s="110">
        <v>675.17499999999995</v>
      </c>
      <c r="E47" s="110">
        <v>300</v>
      </c>
      <c r="F47" s="110">
        <v>87.5685</v>
      </c>
      <c r="G47" s="271">
        <v>2</v>
      </c>
      <c r="H47" s="179">
        <f t="shared" si="3"/>
        <v>175.137</v>
      </c>
      <c r="I47" s="109">
        <f t="shared" si="12"/>
        <v>212.4315</v>
      </c>
      <c r="J47" s="84">
        <f t="shared" si="15"/>
        <v>58.379000000000005</v>
      </c>
      <c r="K47" s="108" t="s">
        <v>346</v>
      </c>
      <c r="L47" s="108">
        <v>792.93499999999995</v>
      </c>
      <c r="M47" s="108">
        <v>300</v>
      </c>
      <c r="N47" s="107">
        <f t="shared" si="13"/>
        <v>87.5685</v>
      </c>
      <c r="O47" s="274">
        <v>2</v>
      </c>
      <c r="P47" s="240">
        <f t="shared" si="5"/>
        <v>175.137</v>
      </c>
      <c r="Q47" s="81">
        <f t="shared" si="16"/>
        <v>124.863</v>
      </c>
      <c r="R47" s="197" t="str">
        <f t="shared" si="14"/>
        <v>No</v>
      </c>
      <c r="S47" s="369"/>
      <c r="T47" s="369"/>
      <c r="U47" s="242"/>
      <c r="AD47" s="60" t="s">
        <v>92</v>
      </c>
      <c r="AE47" s="352">
        <v>0</v>
      </c>
      <c r="AF47" s="352">
        <v>0</v>
      </c>
      <c r="AG47" s="352">
        <v>0</v>
      </c>
      <c r="AH47" s="352">
        <v>0</v>
      </c>
      <c r="AI47" s="352">
        <v>0</v>
      </c>
      <c r="AJ47" s="60">
        <f t="shared" si="17"/>
        <v>0</v>
      </c>
      <c r="AK47" s="369"/>
      <c r="AL47" s="459"/>
      <c r="AM47" s="459"/>
      <c r="AO47" s="459"/>
      <c r="AP47" s="459"/>
      <c r="AR47" s="459"/>
    </row>
    <row r="48" spans="1:44" ht="14.25" customHeight="1" thickBot="1" x14ac:dyDescent="0.25">
      <c r="A48" s="464"/>
      <c r="B48" s="97" t="s">
        <v>339</v>
      </c>
      <c r="C48" s="96" t="s">
        <v>338</v>
      </c>
      <c r="D48" s="95">
        <v>768.38499999999999</v>
      </c>
      <c r="E48" s="95">
        <v>150</v>
      </c>
      <c r="F48" s="95">
        <v>46.164000000000001</v>
      </c>
      <c r="G48" s="271">
        <v>2</v>
      </c>
      <c r="H48" s="179">
        <f t="shared" si="3"/>
        <v>92.328000000000003</v>
      </c>
      <c r="I48" s="94">
        <f t="shared" si="12"/>
        <v>103.836</v>
      </c>
      <c r="J48" s="84">
        <f t="shared" si="15"/>
        <v>61.552000000000007</v>
      </c>
      <c r="K48" s="93" t="s">
        <v>345</v>
      </c>
      <c r="L48" s="93">
        <v>934.80499999999995</v>
      </c>
      <c r="M48" s="93">
        <v>150</v>
      </c>
      <c r="N48" s="92">
        <f t="shared" si="13"/>
        <v>46.164000000000001</v>
      </c>
      <c r="O48" s="274">
        <v>2</v>
      </c>
      <c r="P48" s="240">
        <f t="shared" si="5"/>
        <v>92.328000000000003</v>
      </c>
      <c r="Q48" s="81">
        <f t="shared" si="16"/>
        <v>57.671999999999997</v>
      </c>
      <c r="R48" s="197" t="str">
        <f t="shared" si="14"/>
        <v>No</v>
      </c>
      <c r="S48" s="369"/>
      <c r="T48" s="369"/>
      <c r="U48" s="242"/>
      <c r="AD48" s="60" t="s">
        <v>93</v>
      </c>
      <c r="AE48" s="352">
        <v>2</v>
      </c>
      <c r="AF48" s="350">
        <v>0</v>
      </c>
      <c r="AG48" s="352">
        <v>0</v>
      </c>
      <c r="AH48" s="352">
        <v>0</v>
      </c>
      <c r="AI48" s="352">
        <v>0</v>
      </c>
      <c r="AJ48" s="60">
        <f t="shared" si="17"/>
        <v>2</v>
      </c>
      <c r="AK48" s="369"/>
      <c r="AL48" s="459"/>
      <c r="AM48" s="459"/>
      <c r="AO48" s="459"/>
      <c r="AP48" s="459"/>
      <c r="AQ48" s="341"/>
      <c r="AR48" s="459"/>
    </row>
    <row r="49" spans="1:44" ht="13.5" thickBot="1" x14ac:dyDescent="0.25">
      <c r="A49" s="462" t="s">
        <v>344</v>
      </c>
      <c r="B49" s="87" t="s">
        <v>343</v>
      </c>
      <c r="C49" s="86" t="s">
        <v>342</v>
      </c>
      <c r="D49" s="85">
        <v>592.98500000000001</v>
      </c>
      <c r="E49" s="85">
        <f>E45</f>
        <v>450</v>
      </c>
      <c r="F49" s="85">
        <v>175.91919999999999</v>
      </c>
      <c r="G49" s="269">
        <v>2</v>
      </c>
      <c r="H49" s="179">
        <f t="shared" si="3"/>
        <v>351.83839999999998</v>
      </c>
      <c r="I49" s="84">
        <f t="shared" si="12"/>
        <v>274.08080000000001</v>
      </c>
      <c r="J49" s="84">
        <f t="shared" si="15"/>
        <v>78.18631111111111</v>
      </c>
      <c r="K49" s="83" t="s">
        <v>341</v>
      </c>
      <c r="L49" s="83">
        <v>992.44500000000005</v>
      </c>
      <c r="M49" s="83">
        <v>450</v>
      </c>
      <c r="N49" s="82">
        <f t="shared" si="13"/>
        <v>175.91919999999999</v>
      </c>
      <c r="O49" s="273">
        <v>2</v>
      </c>
      <c r="P49" s="240">
        <f t="shared" si="5"/>
        <v>351.83839999999998</v>
      </c>
      <c r="Q49" s="81">
        <f t="shared" si="16"/>
        <v>98.161600000000021</v>
      </c>
      <c r="R49" s="197" t="str">
        <f t="shared" si="14"/>
        <v>No</v>
      </c>
      <c r="S49" s="369"/>
      <c r="T49" s="369"/>
      <c r="U49" s="242"/>
      <c r="AD49" s="60" t="s">
        <v>94</v>
      </c>
      <c r="AE49" s="352">
        <v>0</v>
      </c>
      <c r="AF49" s="350">
        <v>2</v>
      </c>
      <c r="AG49" s="352">
        <v>0</v>
      </c>
      <c r="AH49" s="352">
        <v>0</v>
      </c>
      <c r="AI49" s="352">
        <v>0</v>
      </c>
      <c r="AJ49" s="60">
        <f t="shared" si="17"/>
        <v>2</v>
      </c>
      <c r="AK49" s="18"/>
      <c r="AL49" s="18"/>
      <c r="AM49" s="459"/>
      <c r="AO49" s="459"/>
      <c r="AP49" s="459"/>
      <c r="AR49" s="459"/>
    </row>
    <row r="50" spans="1:44" ht="14.25" customHeight="1" thickBot="1" x14ac:dyDescent="0.25">
      <c r="A50" s="464"/>
      <c r="B50" s="97" t="s">
        <v>339</v>
      </c>
      <c r="C50" s="96" t="s">
        <v>338</v>
      </c>
      <c r="D50" s="95">
        <v>768.38499999999999</v>
      </c>
      <c r="E50" s="95">
        <f>E48</f>
        <v>150</v>
      </c>
      <c r="F50" s="95">
        <v>46.164000000000001</v>
      </c>
      <c r="G50" s="271">
        <v>2</v>
      </c>
      <c r="H50" s="179">
        <f t="shared" si="3"/>
        <v>92.328000000000003</v>
      </c>
      <c r="I50" s="94">
        <f t="shared" si="12"/>
        <v>103.836</v>
      </c>
      <c r="J50" s="84">
        <f t="shared" si="15"/>
        <v>61.552000000000007</v>
      </c>
      <c r="K50" s="93" t="s">
        <v>337</v>
      </c>
      <c r="L50" s="93">
        <v>817.04499999999996</v>
      </c>
      <c r="M50" s="93">
        <v>150</v>
      </c>
      <c r="N50" s="92">
        <f t="shared" si="13"/>
        <v>46.164000000000001</v>
      </c>
      <c r="O50" s="274">
        <v>2</v>
      </c>
      <c r="P50" s="240">
        <f t="shared" si="5"/>
        <v>92.328000000000003</v>
      </c>
      <c r="Q50" s="81">
        <f t="shared" si="16"/>
        <v>57.671999999999997</v>
      </c>
      <c r="R50" s="197" t="str">
        <f t="shared" si="14"/>
        <v>No</v>
      </c>
      <c r="S50" s="369"/>
      <c r="T50" s="369"/>
      <c r="U50" s="242"/>
      <c r="AD50" s="358" t="s">
        <v>508</v>
      </c>
      <c r="AE50" s="359">
        <v>0</v>
      </c>
      <c r="AF50" s="359">
        <v>0</v>
      </c>
      <c r="AG50" s="359">
        <v>0</v>
      </c>
      <c r="AH50" s="359">
        <v>0</v>
      </c>
      <c r="AI50" s="359">
        <v>0</v>
      </c>
      <c r="AJ50" s="358">
        <f t="shared" si="17"/>
        <v>0</v>
      </c>
      <c r="AK50" s="369"/>
      <c r="AL50" s="491" t="s">
        <v>614</v>
      </c>
      <c r="AM50" s="492"/>
      <c r="AN50" s="492"/>
      <c r="AO50" s="492"/>
      <c r="AP50" s="492"/>
      <c r="AQ50" s="493"/>
      <c r="AR50" s="161"/>
    </row>
    <row r="51" spans="1:44" ht="13.5" thickBot="1" x14ac:dyDescent="0.25">
      <c r="A51" s="462" t="s">
        <v>340</v>
      </c>
      <c r="B51" s="87" t="s">
        <v>339</v>
      </c>
      <c r="C51" s="86" t="s">
        <v>338</v>
      </c>
      <c r="D51" s="85">
        <v>768.38499999999999</v>
      </c>
      <c r="E51" s="85">
        <f>E50</f>
        <v>150</v>
      </c>
      <c r="F51" s="85">
        <v>46.164000000000001</v>
      </c>
      <c r="G51" s="269">
        <v>2</v>
      </c>
      <c r="H51" s="179">
        <f t="shared" si="3"/>
        <v>92.328000000000003</v>
      </c>
      <c r="I51" s="84">
        <f t="shared" si="12"/>
        <v>103.836</v>
      </c>
      <c r="J51" s="84">
        <f t="shared" si="15"/>
        <v>61.552000000000007</v>
      </c>
      <c r="K51" s="83" t="s">
        <v>337</v>
      </c>
      <c r="L51" s="83">
        <v>817.04499999999996</v>
      </c>
      <c r="M51" s="83">
        <v>150</v>
      </c>
      <c r="N51" s="82">
        <f t="shared" si="13"/>
        <v>46.164000000000001</v>
      </c>
      <c r="O51" s="273">
        <v>2</v>
      </c>
      <c r="P51" s="240">
        <f t="shared" si="5"/>
        <v>92.328000000000003</v>
      </c>
      <c r="Q51" s="81">
        <f t="shared" si="16"/>
        <v>57.671999999999997</v>
      </c>
      <c r="R51" s="197" t="str">
        <f t="shared" si="14"/>
        <v>No</v>
      </c>
      <c r="S51" s="369"/>
      <c r="T51" s="369"/>
      <c r="U51" s="242"/>
      <c r="AD51" s="328" t="s">
        <v>537</v>
      </c>
      <c r="AE51" s="360">
        <f t="shared" ref="AE51:AJ51" si="18">SUM(AE39:AE50)</f>
        <v>4</v>
      </c>
      <c r="AF51" s="360">
        <f t="shared" si="18"/>
        <v>4</v>
      </c>
      <c r="AG51" s="360">
        <f t="shared" si="18"/>
        <v>0</v>
      </c>
      <c r="AH51" s="360">
        <f t="shared" si="18"/>
        <v>0</v>
      </c>
      <c r="AI51" s="360">
        <f t="shared" si="18"/>
        <v>0</v>
      </c>
      <c r="AJ51" s="361">
        <f t="shared" si="18"/>
        <v>8</v>
      </c>
      <c r="AK51" s="369"/>
      <c r="AL51" s="346" t="s">
        <v>528</v>
      </c>
      <c r="AM51" s="348" t="s">
        <v>529</v>
      </c>
      <c r="AN51" s="348" t="s">
        <v>530</v>
      </c>
      <c r="AO51" s="348" t="s">
        <v>531</v>
      </c>
      <c r="AP51" s="348" t="s">
        <v>532</v>
      </c>
      <c r="AQ51" s="349" t="s">
        <v>582</v>
      </c>
      <c r="AR51" s="328" t="s">
        <v>417</v>
      </c>
    </row>
    <row r="52" spans="1:44" ht="14.25" customHeight="1" thickBot="1" x14ac:dyDescent="0.25">
      <c r="A52" s="464"/>
      <c r="B52" s="97" t="s">
        <v>30</v>
      </c>
      <c r="C52" s="96" t="s">
        <v>326</v>
      </c>
      <c r="D52" s="95">
        <v>317.27</v>
      </c>
      <c r="E52" s="95">
        <v>400</v>
      </c>
      <c r="F52" s="95">
        <v>136.87530000000001</v>
      </c>
      <c r="G52" s="271">
        <v>2</v>
      </c>
      <c r="H52" s="179">
        <f t="shared" si="3"/>
        <v>273.75060000000002</v>
      </c>
      <c r="I52" s="94">
        <f t="shared" si="12"/>
        <v>263.12469999999996</v>
      </c>
      <c r="J52" s="84">
        <f t="shared" si="15"/>
        <v>68.437650000000005</v>
      </c>
      <c r="K52" s="93" t="s">
        <v>325</v>
      </c>
      <c r="L52" s="93">
        <v>518.48</v>
      </c>
      <c r="M52" s="93">
        <v>400</v>
      </c>
      <c r="N52" s="92">
        <f t="shared" si="13"/>
        <v>136.87530000000001</v>
      </c>
      <c r="O52" s="274">
        <v>2</v>
      </c>
      <c r="P52" s="240">
        <f t="shared" si="5"/>
        <v>273.75060000000002</v>
      </c>
      <c r="Q52" s="81">
        <f t="shared" si="16"/>
        <v>126.24939999999998</v>
      </c>
      <c r="R52" s="197" t="str">
        <f t="shared" si="14"/>
        <v>No</v>
      </c>
      <c r="S52" s="369"/>
      <c r="T52" s="369"/>
      <c r="U52" s="242"/>
      <c r="AD52" s="328" t="s">
        <v>536</v>
      </c>
      <c r="AE52" s="362">
        <f>PRODUCT(AE51*AN42)</f>
        <v>60</v>
      </c>
      <c r="AF52" s="452">
        <f>PRODUCT(AF51*AN43)</f>
        <v>65.4756</v>
      </c>
      <c r="AG52" s="452">
        <f>PRODUCT(AG51*AN44)</f>
        <v>0</v>
      </c>
      <c r="AH52" s="452">
        <f>PRODUCT(AH51*AN45)</f>
        <v>0</v>
      </c>
      <c r="AI52" s="452">
        <f>PRODUCT(AI51*AN46)</f>
        <v>0</v>
      </c>
      <c r="AJ52" s="453">
        <f>SUM(AE52:AI52)</f>
        <v>125.4756</v>
      </c>
      <c r="AK52" s="369"/>
      <c r="AL52" s="60" t="s">
        <v>84</v>
      </c>
      <c r="AM52" s="352">
        <f>AE39+AE59</f>
        <v>0</v>
      </c>
      <c r="AN52" s="352">
        <f t="shared" ref="AN52:AQ63" si="19">AF39+AF59</f>
        <v>10</v>
      </c>
      <c r="AO52" s="352">
        <f t="shared" si="19"/>
        <v>3</v>
      </c>
      <c r="AP52" s="352">
        <f t="shared" si="19"/>
        <v>2</v>
      </c>
      <c r="AQ52" s="352">
        <f t="shared" si="19"/>
        <v>0</v>
      </c>
      <c r="AR52" s="353">
        <f>SUM(AM52:AQ52)</f>
        <v>15</v>
      </c>
    </row>
    <row r="53" spans="1:44" ht="13.5" thickBot="1" x14ac:dyDescent="0.25">
      <c r="A53" s="462" t="s">
        <v>336</v>
      </c>
      <c r="B53" s="87" t="s">
        <v>28</v>
      </c>
      <c r="C53" s="86" t="s">
        <v>335</v>
      </c>
      <c r="D53" s="85">
        <v>675.17499999999995</v>
      </c>
      <c r="E53" s="85">
        <f>E47</f>
        <v>300</v>
      </c>
      <c r="F53" s="85">
        <v>87.5685</v>
      </c>
      <c r="G53" s="269">
        <v>2</v>
      </c>
      <c r="H53" s="179">
        <f t="shared" si="3"/>
        <v>175.137</v>
      </c>
      <c r="I53" s="84">
        <f t="shared" si="12"/>
        <v>212.4315</v>
      </c>
      <c r="J53" s="84">
        <f t="shared" si="15"/>
        <v>58.379000000000005</v>
      </c>
      <c r="K53" s="83" t="s">
        <v>334</v>
      </c>
      <c r="L53" s="83">
        <v>792.93499999999995</v>
      </c>
      <c r="M53" s="83">
        <v>300</v>
      </c>
      <c r="N53" s="82">
        <f t="shared" si="13"/>
        <v>87.5685</v>
      </c>
      <c r="O53" s="273">
        <v>2</v>
      </c>
      <c r="P53" s="240">
        <f t="shared" si="5"/>
        <v>175.137</v>
      </c>
      <c r="Q53" s="81">
        <f t="shared" si="16"/>
        <v>124.863</v>
      </c>
      <c r="R53" s="197" t="str">
        <f t="shared" si="14"/>
        <v>No</v>
      </c>
      <c r="S53" s="369"/>
      <c r="T53" s="369"/>
      <c r="U53" s="242"/>
      <c r="AD53" s="328" t="s">
        <v>535</v>
      </c>
      <c r="AE53" s="362">
        <f>AE51*AM42</f>
        <v>400</v>
      </c>
      <c r="AF53" s="362">
        <f>AF51*AM43</f>
        <v>600</v>
      </c>
      <c r="AG53" s="362">
        <f>AG51*AM44</f>
        <v>0</v>
      </c>
      <c r="AH53" s="362">
        <f>AH51*AM45</f>
        <v>0</v>
      </c>
      <c r="AI53" s="362">
        <f>AI51*AM46</f>
        <v>0</v>
      </c>
      <c r="AJ53" s="328">
        <f>SUM(AE53:AI53)</f>
        <v>1000</v>
      </c>
      <c r="AK53" s="369"/>
      <c r="AL53" s="60" t="s">
        <v>85</v>
      </c>
      <c r="AM53" s="352">
        <f t="shared" ref="AM53:AM63" si="20">AE40+AE60</f>
        <v>0</v>
      </c>
      <c r="AN53" s="352">
        <f t="shared" si="19"/>
        <v>14</v>
      </c>
      <c r="AO53" s="352">
        <f t="shared" si="19"/>
        <v>8</v>
      </c>
      <c r="AP53" s="352">
        <f t="shared" si="19"/>
        <v>0</v>
      </c>
      <c r="AQ53" s="352">
        <f t="shared" si="19"/>
        <v>5</v>
      </c>
      <c r="AR53" s="60">
        <f t="shared" ref="AR53:AR63" si="21">SUM(AM53:AQ53)</f>
        <v>27</v>
      </c>
    </row>
    <row r="54" spans="1:44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95">
        <v>200</v>
      </c>
      <c r="F54" s="95">
        <v>33.29833</v>
      </c>
      <c r="G54" s="271">
        <v>2</v>
      </c>
      <c r="H54" s="179">
        <f t="shared" si="3"/>
        <v>66.59666</v>
      </c>
      <c r="I54" s="94">
        <f t="shared" si="12"/>
        <v>166.70167000000001</v>
      </c>
      <c r="J54" s="84">
        <f t="shared" si="15"/>
        <v>33.29833</v>
      </c>
      <c r="K54" s="93" t="s">
        <v>331</v>
      </c>
      <c r="L54" s="93">
        <v>524.75</v>
      </c>
      <c r="M54" s="93">
        <v>200</v>
      </c>
      <c r="N54" s="92">
        <f t="shared" si="13"/>
        <v>33.29833</v>
      </c>
      <c r="O54" s="274">
        <v>2</v>
      </c>
      <c r="P54" s="240">
        <f t="shared" si="5"/>
        <v>66.59666</v>
      </c>
      <c r="Q54" s="81">
        <f t="shared" si="16"/>
        <v>133.40334000000001</v>
      </c>
      <c r="R54" s="197" t="str">
        <f t="shared" si="14"/>
        <v>No</v>
      </c>
      <c r="S54" s="369"/>
      <c r="T54" s="369"/>
      <c r="U54" s="242"/>
      <c r="AD54" s="369"/>
      <c r="AE54" s="369"/>
      <c r="AF54" s="369"/>
      <c r="AG54" s="369"/>
      <c r="AH54" s="369"/>
      <c r="AI54" s="369"/>
      <c r="AJ54" s="369"/>
      <c r="AK54" s="369"/>
      <c r="AL54" s="60" t="s">
        <v>86</v>
      </c>
      <c r="AM54" s="352">
        <f t="shared" si="20"/>
        <v>0</v>
      </c>
      <c r="AN54" s="352">
        <f t="shared" si="19"/>
        <v>0</v>
      </c>
      <c r="AO54" s="352">
        <f t="shared" si="19"/>
        <v>5</v>
      </c>
      <c r="AP54" s="352">
        <f t="shared" si="19"/>
        <v>0</v>
      </c>
      <c r="AQ54" s="352">
        <f t="shared" si="19"/>
        <v>3</v>
      </c>
      <c r="AR54" s="60">
        <f t="shared" si="21"/>
        <v>8</v>
      </c>
    </row>
    <row r="55" spans="1:44" ht="13.5" thickBot="1" x14ac:dyDescent="0.25">
      <c r="A55" s="462" t="s">
        <v>330</v>
      </c>
      <c r="B55" s="87" t="s">
        <v>329</v>
      </c>
      <c r="C55" s="86" t="s">
        <v>61</v>
      </c>
      <c r="D55" s="85">
        <v>381.34</v>
      </c>
      <c r="E55" s="85">
        <f>E40</f>
        <v>600</v>
      </c>
      <c r="F55" s="85">
        <v>233.80699999999999</v>
      </c>
      <c r="G55" s="269">
        <v>2</v>
      </c>
      <c r="H55" s="179">
        <f t="shared" si="3"/>
        <v>467.61399999999998</v>
      </c>
      <c r="I55" s="84">
        <f t="shared" si="12"/>
        <v>366.19299999999998</v>
      </c>
      <c r="J55" s="84">
        <f t="shared" si="15"/>
        <v>77.935666666666663</v>
      </c>
      <c r="K55" s="83" t="s">
        <v>328</v>
      </c>
      <c r="L55" s="83">
        <v>673.16499999999996</v>
      </c>
      <c r="M55" s="83">
        <v>450</v>
      </c>
      <c r="N55" s="82">
        <f t="shared" si="13"/>
        <v>233.80699999999999</v>
      </c>
      <c r="O55" s="273">
        <v>2</v>
      </c>
      <c r="P55" s="240">
        <f t="shared" si="5"/>
        <v>467.61399999999998</v>
      </c>
      <c r="Q55" s="81">
        <f t="shared" si="16"/>
        <v>-17.613999999999976</v>
      </c>
      <c r="R55" s="197" t="str">
        <f t="shared" si="14"/>
        <v>Yes</v>
      </c>
      <c r="S55" s="369"/>
      <c r="T55" s="369"/>
      <c r="U55" s="242"/>
      <c r="AD55" s="369"/>
      <c r="AE55" s="369"/>
      <c r="AF55" s="369"/>
      <c r="AG55" s="369"/>
      <c r="AH55" s="369"/>
      <c r="AI55" s="369"/>
      <c r="AJ55" s="369"/>
      <c r="AK55" s="369"/>
      <c r="AL55" s="60" t="s">
        <v>87</v>
      </c>
      <c r="AM55" s="352">
        <f t="shared" si="20"/>
        <v>0</v>
      </c>
      <c r="AN55" s="352">
        <f t="shared" si="19"/>
        <v>27</v>
      </c>
      <c r="AO55" s="352">
        <f t="shared" si="19"/>
        <v>34</v>
      </c>
      <c r="AP55" s="352">
        <f t="shared" si="19"/>
        <v>20</v>
      </c>
      <c r="AQ55" s="352">
        <f t="shared" si="19"/>
        <v>0</v>
      </c>
      <c r="AR55" s="60">
        <f t="shared" si="21"/>
        <v>81</v>
      </c>
    </row>
    <row r="56" spans="1:44" ht="14.25" customHeight="1" thickBot="1" x14ac:dyDescent="0.25">
      <c r="A56" s="463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270">
        <v>2</v>
      </c>
      <c r="H56" s="179">
        <f t="shared" si="3"/>
        <v>273.75060000000002</v>
      </c>
      <c r="I56" s="73">
        <f t="shared" si="12"/>
        <v>263.12469999999996</v>
      </c>
      <c r="J56" s="84">
        <f t="shared" si="15"/>
        <v>68.437650000000005</v>
      </c>
      <c r="K56" s="72" t="s">
        <v>325</v>
      </c>
      <c r="L56" s="72">
        <v>518.48</v>
      </c>
      <c r="M56" s="72">
        <v>400</v>
      </c>
      <c r="N56" s="71">
        <f t="shared" si="13"/>
        <v>136.87530000000001</v>
      </c>
      <c r="O56" s="275">
        <v>2</v>
      </c>
      <c r="P56" s="240">
        <f t="shared" si="5"/>
        <v>273.75060000000002</v>
      </c>
      <c r="Q56" s="81">
        <f t="shared" si="16"/>
        <v>126.24939999999998</v>
      </c>
      <c r="R56" s="243" t="str">
        <f t="shared" si="14"/>
        <v>No</v>
      </c>
      <c r="S56" s="369"/>
      <c r="T56" s="369"/>
      <c r="U56" s="242"/>
      <c r="AD56" s="369"/>
      <c r="AE56" s="369"/>
      <c r="AF56" s="369"/>
      <c r="AG56" s="369"/>
      <c r="AH56" s="369"/>
      <c r="AI56" s="369"/>
      <c r="AJ56" s="369"/>
      <c r="AK56" s="369"/>
      <c r="AL56" s="60" t="s">
        <v>88</v>
      </c>
      <c r="AM56" s="352">
        <f t="shared" si="20"/>
        <v>1</v>
      </c>
      <c r="AN56" s="352">
        <f t="shared" si="19"/>
        <v>0</v>
      </c>
      <c r="AO56" s="352">
        <f t="shared" si="19"/>
        <v>16</v>
      </c>
      <c r="AP56" s="352">
        <f t="shared" si="19"/>
        <v>1</v>
      </c>
      <c r="AQ56" s="352">
        <f t="shared" si="19"/>
        <v>0</v>
      </c>
      <c r="AR56" s="60">
        <f t="shared" si="21"/>
        <v>18</v>
      </c>
    </row>
    <row r="57" spans="1:44" x14ac:dyDescent="0.2">
      <c r="A57" s="304"/>
      <c r="B57" s="64"/>
      <c r="C57" s="304"/>
      <c r="D57" s="304" t="s">
        <v>369</v>
      </c>
      <c r="E57" s="304">
        <f>SUM(E3:E56)</f>
        <v>36600</v>
      </c>
      <c r="F57" s="64"/>
      <c r="G57" s="64"/>
      <c r="H57" s="6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69"/>
      <c r="T57" s="369"/>
      <c r="AD57" s="491" t="s">
        <v>613</v>
      </c>
      <c r="AE57" s="492"/>
      <c r="AF57" s="492"/>
      <c r="AG57" s="492"/>
      <c r="AH57" s="492"/>
      <c r="AI57" s="493"/>
      <c r="AJ57" s="161"/>
      <c r="AL57" s="60" t="s">
        <v>89</v>
      </c>
      <c r="AM57" s="352">
        <f t="shared" si="20"/>
        <v>0</v>
      </c>
      <c r="AN57" s="352">
        <f t="shared" si="19"/>
        <v>16</v>
      </c>
      <c r="AO57" s="352">
        <f t="shared" si="19"/>
        <v>1</v>
      </c>
      <c r="AP57" s="352">
        <f t="shared" si="19"/>
        <v>1</v>
      </c>
      <c r="AQ57" s="352">
        <f t="shared" si="19"/>
        <v>0</v>
      </c>
      <c r="AR57" s="60">
        <f t="shared" si="21"/>
        <v>18</v>
      </c>
    </row>
    <row r="58" spans="1:44" x14ac:dyDescent="0.2">
      <c r="A58" s="304"/>
      <c r="B58" s="64"/>
      <c r="C58" s="304"/>
      <c r="D58" s="304"/>
      <c r="E58" s="304"/>
      <c r="F58" s="64"/>
      <c r="G58" s="64"/>
      <c r="H58" s="6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69"/>
      <c r="T58" s="369"/>
      <c r="AD58" s="346" t="s">
        <v>528</v>
      </c>
      <c r="AE58" s="348" t="s">
        <v>529</v>
      </c>
      <c r="AF58" s="348" t="s">
        <v>530</v>
      </c>
      <c r="AG58" s="348" t="s">
        <v>531</v>
      </c>
      <c r="AH58" s="348" t="s">
        <v>532</v>
      </c>
      <c r="AI58" s="349" t="s">
        <v>582</v>
      </c>
      <c r="AJ58" s="328" t="s">
        <v>417</v>
      </c>
      <c r="AL58" s="60" t="s">
        <v>90</v>
      </c>
      <c r="AM58" s="352">
        <f t="shared" si="20"/>
        <v>1</v>
      </c>
      <c r="AN58" s="352">
        <f t="shared" si="19"/>
        <v>0</v>
      </c>
      <c r="AO58" s="352">
        <f t="shared" si="19"/>
        <v>1</v>
      </c>
      <c r="AP58" s="352">
        <f t="shared" si="19"/>
        <v>3</v>
      </c>
      <c r="AQ58" s="352">
        <f t="shared" si="19"/>
        <v>2</v>
      </c>
      <c r="AR58" s="60">
        <f t="shared" si="21"/>
        <v>7</v>
      </c>
    </row>
    <row r="59" spans="1:44" x14ac:dyDescent="0.2">
      <c r="A59" s="304"/>
      <c r="B59" s="64"/>
      <c r="C59" s="304"/>
      <c r="D59" s="304"/>
      <c r="E59" s="304"/>
      <c r="F59" s="64"/>
      <c r="G59" s="64"/>
      <c r="H59" s="6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69"/>
      <c r="T59" s="304"/>
      <c r="AD59" s="60" t="s">
        <v>84</v>
      </c>
      <c r="AE59" s="352">
        <v>0</v>
      </c>
      <c r="AF59" s="352">
        <f>10</f>
        <v>10</v>
      </c>
      <c r="AG59" s="450">
        <f>2+1</f>
        <v>3</v>
      </c>
      <c r="AH59" s="450">
        <f>2</f>
        <v>2</v>
      </c>
      <c r="AI59" s="352">
        <v>0</v>
      </c>
      <c r="AJ59" s="353">
        <f>SUM(AE59:AI59)</f>
        <v>15</v>
      </c>
      <c r="AL59" s="60" t="s">
        <v>91</v>
      </c>
      <c r="AM59" s="352">
        <f t="shared" si="20"/>
        <v>0</v>
      </c>
      <c r="AN59" s="352">
        <f t="shared" si="19"/>
        <v>19</v>
      </c>
      <c r="AO59" s="352">
        <f t="shared" si="19"/>
        <v>3</v>
      </c>
      <c r="AP59" s="352">
        <f t="shared" si="19"/>
        <v>2</v>
      </c>
      <c r="AQ59" s="352">
        <f t="shared" si="19"/>
        <v>0</v>
      </c>
      <c r="AR59" s="60">
        <f t="shared" si="21"/>
        <v>24</v>
      </c>
    </row>
    <row r="60" spans="1:44" x14ac:dyDescent="0.2">
      <c r="A60" s="304"/>
      <c r="B60" s="64"/>
      <c r="C60" s="304"/>
      <c r="D60" s="304"/>
      <c r="E60" s="304"/>
      <c r="F60" s="64"/>
      <c r="G60" s="64"/>
      <c r="H60" s="6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69"/>
      <c r="T60" s="304"/>
      <c r="AD60" s="60" t="s">
        <v>85</v>
      </c>
      <c r="AE60" s="352">
        <v>0</v>
      </c>
      <c r="AF60" s="352">
        <f>7+3+4</f>
        <v>14</v>
      </c>
      <c r="AG60" s="352">
        <f>5+3</f>
        <v>8</v>
      </c>
      <c r="AH60" s="352">
        <v>0</v>
      </c>
      <c r="AI60" s="352">
        <f>3+2</f>
        <v>5</v>
      </c>
      <c r="AJ60" s="60">
        <f t="shared" ref="AJ60:AJ70" si="22">SUM(AE60:AI60)</f>
        <v>27</v>
      </c>
      <c r="AL60" s="60" t="s">
        <v>92</v>
      </c>
      <c r="AM60" s="352">
        <f t="shared" si="20"/>
        <v>0</v>
      </c>
      <c r="AN60" s="352">
        <f t="shared" si="19"/>
        <v>7</v>
      </c>
      <c r="AO60" s="352">
        <f t="shared" si="19"/>
        <v>16</v>
      </c>
      <c r="AP60" s="352">
        <f t="shared" si="19"/>
        <v>0</v>
      </c>
      <c r="AQ60" s="352">
        <f t="shared" si="19"/>
        <v>0</v>
      </c>
      <c r="AR60" s="60">
        <f t="shared" si="21"/>
        <v>23</v>
      </c>
    </row>
    <row r="61" spans="1:44" x14ac:dyDescent="0.2">
      <c r="A61" s="304"/>
      <c r="B61" s="64"/>
      <c r="C61" s="304"/>
      <c r="D61" s="304"/>
      <c r="E61" s="304"/>
      <c r="F61" s="64"/>
      <c r="G61" s="64"/>
      <c r="H61" s="6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69"/>
      <c r="T61" s="304"/>
      <c r="AD61" s="60" t="s">
        <v>86</v>
      </c>
      <c r="AE61" s="352">
        <v>0</v>
      </c>
      <c r="AF61" s="352">
        <v>0</v>
      </c>
      <c r="AG61" s="350">
        <f>4+1</f>
        <v>5</v>
      </c>
      <c r="AH61" s="352">
        <v>0</v>
      </c>
      <c r="AI61" s="352">
        <f>3</f>
        <v>3</v>
      </c>
      <c r="AJ61" s="60">
        <f t="shared" si="22"/>
        <v>8</v>
      </c>
      <c r="AL61" s="60" t="s">
        <v>93</v>
      </c>
      <c r="AM61" s="352">
        <f t="shared" si="20"/>
        <v>2</v>
      </c>
      <c r="AN61" s="352">
        <f t="shared" si="19"/>
        <v>0</v>
      </c>
      <c r="AO61" s="352">
        <f t="shared" si="19"/>
        <v>3</v>
      </c>
      <c r="AP61" s="352">
        <f t="shared" si="19"/>
        <v>8</v>
      </c>
      <c r="AQ61" s="352">
        <f t="shared" si="19"/>
        <v>0</v>
      </c>
      <c r="AR61" s="60">
        <f t="shared" si="21"/>
        <v>13</v>
      </c>
    </row>
    <row r="62" spans="1:44" x14ac:dyDescent="0.2">
      <c r="A62" s="304"/>
      <c r="B62" s="65"/>
      <c r="C62" s="304"/>
      <c r="D62" s="304"/>
      <c r="E62" s="304"/>
      <c r="F62" s="64"/>
      <c r="G62" s="64"/>
      <c r="H62" s="6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69"/>
      <c r="T62" s="304"/>
      <c r="AD62" s="60" t="s">
        <v>87</v>
      </c>
      <c r="AE62" s="352">
        <v>0</v>
      </c>
      <c r="AF62" s="451">
        <f>10+7+8</f>
        <v>25</v>
      </c>
      <c r="AG62" s="352">
        <f>5+4+8+14+3</f>
        <v>34</v>
      </c>
      <c r="AH62" s="352">
        <f>3+8+9</f>
        <v>20</v>
      </c>
      <c r="AI62" s="352">
        <v>0</v>
      </c>
      <c r="AJ62" s="60">
        <f t="shared" si="22"/>
        <v>79</v>
      </c>
      <c r="AL62" s="60" t="s">
        <v>94</v>
      </c>
      <c r="AM62" s="352">
        <f t="shared" si="20"/>
        <v>0</v>
      </c>
      <c r="AN62" s="352">
        <f t="shared" si="19"/>
        <v>4</v>
      </c>
      <c r="AO62" s="352">
        <f t="shared" si="19"/>
        <v>3</v>
      </c>
      <c r="AP62" s="352">
        <f t="shared" si="19"/>
        <v>9</v>
      </c>
      <c r="AQ62" s="352">
        <f t="shared" si="19"/>
        <v>0</v>
      </c>
      <c r="AR62" s="60">
        <f t="shared" si="21"/>
        <v>16</v>
      </c>
    </row>
    <row r="63" spans="1:44" x14ac:dyDescent="0.2">
      <c r="A63" s="304"/>
      <c r="B63" s="65"/>
      <c r="C63" s="304"/>
      <c r="D63" s="304"/>
      <c r="E63" s="304"/>
      <c r="F63" s="64"/>
      <c r="G63" s="64"/>
      <c r="H63" s="6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69"/>
      <c r="T63" s="304"/>
      <c r="AD63" s="60" t="s">
        <v>88</v>
      </c>
      <c r="AE63" s="352">
        <v>0</v>
      </c>
      <c r="AF63" s="352">
        <v>0</v>
      </c>
      <c r="AG63" s="352">
        <f>2+3+1+8+1+1</f>
        <v>16</v>
      </c>
      <c r="AH63" s="352">
        <f>1</f>
        <v>1</v>
      </c>
      <c r="AI63" s="352">
        <v>0</v>
      </c>
      <c r="AJ63" s="60">
        <f t="shared" si="22"/>
        <v>17</v>
      </c>
      <c r="AL63" s="358" t="s">
        <v>508</v>
      </c>
      <c r="AM63" s="352">
        <f t="shared" si="20"/>
        <v>0</v>
      </c>
      <c r="AN63" s="352">
        <f t="shared" si="19"/>
        <v>1</v>
      </c>
      <c r="AO63" s="352">
        <f t="shared" si="19"/>
        <v>3</v>
      </c>
      <c r="AP63" s="352">
        <f t="shared" si="19"/>
        <v>0</v>
      </c>
      <c r="AQ63" s="352">
        <f t="shared" si="19"/>
        <v>0</v>
      </c>
      <c r="AR63" s="358">
        <f t="shared" si="21"/>
        <v>4</v>
      </c>
    </row>
    <row r="64" spans="1:44" x14ac:dyDescent="0.2">
      <c r="A64" s="304"/>
      <c r="B64" s="65"/>
      <c r="C64" s="304"/>
      <c r="D64" s="304"/>
      <c r="E64" s="304"/>
      <c r="F64" s="64"/>
      <c r="G64" s="64"/>
      <c r="H64" s="6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69"/>
      <c r="T64" s="304"/>
      <c r="AD64" s="60" t="s">
        <v>89</v>
      </c>
      <c r="AE64" s="352">
        <v>0</v>
      </c>
      <c r="AF64" s="352">
        <f>7+7+2</f>
        <v>16</v>
      </c>
      <c r="AG64" s="352">
        <f>1</f>
        <v>1</v>
      </c>
      <c r="AH64" s="352">
        <f>1</f>
        <v>1</v>
      </c>
      <c r="AI64" s="352">
        <v>0</v>
      </c>
      <c r="AJ64" s="60">
        <f t="shared" si="22"/>
        <v>18</v>
      </c>
      <c r="AL64" s="328" t="s">
        <v>537</v>
      </c>
      <c r="AM64" s="360">
        <f t="shared" ref="AM64:AR64" si="23">SUM(AM52:AM63)</f>
        <v>4</v>
      </c>
      <c r="AN64" s="360">
        <f t="shared" si="23"/>
        <v>98</v>
      </c>
      <c r="AO64" s="360">
        <f t="shared" si="23"/>
        <v>96</v>
      </c>
      <c r="AP64" s="360">
        <f t="shared" si="23"/>
        <v>46</v>
      </c>
      <c r="AQ64" s="360">
        <f t="shared" si="23"/>
        <v>10</v>
      </c>
      <c r="AR64" s="361">
        <f t="shared" si="23"/>
        <v>254</v>
      </c>
    </row>
    <row r="65" spans="1:44" x14ac:dyDescent="0.2">
      <c r="A65" s="304"/>
      <c r="B65" s="64"/>
      <c r="C65" s="304"/>
      <c r="D65" s="304"/>
      <c r="M65" s="304"/>
      <c r="N65" s="304"/>
      <c r="O65" s="304"/>
      <c r="P65" s="304"/>
      <c r="R65" s="304"/>
      <c r="S65" s="369"/>
      <c r="T65" s="304"/>
      <c r="AD65" s="60" t="s">
        <v>90</v>
      </c>
      <c r="AE65" s="352">
        <v>0</v>
      </c>
      <c r="AF65" s="350">
        <v>0</v>
      </c>
      <c r="AG65" s="350">
        <f>1</f>
        <v>1</v>
      </c>
      <c r="AH65" s="352">
        <f>3</f>
        <v>3</v>
      </c>
      <c r="AI65" s="352">
        <f>2</f>
        <v>2</v>
      </c>
      <c r="AJ65" s="60">
        <f t="shared" si="22"/>
        <v>6</v>
      </c>
      <c r="AL65" s="328" t="s">
        <v>536</v>
      </c>
      <c r="AM65" s="362">
        <f>PRODUCT(AM64*AN42)</f>
        <v>60</v>
      </c>
      <c r="AN65" s="452">
        <f>PRODUCT(AN64*AN43)</f>
        <v>1604.1522</v>
      </c>
      <c r="AO65" s="452">
        <f>PRODUCT(AO64*AN44)</f>
        <v>1607.6831999999999</v>
      </c>
      <c r="AP65" s="452">
        <f>PRODUCT(AP64*AN45)</f>
        <v>776.78360000000009</v>
      </c>
      <c r="AQ65" s="452">
        <f>PRODUCT(AQ64*AN46)</f>
        <v>170</v>
      </c>
      <c r="AR65" s="453">
        <f>SUM(AM65:AQ65)</f>
        <v>4218.6190000000006</v>
      </c>
    </row>
    <row r="66" spans="1:44" x14ac:dyDescent="0.2">
      <c r="A66" s="304"/>
      <c r="B66" s="64"/>
      <c r="C66" s="304"/>
      <c r="D66" s="304"/>
      <c r="M66" s="304"/>
      <c r="N66" s="304"/>
      <c r="O66" s="304"/>
      <c r="P66" s="304"/>
      <c r="R66" s="304"/>
      <c r="S66" s="369"/>
      <c r="T66" s="304"/>
      <c r="AD66" s="60" t="s">
        <v>91</v>
      </c>
      <c r="AE66" s="352">
        <v>0</v>
      </c>
      <c r="AF66" s="350">
        <f>3+8+2+3+2+1</f>
        <v>19</v>
      </c>
      <c r="AG66" s="352">
        <f>1+2</f>
        <v>3</v>
      </c>
      <c r="AH66" s="352">
        <f>2</f>
        <v>2</v>
      </c>
      <c r="AI66" s="352">
        <v>0</v>
      </c>
      <c r="AJ66" s="60">
        <f t="shared" si="22"/>
        <v>24</v>
      </c>
      <c r="AL66" s="328" t="s">
        <v>583</v>
      </c>
      <c r="AM66" s="362">
        <f>AM64*AM42</f>
        <v>400</v>
      </c>
      <c r="AN66" s="362">
        <f>AN64*AM43</f>
        <v>14700</v>
      </c>
      <c r="AO66" s="362">
        <f>AO64*AM44</f>
        <v>19200</v>
      </c>
      <c r="AP66" s="362">
        <f>AP64*AM45</f>
        <v>11500</v>
      </c>
      <c r="AQ66" s="362">
        <f>AQ64*AM46</f>
        <v>3000</v>
      </c>
      <c r="AR66" s="328">
        <f>SUM(AM66:AQ66)</f>
        <v>48800</v>
      </c>
    </row>
    <row r="67" spans="1:44" x14ac:dyDescent="0.2">
      <c r="A67" s="304"/>
      <c r="B67" s="64"/>
      <c r="C67" s="304"/>
      <c r="D67" s="304"/>
      <c r="M67" s="304"/>
      <c r="N67" s="304"/>
      <c r="O67" s="304"/>
      <c r="P67" s="304"/>
      <c r="R67" s="304"/>
      <c r="S67" s="369"/>
      <c r="T67" s="304"/>
      <c r="AD67" s="60" t="s">
        <v>92</v>
      </c>
      <c r="AE67" s="352">
        <v>0</v>
      </c>
      <c r="AF67" s="350">
        <f>4+3</f>
        <v>7</v>
      </c>
      <c r="AG67" s="352">
        <f>14+2</f>
        <v>16</v>
      </c>
      <c r="AH67" s="352">
        <v>0</v>
      </c>
      <c r="AI67" s="352">
        <v>0</v>
      </c>
      <c r="AJ67" s="60">
        <f t="shared" si="22"/>
        <v>23</v>
      </c>
      <c r="AM67" s="459"/>
      <c r="AN67" s="350"/>
      <c r="AO67" s="350"/>
      <c r="AP67" s="352"/>
      <c r="AQ67" s="352"/>
      <c r="AR67" s="352"/>
    </row>
    <row r="68" spans="1:44" x14ac:dyDescent="0.2">
      <c r="A68" s="304"/>
      <c r="B68" s="64"/>
      <c r="C68" s="304"/>
      <c r="D68" s="304"/>
      <c r="E68" s="304"/>
      <c r="F68" s="64"/>
      <c r="G68" s="64"/>
      <c r="H68" s="6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69"/>
      <c r="T68" s="304"/>
      <c r="AD68" s="60" t="s">
        <v>93</v>
      </c>
      <c r="AE68" s="352">
        <v>0</v>
      </c>
      <c r="AF68" s="350">
        <v>0</v>
      </c>
      <c r="AG68" s="352">
        <f>2+1</f>
        <v>3</v>
      </c>
      <c r="AH68" s="352">
        <f>8</f>
        <v>8</v>
      </c>
      <c r="AI68" s="352">
        <v>0</v>
      </c>
      <c r="AJ68" s="60">
        <f t="shared" si="22"/>
        <v>11</v>
      </c>
      <c r="AM68" s="459"/>
      <c r="AN68" s="352"/>
      <c r="AO68" s="352"/>
      <c r="AP68" s="352"/>
      <c r="AQ68" s="352"/>
      <c r="AR68" s="352"/>
    </row>
    <row r="69" spans="1:44" ht="15" x14ac:dyDescent="0.25">
      <c r="B69" s="64"/>
      <c r="C69" s="304"/>
      <c r="D69" s="304"/>
      <c r="E69" s="304"/>
      <c r="F69" s="64"/>
      <c r="G69" s="64"/>
      <c r="H69" s="6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69"/>
      <c r="T69" s="304"/>
      <c r="V69" s="58"/>
      <c r="W69" s="58"/>
      <c r="AD69" s="60" t="s">
        <v>94</v>
      </c>
      <c r="AE69" s="352">
        <v>0</v>
      </c>
      <c r="AF69" s="451">
        <f>2</f>
        <v>2</v>
      </c>
      <c r="AG69" s="352">
        <f>2+1</f>
        <v>3</v>
      </c>
      <c r="AH69" s="352">
        <f>9</f>
        <v>9</v>
      </c>
      <c r="AI69" s="352"/>
      <c r="AJ69" s="60">
        <f t="shared" si="22"/>
        <v>14</v>
      </c>
      <c r="AL69" s="438">
        <f>AJ51+AJ71</f>
        <v>254</v>
      </c>
      <c r="AM69" s="459"/>
      <c r="AN69" s="352"/>
      <c r="AO69" s="350"/>
      <c r="AP69" s="352"/>
      <c r="AQ69" s="352"/>
      <c r="AR69" s="352"/>
    </row>
    <row r="70" spans="1:44" ht="15" x14ac:dyDescent="0.25">
      <c r="B70" s="64"/>
      <c r="C70" s="304"/>
      <c r="D70" s="304"/>
      <c r="E70" s="304"/>
      <c r="F70" s="64"/>
      <c r="G70" s="64"/>
      <c r="H70" s="64"/>
      <c r="I70" s="304"/>
      <c r="J70" s="304"/>
      <c r="K70" s="304"/>
      <c r="L70" s="304"/>
      <c r="M70" s="304"/>
      <c r="N70" s="304"/>
      <c r="O70" s="304"/>
      <c r="P70" s="304"/>
      <c r="Q70" s="304"/>
      <c r="R70" s="304"/>
      <c r="S70" s="369"/>
      <c r="T70" s="304"/>
      <c r="V70" s="58"/>
      <c r="W70" s="58"/>
      <c r="AD70" s="358" t="s">
        <v>508</v>
      </c>
      <c r="AE70" s="352">
        <v>0</v>
      </c>
      <c r="AF70" s="359">
        <f>1</f>
        <v>1</v>
      </c>
      <c r="AG70" s="359">
        <f>3</f>
        <v>3</v>
      </c>
      <c r="AH70" s="359">
        <v>0</v>
      </c>
      <c r="AI70" s="352">
        <v>0</v>
      </c>
      <c r="AJ70" s="358">
        <f t="shared" si="22"/>
        <v>4</v>
      </c>
      <c r="AL70" s="550">
        <f>AJ52+AJ72</f>
        <v>4218.6190000000006</v>
      </c>
      <c r="AM70" s="459"/>
      <c r="AN70" s="352"/>
      <c r="AO70" s="350"/>
      <c r="AP70" s="352"/>
      <c r="AQ70" s="352"/>
      <c r="AR70" s="352"/>
    </row>
    <row r="71" spans="1:44" x14ac:dyDescent="0.2">
      <c r="B71" s="64"/>
      <c r="C71" s="304"/>
      <c r="D71" s="304"/>
      <c r="E71" s="304"/>
      <c r="F71" s="64"/>
      <c r="G71" s="64"/>
      <c r="H71" s="6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69"/>
      <c r="T71" s="304"/>
      <c r="V71" s="58"/>
      <c r="W71" s="58"/>
      <c r="AD71" s="328" t="s">
        <v>537</v>
      </c>
      <c r="AE71" s="360">
        <f t="shared" ref="AE71:AJ71" si="24">SUM(AE59:AE70)</f>
        <v>0</v>
      </c>
      <c r="AF71" s="360">
        <f t="shared" si="24"/>
        <v>94</v>
      </c>
      <c r="AG71" s="360">
        <f t="shared" si="24"/>
        <v>96</v>
      </c>
      <c r="AH71" s="360">
        <f t="shared" si="24"/>
        <v>46</v>
      </c>
      <c r="AI71" s="360">
        <f t="shared" si="24"/>
        <v>10</v>
      </c>
      <c r="AJ71" s="361">
        <f t="shared" si="24"/>
        <v>246</v>
      </c>
      <c r="AL71" s="352">
        <f>AJ53+AJ73</f>
        <v>48800</v>
      </c>
      <c r="AM71" s="459"/>
      <c r="AN71" s="352"/>
      <c r="AO71" s="352"/>
      <c r="AP71" s="352"/>
      <c r="AQ71" s="352"/>
      <c r="AR71" s="352"/>
    </row>
    <row r="72" spans="1:44" x14ac:dyDescent="0.2">
      <c r="B72" s="64"/>
      <c r="C72" s="304"/>
      <c r="D72" s="304"/>
      <c r="E72" s="304"/>
      <c r="F72" s="64"/>
      <c r="G72" s="64"/>
      <c r="H72" s="6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69"/>
      <c r="T72" s="304"/>
      <c r="V72" s="58"/>
      <c r="W72" s="58"/>
      <c r="AD72" s="328" t="s">
        <v>536</v>
      </c>
      <c r="AE72" s="452">
        <f>PRODUCT(AE71*AN42)</f>
        <v>0</v>
      </c>
      <c r="AF72" s="452">
        <f>PRODUCT(AF71*AN43)</f>
        <v>1538.6766</v>
      </c>
      <c r="AG72" s="452">
        <f>PRODUCT(AG71*AN44)</f>
        <v>1607.6831999999999</v>
      </c>
      <c r="AH72" s="452">
        <f>PRODUCT(AH71*AN45)</f>
        <v>776.78360000000009</v>
      </c>
      <c r="AI72" s="452">
        <f>PRODUCT(AI71*AN46)</f>
        <v>170</v>
      </c>
      <c r="AJ72" s="453">
        <f>SUM(AE72:AI72)</f>
        <v>4093.1434000000004</v>
      </c>
    </row>
    <row r="73" spans="1:44" x14ac:dyDescent="0.2">
      <c r="B73" s="64"/>
      <c r="C73" s="304"/>
      <c r="D73" s="304"/>
      <c r="E73" s="304"/>
      <c r="F73" s="64"/>
      <c r="G73" s="64"/>
      <c r="H73" s="6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69"/>
      <c r="T73" s="304"/>
      <c r="V73" s="58"/>
      <c r="AD73" s="328" t="s">
        <v>583</v>
      </c>
      <c r="AE73" s="362">
        <f>AE71*AM42</f>
        <v>0</v>
      </c>
      <c r="AF73" s="362">
        <f>AF71*AM43</f>
        <v>14100</v>
      </c>
      <c r="AG73" s="362">
        <f>AG71*AM44</f>
        <v>19200</v>
      </c>
      <c r="AH73" s="362">
        <f>AH71*AM45</f>
        <v>11500</v>
      </c>
      <c r="AI73" s="362">
        <f>AI71*AM46</f>
        <v>3000</v>
      </c>
      <c r="AJ73" s="328">
        <f>SUM(AE73:AI73)</f>
        <v>47800</v>
      </c>
    </row>
    <row r="74" spans="1:44" x14ac:dyDescent="0.2">
      <c r="B74" s="64"/>
      <c r="C74" s="304"/>
      <c r="D74" s="304"/>
      <c r="E74" s="304"/>
      <c r="F74" s="64"/>
      <c r="G74" s="64"/>
      <c r="H74" s="6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69"/>
      <c r="T74" s="304"/>
      <c r="V74" s="58"/>
    </row>
    <row r="75" spans="1:44" x14ac:dyDescent="0.2">
      <c r="B75" s="64"/>
      <c r="C75" s="304"/>
      <c r="D75" s="304"/>
      <c r="E75" s="304"/>
      <c r="F75" s="64"/>
      <c r="G75" s="64"/>
      <c r="H75" s="6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69"/>
      <c r="T75" s="304"/>
    </row>
    <row r="76" spans="1:44" x14ac:dyDescent="0.2">
      <c r="B76" s="64"/>
      <c r="C76" s="304"/>
      <c r="D76" s="304"/>
      <c r="E76" s="304"/>
      <c r="F76" s="64"/>
      <c r="G76" s="64"/>
      <c r="H76" s="6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69"/>
      <c r="T76" s="304"/>
    </row>
    <row r="77" spans="1:44" x14ac:dyDescent="0.2">
      <c r="B77" s="64"/>
      <c r="C77" s="304"/>
      <c r="D77" s="304"/>
      <c r="E77" s="304"/>
      <c r="F77" s="64"/>
      <c r="G77" s="64"/>
      <c r="H77" s="6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69"/>
      <c r="T77" s="304"/>
    </row>
    <row r="78" spans="1:44" x14ac:dyDescent="0.2">
      <c r="B78" s="64"/>
      <c r="C78" s="304"/>
      <c r="D78" s="304"/>
      <c r="E78" s="304"/>
      <c r="F78" s="64"/>
      <c r="G78" s="64"/>
      <c r="H78" s="6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69"/>
      <c r="T78" s="304"/>
    </row>
    <row r="79" spans="1:44" x14ac:dyDescent="0.2">
      <c r="B79" s="64"/>
      <c r="C79" s="304"/>
      <c r="D79" s="304"/>
      <c r="E79" s="304"/>
      <c r="F79" s="64"/>
      <c r="G79" s="64"/>
      <c r="H79" s="6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69"/>
      <c r="T79" s="304"/>
    </row>
    <row r="80" spans="1:44" x14ac:dyDescent="0.2">
      <c r="B80" s="64"/>
      <c r="C80" s="304"/>
      <c r="D80" s="304"/>
      <c r="E80" s="304"/>
      <c r="F80" s="64"/>
      <c r="G80" s="64"/>
      <c r="H80" s="6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69"/>
      <c r="T80" s="304"/>
    </row>
    <row r="81" spans="2:20" x14ac:dyDescent="0.2">
      <c r="B81" s="64"/>
      <c r="C81" s="304"/>
      <c r="D81" s="304"/>
      <c r="E81" s="304"/>
      <c r="F81" s="64"/>
      <c r="G81" s="64"/>
      <c r="H81" s="6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69"/>
      <c r="T81" s="304"/>
    </row>
    <row r="82" spans="2:20" x14ac:dyDescent="0.2">
      <c r="B82" s="64"/>
      <c r="C82" s="304"/>
      <c r="D82" s="304"/>
      <c r="E82" s="304"/>
      <c r="F82" s="64"/>
      <c r="G82" s="64"/>
      <c r="H82" s="6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69"/>
      <c r="T82" s="304"/>
    </row>
    <row r="83" spans="2:20" x14ac:dyDescent="0.2">
      <c r="B83" s="64"/>
      <c r="C83" s="304"/>
      <c r="D83" s="304"/>
      <c r="E83" s="304"/>
      <c r="F83" s="64"/>
      <c r="G83" s="64"/>
      <c r="H83" s="6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69"/>
      <c r="T83" s="304"/>
    </row>
    <row r="84" spans="2:20" x14ac:dyDescent="0.2">
      <c r="B84" s="64"/>
      <c r="C84" s="304"/>
      <c r="D84" s="304"/>
      <c r="E84" s="304"/>
      <c r="F84" s="64"/>
      <c r="G84" s="64"/>
      <c r="H84" s="6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69"/>
      <c r="T84" s="304"/>
    </row>
    <row r="85" spans="2:20" x14ac:dyDescent="0.2">
      <c r="B85" s="64"/>
      <c r="C85" s="304"/>
      <c r="D85" s="304"/>
      <c r="E85" s="304"/>
      <c r="F85" s="64"/>
      <c r="G85" s="64"/>
      <c r="H85" s="6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69"/>
      <c r="T85" s="304"/>
    </row>
    <row r="86" spans="2:20" x14ac:dyDescent="0.2">
      <c r="B86" s="64"/>
      <c r="C86" s="304"/>
      <c r="D86" s="304"/>
      <c r="E86" s="304"/>
      <c r="F86" s="64"/>
      <c r="G86" s="64"/>
      <c r="H86" s="6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69"/>
      <c r="T86" s="304"/>
    </row>
    <row r="87" spans="2:20" x14ac:dyDescent="0.2">
      <c r="B87" s="64"/>
      <c r="C87" s="304"/>
      <c r="D87" s="304"/>
      <c r="E87" s="304"/>
      <c r="F87" s="64"/>
      <c r="G87" s="64"/>
      <c r="H87" s="6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69"/>
      <c r="T87" s="304"/>
    </row>
    <row r="88" spans="2:20" x14ac:dyDescent="0.2">
      <c r="B88" s="64"/>
      <c r="C88" s="304"/>
      <c r="D88" s="304"/>
      <c r="E88" s="304"/>
      <c r="F88" s="64"/>
      <c r="G88" s="64"/>
      <c r="H88" s="6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69"/>
      <c r="T88" s="304"/>
    </row>
    <row r="89" spans="2:20" x14ac:dyDescent="0.2">
      <c r="B89" s="64"/>
      <c r="C89" s="304"/>
      <c r="D89" s="304"/>
      <c r="E89" s="304"/>
      <c r="F89" s="64"/>
      <c r="G89" s="64"/>
      <c r="H89" s="6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69"/>
      <c r="T89" s="304"/>
    </row>
    <row r="90" spans="2:20" x14ac:dyDescent="0.2">
      <c r="B90" s="64"/>
      <c r="C90" s="304"/>
      <c r="D90" s="304"/>
      <c r="E90" s="304"/>
      <c r="F90" s="64"/>
      <c r="G90" s="64"/>
      <c r="H90" s="6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69"/>
      <c r="T90" s="304"/>
    </row>
    <row r="91" spans="2:20" x14ac:dyDescent="0.2">
      <c r="B91" s="64"/>
      <c r="C91" s="304"/>
      <c r="D91" s="304"/>
      <c r="E91" s="304"/>
      <c r="F91" s="64"/>
      <c r="G91" s="64"/>
      <c r="H91" s="6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69"/>
      <c r="T91" s="304"/>
    </row>
    <row r="92" spans="2:20" x14ac:dyDescent="0.2">
      <c r="B92" s="64"/>
      <c r="C92" s="304"/>
      <c r="D92" s="304"/>
      <c r="E92" s="304"/>
      <c r="F92" s="64"/>
      <c r="G92" s="64"/>
      <c r="H92" s="6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69"/>
      <c r="T92" s="304"/>
    </row>
    <row r="93" spans="2:20" x14ac:dyDescent="0.2">
      <c r="B93" s="64"/>
      <c r="C93" s="304"/>
      <c r="D93" s="304"/>
      <c r="E93" s="304"/>
      <c r="F93" s="64"/>
      <c r="G93" s="64"/>
      <c r="H93" s="6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69"/>
      <c r="T93" s="304"/>
    </row>
    <row r="94" spans="2:20" x14ac:dyDescent="0.2">
      <c r="B94" s="64"/>
      <c r="C94" s="304"/>
      <c r="D94" s="304"/>
      <c r="E94" s="304"/>
      <c r="F94" s="64"/>
      <c r="G94" s="64"/>
      <c r="H94" s="6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69"/>
      <c r="T94" s="304"/>
    </row>
    <row r="95" spans="2:20" x14ac:dyDescent="0.2">
      <c r="B95" s="64"/>
      <c r="C95" s="304"/>
      <c r="D95" s="304"/>
      <c r="E95" s="304"/>
      <c r="F95" s="64"/>
      <c r="G95" s="64"/>
      <c r="H95" s="6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69"/>
      <c r="T95" s="304"/>
    </row>
    <row r="96" spans="2:20" x14ac:dyDescent="0.2">
      <c r="B96" s="64"/>
      <c r="C96" s="304"/>
      <c r="D96" s="304"/>
      <c r="E96" s="304"/>
      <c r="F96" s="64"/>
      <c r="G96" s="64"/>
      <c r="H96" s="6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69"/>
      <c r="T96" s="304"/>
    </row>
    <row r="97" spans="2:20" x14ac:dyDescent="0.2">
      <c r="B97" s="64"/>
      <c r="C97" s="304"/>
      <c r="D97" s="304"/>
      <c r="E97" s="304"/>
      <c r="F97" s="64"/>
      <c r="G97" s="64"/>
      <c r="H97" s="64"/>
      <c r="I97" s="304"/>
      <c r="J97" s="304"/>
      <c r="K97" s="304"/>
      <c r="L97" s="304"/>
      <c r="M97" s="304"/>
      <c r="N97" s="304"/>
      <c r="O97" s="304"/>
      <c r="P97" s="304"/>
      <c r="Q97" s="304"/>
      <c r="R97" s="304"/>
      <c r="S97" s="369"/>
      <c r="T97" s="304"/>
    </row>
    <row r="98" spans="2:20" x14ac:dyDescent="0.2">
      <c r="B98" s="64"/>
      <c r="C98" s="304"/>
      <c r="D98" s="304"/>
      <c r="E98" s="304"/>
      <c r="F98" s="64"/>
      <c r="G98" s="64"/>
      <c r="H98" s="64"/>
      <c r="I98" s="304"/>
      <c r="J98" s="304"/>
      <c r="K98" s="304"/>
      <c r="L98" s="304"/>
      <c r="M98" s="304"/>
      <c r="N98" s="304"/>
      <c r="O98" s="304"/>
      <c r="P98" s="304"/>
      <c r="Q98" s="304"/>
      <c r="R98" s="304"/>
      <c r="S98" s="369"/>
      <c r="T98" s="304"/>
    </row>
    <row r="99" spans="2:20" x14ac:dyDescent="0.2">
      <c r="B99" s="64"/>
      <c r="C99" s="304"/>
      <c r="D99" s="304"/>
      <c r="E99" s="304"/>
      <c r="F99" s="64"/>
      <c r="G99" s="64"/>
      <c r="H99" s="6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69"/>
      <c r="T99" s="304"/>
    </row>
    <row r="100" spans="2:20" x14ac:dyDescent="0.2">
      <c r="B100" s="64"/>
      <c r="C100" s="304"/>
      <c r="D100" s="304"/>
      <c r="E100" s="304"/>
      <c r="F100" s="64"/>
      <c r="G100" s="64"/>
      <c r="H100" s="6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69"/>
      <c r="T100" s="304"/>
    </row>
    <row r="101" spans="2:20" x14ac:dyDescent="0.2">
      <c r="B101" s="64"/>
      <c r="C101" s="304"/>
      <c r="D101" s="304"/>
      <c r="E101" s="304"/>
      <c r="F101" s="64"/>
      <c r="G101" s="64"/>
      <c r="H101" s="6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69"/>
      <c r="T101" s="304"/>
    </row>
    <row r="102" spans="2:20" x14ac:dyDescent="0.2">
      <c r="B102" s="64"/>
      <c r="C102" s="304"/>
      <c r="D102" s="304"/>
      <c r="E102" s="304"/>
      <c r="F102" s="64"/>
      <c r="G102" s="64"/>
      <c r="H102" s="6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69"/>
      <c r="T102" s="304"/>
    </row>
    <row r="103" spans="2:20" x14ac:dyDescent="0.2">
      <c r="B103" s="64"/>
      <c r="C103" s="304"/>
      <c r="D103" s="304"/>
      <c r="E103" s="304"/>
      <c r="F103" s="64"/>
      <c r="G103" s="64"/>
      <c r="H103" s="64"/>
      <c r="I103" s="304"/>
      <c r="J103" s="304"/>
      <c r="K103" s="304"/>
      <c r="L103" s="304"/>
      <c r="M103" s="304"/>
      <c r="N103" s="304"/>
      <c r="O103" s="304"/>
      <c r="P103" s="304"/>
      <c r="Q103" s="304"/>
      <c r="R103" s="304"/>
      <c r="S103" s="369"/>
      <c r="T103" s="304"/>
    </row>
    <row r="104" spans="2:20" x14ac:dyDescent="0.2">
      <c r="B104" s="64"/>
      <c r="C104" s="304"/>
      <c r="D104" s="304"/>
      <c r="E104" s="304"/>
      <c r="F104" s="64"/>
      <c r="G104" s="64"/>
      <c r="H104" s="6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69"/>
      <c r="T104" s="304"/>
    </row>
    <row r="105" spans="2:20" x14ac:dyDescent="0.2">
      <c r="B105" s="64"/>
      <c r="C105" s="304"/>
      <c r="D105" s="304"/>
      <c r="E105" s="304"/>
      <c r="F105" s="64"/>
      <c r="G105" s="64"/>
      <c r="H105" s="6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69"/>
      <c r="T105" s="304"/>
    </row>
    <row r="106" spans="2:20" x14ac:dyDescent="0.2">
      <c r="B106" s="64"/>
      <c r="C106" s="304"/>
      <c r="D106" s="304"/>
      <c r="E106" s="304"/>
      <c r="F106" s="64"/>
      <c r="G106" s="64"/>
      <c r="H106" s="6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69"/>
      <c r="T106" s="304"/>
    </row>
    <row r="107" spans="2:20" x14ac:dyDescent="0.2">
      <c r="B107" s="64"/>
      <c r="C107" s="304"/>
      <c r="D107" s="304"/>
      <c r="E107" s="304"/>
      <c r="F107" s="64"/>
      <c r="G107" s="64"/>
      <c r="H107" s="6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69"/>
      <c r="T107" s="304"/>
    </row>
    <row r="108" spans="2:20" x14ac:dyDescent="0.2">
      <c r="B108" s="64"/>
      <c r="C108" s="304"/>
      <c r="D108" s="304"/>
      <c r="E108" s="304"/>
      <c r="F108" s="64"/>
      <c r="G108" s="64"/>
      <c r="H108" s="6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69"/>
      <c r="T108" s="304"/>
    </row>
    <row r="109" spans="2:20" x14ac:dyDescent="0.2">
      <c r="B109" s="64"/>
      <c r="C109" s="304"/>
      <c r="D109" s="304"/>
      <c r="E109" s="304"/>
      <c r="F109" s="64"/>
      <c r="G109" s="64"/>
      <c r="H109" s="6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69"/>
      <c r="T109" s="304"/>
    </row>
    <row r="110" spans="2:20" x14ac:dyDescent="0.2">
      <c r="B110" s="64"/>
      <c r="C110" s="304"/>
      <c r="D110" s="304"/>
      <c r="E110" s="304"/>
      <c r="F110" s="64"/>
      <c r="G110" s="64"/>
      <c r="H110" s="6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69"/>
      <c r="T110" s="304"/>
    </row>
    <row r="111" spans="2:20" x14ac:dyDescent="0.2">
      <c r="B111" s="64"/>
      <c r="C111" s="304"/>
      <c r="D111" s="304"/>
      <c r="E111" s="304"/>
      <c r="F111" s="64"/>
      <c r="G111" s="64"/>
      <c r="H111" s="6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69"/>
      <c r="T111" s="304"/>
    </row>
    <row r="112" spans="2:20" x14ac:dyDescent="0.2">
      <c r="B112" s="64"/>
      <c r="C112" s="304"/>
      <c r="D112" s="304"/>
      <c r="E112" s="304"/>
      <c r="F112" s="64"/>
      <c r="G112" s="64"/>
      <c r="H112" s="6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69"/>
      <c r="T112" s="304"/>
    </row>
    <row r="113" spans="1:20" x14ac:dyDescent="0.2">
      <c r="B113" s="64"/>
      <c r="C113" s="304"/>
      <c r="D113" s="304"/>
      <c r="E113" s="304"/>
      <c r="F113" s="64"/>
      <c r="G113" s="64"/>
      <c r="H113" s="64"/>
      <c r="I113" s="304"/>
      <c r="J113" s="304"/>
      <c r="K113" s="304"/>
      <c r="L113" s="304"/>
      <c r="M113" s="304"/>
      <c r="N113" s="304"/>
      <c r="O113" s="304"/>
      <c r="P113" s="304"/>
      <c r="Q113" s="304"/>
      <c r="R113" s="304"/>
      <c r="S113" s="369"/>
      <c r="T113" s="304"/>
    </row>
    <row r="114" spans="1:20" x14ac:dyDescent="0.2">
      <c r="B114" s="64"/>
      <c r="C114" s="304"/>
      <c r="D114" s="304"/>
      <c r="E114" s="304"/>
      <c r="F114" s="64"/>
      <c r="G114" s="64"/>
      <c r="H114" s="6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69"/>
      <c r="T114" s="304"/>
    </row>
    <row r="115" spans="1:20" x14ac:dyDescent="0.2">
      <c r="B115" s="64"/>
      <c r="C115" s="304"/>
      <c r="D115" s="304"/>
      <c r="E115" s="304"/>
      <c r="F115" s="64"/>
      <c r="G115" s="64"/>
      <c r="H115" s="6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69"/>
      <c r="T115" s="304"/>
    </row>
    <row r="116" spans="1:20" x14ac:dyDescent="0.2">
      <c r="B116" s="64"/>
      <c r="C116" s="304"/>
      <c r="D116" s="304"/>
      <c r="E116" s="304"/>
      <c r="F116" s="64"/>
      <c r="G116" s="64"/>
      <c r="H116" s="64"/>
      <c r="I116" s="304"/>
      <c r="J116" s="304"/>
      <c r="K116" s="304"/>
      <c r="L116" s="304"/>
      <c r="M116" s="304"/>
      <c r="N116" s="304"/>
      <c r="O116" s="304"/>
      <c r="P116" s="304"/>
      <c r="Q116" s="304"/>
      <c r="R116" s="304"/>
      <c r="S116" s="369"/>
      <c r="T116" s="304"/>
    </row>
    <row r="117" spans="1:20" x14ac:dyDescent="0.2">
      <c r="B117" s="64"/>
      <c r="C117" s="304"/>
      <c r="D117" s="304"/>
      <c r="E117" s="304"/>
      <c r="F117" s="64"/>
      <c r="G117" s="64"/>
      <c r="H117" s="64"/>
      <c r="I117" s="304"/>
      <c r="J117" s="304"/>
      <c r="K117" s="304"/>
      <c r="L117" s="304"/>
      <c r="M117" s="304"/>
      <c r="N117" s="304"/>
      <c r="O117" s="304"/>
      <c r="P117" s="304"/>
      <c r="Q117" s="304"/>
      <c r="R117" s="304"/>
      <c r="S117" s="369"/>
      <c r="T117" s="304"/>
    </row>
    <row r="118" spans="1:20" x14ac:dyDescent="0.2">
      <c r="B118" s="64"/>
      <c r="C118" s="304"/>
      <c r="D118" s="304"/>
      <c r="E118" s="304"/>
      <c r="F118" s="64"/>
      <c r="G118" s="64"/>
      <c r="H118" s="6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69"/>
      <c r="T118" s="304"/>
    </row>
    <row r="119" spans="1:20" x14ac:dyDescent="0.2">
      <c r="B119" s="64"/>
      <c r="C119" s="304"/>
      <c r="D119" s="304"/>
      <c r="E119" s="304"/>
      <c r="F119" s="64"/>
      <c r="G119" s="64"/>
      <c r="H119" s="6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69"/>
      <c r="T119" s="304"/>
    </row>
    <row r="120" spans="1:20" x14ac:dyDescent="0.2">
      <c r="B120" s="64"/>
      <c r="C120" s="304"/>
      <c r="D120" s="304"/>
      <c r="E120" s="304"/>
      <c r="F120" s="64"/>
      <c r="G120" s="64"/>
      <c r="H120" s="6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69"/>
      <c r="T120" s="304"/>
    </row>
    <row r="121" spans="1:20" x14ac:dyDescent="0.2">
      <c r="B121" s="64"/>
      <c r="C121" s="304"/>
      <c r="D121" s="304"/>
      <c r="E121" s="304"/>
      <c r="F121" s="64"/>
      <c r="G121" s="64"/>
      <c r="H121" s="6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69"/>
      <c r="T121" s="304"/>
    </row>
    <row r="122" spans="1:20" x14ac:dyDescent="0.2">
      <c r="B122" s="64"/>
      <c r="C122" s="304"/>
      <c r="D122" s="304"/>
      <c r="E122" s="304"/>
      <c r="F122" s="64"/>
      <c r="G122" s="64"/>
      <c r="H122" s="6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69"/>
      <c r="T122" s="304"/>
    </row>
    <row r="123" spans="1:20" x14ac:dyDescent="0.2">
      <c r="B123" s="64"/>
      <c r="C123" s="304"/>
      <c r="D123" s="304"/>
      <c r="E123" s="304"/>
      <c r="F123" s="64"/>
      <c r="G123" s="64"/>
      <c r="H123" s="6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69"/>
      <c r="T123" s="304"/>
    </row>
    <row r="124" spans="1:20" x14ac:dyDescent="0.2">
      <c r="A124" s="304"/>
      <c r="B124" s="64"/>
      <c r="C124" s="304"/>
      <c r="D124" s="304"/>
      <c r="E124" s="304"/>
      <c r="F124" s="64"/>
      <c r="G124" s="64"/>
      <c r="H124" s="6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69"/>
      <c r="T124" s="304"/>
    </row>
    <row r="125" spans="1:20" x14ac:dyDescent="0.2">
      <c r="A125" s="304"/>
      <c r="B125" s="64"/>
      <c r="C125" s="304"/>
      <c r="D125" s="304"/>
      <c r="E125" s="304"/>
      <c r="F125" s="64"/>
      <c r="G125" s="64"/>
      <c r="H125" s="6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69"/>
      <c r="T125" s="304"/>
    </row>
    <row r="126" spans="1:20" x14ac:dyDescent="0.2">
      <c r="A126" s="304"/>
      <c r="B126" s="64"/>
      <c r="C126" s="304"/>
      <c r="D126" s="304"/>
      <c r="E126" s="304"/>
      <c r="F126" s="64"/>
      <c r="G126" s="64"/>
      <c r="H126" s="6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69"/>
      <c r="T126" s="304"/>
    </row>
    <row r="127" spans="1:20" x14ac:dyDescent="0.2">
      <c r="A127" s="304"/>
      <c r="B127" s="64"/>
      <c r="C127" s="304"/>
      <c r="D127" s="304"/>
      <c r="E127" s="304"/>
      <c r="F127" s="64"/>
      <c r="G127" s="64"/>
      <c r="H127" s="64"/>
      <c r="I127" s="304"/>
      <c r="J127" s="304"/>
      <c r="K127" s="304"/>
      <c r="L127" s="304"/>
      <c r="M127" s="304"/>
      <c r="N127" s="304"/>
      <c r="O127" s="304"/>
      <c r="P127" s="304"/>
      <c r="Q127" s="304"/>
      <c r="R127" s="304"/>
      <c r="S127" s="369"/>
      <c r="T127" s="304"/>
    </row>
    <row r="128" spans="1:20" x14ac:dyDescent="0.2">
      <c r="A128" s="304"/>
      <c r="B128" s="64"/>
      <c r="C128" s="304"/>
      <c r="D128" s="304"/>
      <c r="E128" s="304"/>
      <c r="F128" s="64"/>
      <c r="G128" s="64"/>
      <c r="H128" s="6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69"/>
      <c r="T128" s="304"/>
    </row>
    <row r="129" spans="1:20" x14ac:dyDescent="0.2">
      <c r="A129" s="304"/>
      <c r="B129" s="64"/>
      <c r="C129" s="304"/>
      <c r="D129" s="304"/>
      <c r="E129" s="304"/>
      <c r="F129" s="64"/>
      <c r="G129" s="64"/>
      <c r="H129" s="6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69"/>
      <c r="T129" s="304"/>
    </row>
    <row r="130" spans="1:20" x14ac:dyDescent="0.2">
      <c r="A130" s="304"/>
      <c r="B130" s="64"/>
      <c r="C130" s="304"/>
      <c r="D130" s="304"/>
      <c r="E130" s="304"/>
      <c r="F130" s="64"/>
      <c r="G130" s="64"/>
      <c r="H130" s="6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69"/>
      <c r="T130" s="304"/>
    </row>
    <row r="131" spans="1:20" x14ac:dyDescent="0.2">
      <c r="A131" s="304"/>
      <c r="B131" s="64"/>
      <c r="C131" s="304"/>
      <c r="D131" s="304"/>
      <c r="E131" s="304"/>
      <c r="F131" s="64"/>
      <c r="G131" s="64"/>
      <c r="H131" s="6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69"/>
      <c r="T131" s="304"/>
    </row>
    <row r="132" spans="1:20" x14ac:dyDescent="0.2">
      <c r="A132" s="304"/>
      <c r="B132" s="64"/>
      <c r="C132" s="304"/>
      <c r="D132" s="304"/>
      <c r="E132" s="304"/>
      <c r="F132" s="64"/>
      <c r="G132" s="64"/>
      <c r="H132" s="6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69"/>
      <c r="T132" s="304"/>
    </row>
    <row r="133" spans="1:20" x14ac:dyDescent="0.2">
      <c r="A133" s="304"/>
      <c r="B133" s="64"/>
      <c r="C133" s="304"/>
      <c r="D133" s="304"/>
      <c r="E133" s="304"/>
      <c r="F133" s="64"/>
      <c r="G133" s="64"/>
      <c r="H133" s="64"/>
      <c r="I133" s="304"/>
      <c r="J133" s="304"/>
      <c r="K133" s="304"/>
      <c r="L133" s="304"/>
      <c r="M133" s="304"/>
      <c r="N133" s="304"/>
      <c r="O133" s="304"/>
      <c r="P133" s="304"/>
      <c r="Q133" s="304"/>
      <c r="R133" s="304"/>
      <c r="S133" s="369"/>
      <c r="T133" s="304"/>
    </row>
    <row r="134" spans="1:20" x14ac:dyDescent="0.2">
      <c r="A134" s="304"/>
      <c r="B134" s="64"/>
      <c r="C134" s="304"/>
      <c r="D134" s="304"/>
      <c r="E134" s="304"/>
      <c r="F134" s="64"/>
      <c r="G134" s="64"/>
      <c r="H134" s="6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69"/>
      <c r="T134" s="304"/>
    </row>
    <row r="135" spans="1:20" x14ac:dyDescent="0.2">
      <c r="A135" s="304"/>
      <c r="B135" s="64"/>
      <c r="C135" s="304"/>
      <c r="D135" s="304"/>
      <c r="E135" s="304"/>
      <c r="F135" s="64"/>
      <c r="G135" s="64"/>
      <c r="H135" s="6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69"/>
      <c r="T135" s="304"/>
    </row>
    <row r="136" spans="1:20" x14ac:dyDescent="0.2">
      <c r="A136" s="304"/>
      <c r="B136" s="64"/>
      <c r="C136" s="304"/>
      <c r="D136" s="304"/>
      <c r="E136" s="304"/>
      <c r="F136" s="64"/>
      <c r="G136" s="64"/>
      <c r="H136" s="6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69"/>
      <c r="T136" s="304"/>
    </row>
    <row r="137" spans="1:20" x14ac:dyDescent="0.2">
      <c r="A137" s="304"/>
      <c r="B137" s="64"/>
      <c r="C137" s="304"/>
      <c r="D137" s="304"/>
      <c r="E137" s="304"/>
      <c r="F137" s="64"/>
      <c r="G137" s="64"/>
      <c r="H137" s="6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69"/>
      <c r="T137" s="304"/>
    </row>
    <row r="138" spans="1:20" x14ac:dyDescent="0.2">
      <c r="A138" s="304"/>
      <c r="B138" s="64"/>
      <c r="C138" s="304"/>
      <c r="D138" s="304"/>
      <c r="E138" s="304"/>
      <c r="F138" s="64"/>
      <c r="G138" s="64"/>
      <c r="H138" s="64"/>
      <c r="I138" s="304"/>
      <c r="J138" s="304"/>
      <c r="K138" s="304"/>
      <c r="L138" s="304"/>
      <c r="M138" s="304"/>
      <c r="N138" s="304"/>
      <c r="O138" s="304"/>
      <c r="P138" s="304"/>
      <c r="Q138" s="304"/>
      <c r="R138" s="304"/>
      <c r="S138" s="369"/>
      <c r="T138" s="304"/>
    </row>
    <row r="139" spans="1:20" x14ac:dyDescent="0.2">
      <c r="A139" s="304"/>
      <c r="B139" s="64"/>
      <c r="C139" s="304"/>
      <c r="D139" s="304"/>
      <c r="E139" s="304"/>
      <c r="F139" s="64"/>
      <c r="G139" s="64"/>
      <c r="H139" s="64"/>
      <c r="I139" s="304"/>
      <c r="J139" s="304"/>
      <c r="K139" s="304"/>
      <c r="L139" s="304"/>
      <c r="M139" s="304"/>
      <c r="N139" s="304"/>
      <c r="O139" s="304"/>
      <c r="P139" s="304"/>
      <c r="Q139" s="304"/>
      <c r="R139" s="304"/>
      <c r="S139" s="369"/>
      <c r="T139" s="304"/>
    </row>
    <row r="140" spans="1:20" x14ac:dyDescent="0.2">
      <c r="A140" s="304"/>
      <c r="B140" s="64"/>
      <c r="C140" s="304"/>
      <c r="D140" s="304"/>
      <c r="E140" s="304"/>
      <c r="F140" s="64"/>
      <c r="G140" s="64"/>
      <c r="H140" s="6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69"/>
      <c r="T140" s="304"/>
    </row>
    <row r="141" spans="1:20" x14ac:dyDescent="0.2">
      <c r="A141" s="304"/>
      <c r="B141" s="64"/>
      <c r="C141" s="304"/>
      <c r="D141" s="304"/>
      <c r="E141" s="304"/>
      <c r="F141" s="64"/>
      <c r="G141" s="64"/>
      <c r="H141" s="6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69"/>
      <c r="T141" s="304"/>
    </row>
    <row r="142" spans="1:20" x14ac:dyDescent="0.2">
      <c r="A142" s="304"/>
      <c r="B142" s="64"/>
      <c r="C142" s="304"/>
      <c r="D142" s="304"/>
      <c r="E142" s="304"/>
      <c r="F142" s="64"/>
      <c r="G142" s="64"/>
      <c r="H142" s="6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69"/>
      <c r="T142" s="304"/>
    </row>
    <row r="143" spans="1:20" x14ac:dyDescent="0.2">
      <c r="A143" s="304"/>
      <c r="B143" s="64"/>
      <c r="C143" s="304"/>
      <c r="D143" s="304"/>
      <c r="E143" s="304"/>
      <c r="F143" s="64"/>
      <c r="G143" s="64"/>
      <c r="H143" s="6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69"/>
      <c r="T143" s="304"/>
    </row>
    <row r="144" spans="1:20" x14ac:dyDescent="0.2">
      <c r="A144" s="304"/>
      <c r="B144" s="64"/>
      <c r="C144" s="304"/>
      <c r="D144" s="304"/>
      <c r="E144" s="304"/>
      <c r="F144" s="64"/>
      <c r="G144" s="64"/>
      <c r="H144" s="64"/>
      <c r="I144" s="304"/>
      <c r="J144" s="304"/>
      <c r="K144" s="304"/>
      <c r="L144" s="304"/>
      <c r="M144" s="304"/>
      <c r="N144" s="304"/>
      <c r="O144" s="304"/>
      <c r="P144" s="304"/>
      <c r="Q144" s="304"/>
      <c r="R144" s="304"/>
      <c r="S144" s="369"/>
      <c r="T144" s="304"/>
    </row>
    <row r="145" spans="1:20" x14ac:dyDescent="0.2">
      <c r="A145" s="304"/>
      <c r="B145" s="64"/>
      <c r="C145" s="304"/>
      <c r="D145" s="304"/>
      <c r="E145" s="304"/>
      <c r="F145" s="64"/>
      <c r="G145" s="64"/>
      <c r="H145" s="6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69"/>
      <c r="T145" s="304"/>
    </row>
    <row r="146" spans="1:20" x14ac:dyDescent="0.2">
      <c r="A146" s="304"/>
      <c r="B146" s="64"/>
      <c r="C146" s="304"/>
      <c r="D146" s="304"/>
      <c r="E146" s="304"/>
      <c r="F146" s="64"/>
      <c r="G146" s="64"/>
      <c r="H146" s="6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69"/>
      <c r="T146" s="304"/>
    </row>
    <row r="147" spans="1:20" x14ac:dyDescent="0.2">
      <c r="A147" s="304"/>
      <c r="B147" s="64"/>
      <c r="C147" s="304"/>
      <c r="D147" s="304"/>
      <c r="E147" s="304"/>
      <c r="F147" s="64"/>
      <c r="G147" s="64"/>
      <c r="H147" s="6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69"/>
      <c r="T147" s="304"/>
    </row>
    <row r="148" spans="1:20" x14ac:dyDescent="0.2">
      <c r="A148" s="304"/>
      <c r="B148" s="64"/>
      <c r="C148" s="304"/>
      <c r="D148" s="304"/>
      <c r="E148" s="304"/>
      <c r="F148" s="64"/>
      <c r="G148" s="64"/>
      <c r="H148" s="6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69"/>
      <c r="T148" s="304"/>
    </row>
    <row r="149" spans="1:20" x14ac:dyDescent="0.2">
      <c r="A149" s="304"/>
      <c r="B149" s="64"/>
      <c r="C149" s="304"/>
      <c r="D149" s="304"/>
      <c r="E149" s="304"/>
      <c r="F149" s="64"/>
      <c r="G149" s="64"/>
      <c r="H149" s="6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69"/>
      <c r="T149" s="304"/>
    </row>
    <row r="150" spans="1:20" x14ac:dyDescent="0.2">
      <c r="A150" s="304"/>
      <c r="B150" s="64"/>
      <c r="C150" s="304"/>
      <c r="D150" s="304"/>
      <c r="E150" s="304"/>
      <c r="F150" s="64"/>
      <c r="G150" s="64"/>
      <c r="H150" s="6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69"/>
      <c r="T150" s="304"/>
    </row>
    <row r="151" spans="1:20" x14ac:dyDescent="0.2">
      <c r="A151" s="304"/>
      <c r="B151" s="64"/>
      <c r="C151" s="304"/>
      <c r="D151" s="304"/>
      <c r="E151" s="304"/>
      <c r="F151" s="64"/>
      <c r="G151" s="64"/>
      <c r="H151" s="6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69"/>
      <c r="T151" s="304"/>
    </row>
    <row r="152" spans="1:20" x14ac:dyDescent="0.2">
      <c r="A152" s="304"/>
      <c r="B152" s="64"/>
      <c r="C152" s="304"/>
      <c r="D152" s="304"/>
      <c r="E152" s="304"/>
      <c r="F152" s="64"/>
      <c r="G152" s="64"/>
      <c r="H152" s="6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69"/>
      <c r="T152" s="304"/>
    </row>
    <row r="153" spans="1:20" x14ac:dyDescent="0.2">
      <c r="A153" s="304"/>
      <c r="B153" s="64"/>
      <c r="C153" s="304"/>
      <c r="D153" s="304"/>
      <c r="E153" s="304"/>
      <c r="F153" s="64"/>
      <c r="G153" s="64"/>
      <c r="H153" s="6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69"/>
      <c r="T153" s="304"/>
    </row>
    <row r="154" spans="1:20" x14ac:dyDescent="0.2">
      <c r="A154" s="304"/>
      <c r="B154" s="64"/>
      <c r="C154" s="304"/>
      <c r="D154" s="304"/>
      <c r="E154" s="304"/>
      <c r="F154" s="64"/>
      <c r="G154" s="64"/>
      <c r="H154" s="64"/>
      <c r="I154" s="304"/>
      <c r="J154" s="304"/>
      <c r="K154" s="304"/>
      <c r="L154" s="304"/>
      <c r="M154" s="304"/>
      <c r="N154" s="304"/>
      <c r="O154" s="304"/>
      <c r="P154" s="304"/>
      <c r="Q154" s="304"/>
      <c r="R154" s="304"/>
      <c r="S154" s="369"/>
      <c r="T154" s="304"/>
    </row>
    <row r="155" spans="1:20" x14ac:dyDescent="0.2">
      <c r="A155" s="304"/>
      <c r="B155" s="64"/>
      <c r="C155" s="304"/>
      <c r="D155" s="304"/>
      <c r="E155" s="304"/>
      <c r="F155" s="64"/>
      <c r="G155" s="64"/>
      <c r="H155" s="6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69"/>
      <c r="T155" s="304"/>
    </row>
    <row r="156" spans="1:20" x14ac:dyDescent="0.2">
      <c r="A156" s="304"/>
      <c r="B156" s="64"/>
      <c r="C156" s="304"/>
      <c r="D156" s="304"/>
      <c r="E156" s="304"/>
      <c r="F156" s="64"/>
      <c r="G156" s="64"/>
      <c r="H156" s="6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69"/>
      <c r="T156" s="304"/>
    </row>
    <row r="157" spans="1:20" x14ac:dyDescent="0.2">
      <c r="A157" s="304"/>
      <c r="B157" s="64"/>
      <c r="C157" s="304"/>
      <c r="D157" s="304"/>
      <c r="E157" s="304"/>
      <c r="F157" s="64"/>
      <c r="G157" s="64"/>
      <c r="H157" s="6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69"/>
      <c r="T157" s="304"/>
    </row>
    <row r="158" spans="1:20" x14ac:dyDescent="0.2">
      <c r="A158" s="304"/>
      <c r="B158" s="64"/>
      <c r="C158" s="304"/>
      <c r="D158" s="304"/>
      <c r="E158" s="304"/>
      <c r="F158" s="64"/>
      <c r="G158" s="64"/>
      <c r="H158" s="6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69"/>
      <c r="T158" s="304"/>
    </row>
    <row r="159" spans="1:20" x14ac:dyDescent="0.2">
      <c r="A159" s="304"/>
      <c r="B159" s="64"/>
      <c r="C159" s="304"/>
      <c r="D159" s="304"/>
      <c r="E159" s="304"/>
      <c r="F159" s="64"/>
      <c r="G159" s="64"/>
      <c r="H159" s="64"/>
      <c r="I159" s="304"/>
      <c r="J159" s="304"/>
      <c r="K159" s="304"/>
      <c r="L159" s="304"/>
      <c r="M159" s="304"/>
      <c r="N159" s="304"/>
      <c r="O159" s="304"/>
      <c r="P159" s="304"/>
      <c r="Q159" s="304"/>
      <c r="R159" s="304"/>
      <c r="S159" s="369"/>
      <c r="T159" s="304"/>
    </row>
    <row r="160" spans="1:20" x14ac:dyDescent="0.2">
      <c r="A160" s="304"/>
      <c r="B160" s="64"/>
      <c r="C160" s="304"/>
      <c r="D160" s="304"/>
      <c r="E160" s="304"/>
      <c r="F160" s="64"/>
      <c r="G160" s="64"/>
      <c r="H160" s="64"/>
      <c r="I160" s="304"/>
      <c r="J160" s="304"/>
      <c r="K160" s="304"/>
      <c r="L160" s="304"/>
      <c r="M160" s="304"/>
      <c r="N160" s="304"/>
      <c r="O160" s="304"/>
      <c r="P160" s="304"/>
      <c r="Q160" s="304"/>
      <c r="R160" s="304"/>
      <c r="S160" s="369"/>
      <c r="T160" s="304"/>
    </row>
    <row r="161" spans="1:20" x14ac:dyDescent="0.2">
      <c r="A161" s="304"/>
      <c r="B161" s="64"/>
      <c r="C161" s="304"/>
      <c r="D161" s="304"/>
      <c r="E161" s="304"/>
      <c r="F161" s="64"/>
      <c r="G161" s="64"/>
      <c r="H161" s="6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69"/>
      <c r="T161" s="304"/>
    </row>
    <row r="162" spans="1:20" x14ac:dyDescent="0.2">
      <c r="A162" s="304"/>
      <c r="B162" s="64"/>
      <c r="C162" s="304"/>
      <c r="D162" s="304"/>
      <c r="E162" s="304"/>
      <c r="F162" s="64"/>
      <c r="G162" s="64"/>
      <c r="H162" s="6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69"/>
      <c r="T162" s="304"/>
    </row>
    <row r="163" spans="1:20" x14ac:dyDescent="0.2">
      <c r="A163" s="304"/>
      <c r="B163" s="64"/>
      <c r="C163" s="304"/>
      <c r="D163" s="304"/>
      <c r="E163" s="304"/>
      <c r="F163" s="64"/>
      <c r="G163" s="64"/>
      <c r="H163" s="6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69"/>
      <c r="T163" s="304"/>
    </row>
    <row r="164" spans="1:20" x14ac:dyDescent="0.2">
      <c r="A164" s="304"/>
      <c r="B164" s="64"/>
      <c r="C164" s="304"/>
      <c r="D164" s="304"/>
      <c r="E164" s="304"/>
      <c r="F164" s="64"/>
      <c r="G164" s="64"/>
      <c r="H164" s="6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69"/>
      <c r="T164" s="304"/>
    </row>
    <row r="165" spans="1:20" x14ac:dyDescent="0.2">
      <c r="A165" s="304"/>
      <c r="B165" s="64"/>
      <c r="C165" s="304"/>
      <c r="D165" s="304"/>
      <c r="E165" s="304"/>
      <c r="F165" s="64"/>
      <c r="G165" s="64"/>
      <c r="H165" s="64"/>
      <c r="I165" s="304"/>
      <c r="J165" s="304"/>
      <c r="K165" s="304"/>
      <c r="L165" s="304"/>
      <c r="M165" s="304"/>
      <c r="N165" s="304"/>
      <c r="O165" s="304"/>
      <c r="P165" s="304"/>
      <c r="Q165" s="304"/>
      <c r="R165" s="304"/>
      <c r="S165" s="369"/>
      <c r="T165" s="304"/>
    </row>
    <row r="166" spans="1:20" x14ac:dyDescent="0.2">
      <c r="A166" s="304"/>
      <c r="B166" s="64"/>
      <c r="C166" s="304"/>
      <c r="D166" s="304"/>
      <c r="E166" s="304"/>
      <c r="F166" s="64"/>
      <c r="G166" s="64"/>
      <c r="H166" s="64"/>
      <c r="I166" s="304"/>
      <c r="J166" s="304"/>
      <c r="K166" s="304"/>
      <c r="L166" s="304"/>
      <c r="M166" s="304"/>
      <c r="N166" s="304"/>
      <c r="O166" s="304"/>
      <c r="P166" s="304"/>
      <c r="Q166" s="304"/>
      <c r="R166" s="304"/>
      <c r="S166" s="369"/>
      <c r="T166" s="304"/>
    </row>
    <row r="167" spans="1:20" x14ac:dyDescent="0.2">
      <c r="A167" s="304"/>
      <c r="B167" s="64"/>
      <c r="C167" s="304"/>
      <c r="D167" s="304"/>
      <c r="E167" s="304"/>
      <c r="F167" s="64"/>
      <c r="G167" s="64"/>
      <c r="H167" s="6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69"/>
      <c r="T167" s="304"/>
    </row>
    <row r="168" spans="1:20" x14ac:dyDescent="0.2">
      <c r="A168" s="304"/>
      <c r="B168" s="64"/>
      <c r="C168" s="304"/>
      <c r="D168" s="304"/>
      <c r="E168" s="304"/>
      <c r="F168" s="64"/>
      <c r="G168" s="64"/>
      <c r="H168" s="6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69"/>
      <c r="T168" s="304"/>
    </row>
    <row r="169" spans="1:20" x14ac:dyDescent="0.2">
      <c r="A169" s="304"/>
      <c r="B169" s="64"/>
      <c r="C169" s="304"/>
      <c r="D169" s="304"/>
      <c r="E169" s="304"/>
      <c r="F169" s="64"/>
      <c r="G169" s="64"/>
      <c r="H169" s="6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69"/>
      <c r="T169" s="304"/>
    </row>
    <row r="170" spans="1:20" x14ac:dyDescent="0.2">
      <c r="A170" s="304"/>
      <c r="B170" s="64"/>
      <c r="C170" s="304"/>
      <c r="D170" s="304"/>
      <c r="E170" s="304"/>
      <c r="F170" s="64"/>
      <c r="G170" s="64"/>
      <c r="H170" s="6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69"/>
      <c r="T170" s="304"/>
    </row>
    <row r="171" spans="1:20" x14ac:dyDescent="0.2">
      <c r="A171" s="304"/>
      <c r="B171" s="64"/>
      <c r="C171" s="304"/>
      <c r="D171" s="304"/>
      <c r="E171" s="304"/>
      <c r="F171" s="64"/>
      <c r="G171" s="64"/>
      <c r="H171" s="64"/>
      <c r="I171" s="304"/>
      <c r="J171" s="304"/>
      <c r="K171" s="304"/>
      <c r="L171" s="304"/>
      <c r="M171" s="304"/>
      <c r="N171" s="304"/>
      <c r="O171" s="304"/>
      <c r="P171" s="304"/>
      <c r="Q171" s="304"/>
      <c r="R171" s="304"/>
      <c r="S171" s="369"/>
      <c r="T171" s="304"/>
    </row>
    <row r="172" spans="1:20" x14ac:dyDescent="0.2">
      <c r="A172" s="304"/>
      <c r="B172" s="64"/>
      <c r="C172" s="304"/>
      <c r="D172" s="304"/>
      <c r="E172" s="304"/>
      <c r="F172" s="64"/>
      <c r="G172" s="64"/>
      <c r="H172" s="64"/>
      <c r="I172" s="304"/>
      <c r="J172" s="304"/>
      <c r="K172" s="304"/>
      <c r="L172" s="304"/>
      <c r="M172" s="304"/>
      <c r="N172" s="304"/>
      <c r="O172" s="304"/>
      <c r="P172" s="304"/>
      <c r="Q172" s="304"/>
      <c r="R172" s="304"/>
      <c r="S172" s="369"/>
      <c r="T172" s="304"/>
    </row>
    <row r="173" spans="1:20" x14ac:dyDescent="0.2">
      <c r="A173" s="304"/>
      <c r="B173" s="64"/>
      <c r="C173" s="304"/>
      <c r="D173" s="304"/>
      <c r="E173" s="304"/>
      <c r="F173" s="64"/>
      <c r="G173" s="64"/>
      <c r="H173" s="6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69"/>
      <c r="T173" s="304"/>
    </row>
    <row r="174" spans="1:20" x14ac:dyDescent="0.2">
      <c r="A174" s="304"/>
      <c r="B174" s="64"/>
      <c r="C174" s="304"/>
      <c r="D174" s="304"/>
      <c r="E174" s="304"/>
      <c r="F174" s="64"/>
      <c r="G174" s="64"/>
      <c r="H174" s="6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69"/>
      <c r="T174" s="304"/>
    </row>
    <row r="175" spans="1:20" x14ac:dyDescent="0.2">
      <c r="A175" s="304"/>
      <c r="B175" s="64"/>
      <c r="C175" s="304"/>
      <c r="D175" s="304"/>
      <c r="E175" s="304"/>
      <c r="F175" s="64"/>
      <c r="G175" s="64"/>
      <c r="H175" s="6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69"/>
      <c r="T175" s="304"/>
    </row>
    <row r="176" spans="1:20" x14ac:dyDescent="0.2">
      <c r="A176" s="304"/>
      <c r="B176" s="64"/>
      <c r="C176" s="304"/>
      <c r="D176" s="304"/>
      <c r="E176" s="304"/>
      <c r="F176" s="64"/>
      <c r="G176" s="64"/>
      <c r="H176" s="6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69"/>
      <c r="T176" s="304"/>
    </row>
    <row r="177" spans="1:20" x14ac:dyDescent="0.2">
      <c r="A177" s="304"/>
      <c r="B177" s="64"/>
      <c r="C177" s="304"/>
      <c r="D177" s="304"/>
      <c r="E177" s="304"/>
      <c r="F177" s="64"/>
      <c r="G177" s="64"/>
      <c r="H177" s="64"/>
      <c r="I177" s="304"/>
      <c r="J177" s="304"/>
      <c r="K177" s="304"/>
      <c r="L177" s="304"/>
      <c r="M177" s="304"/>
      <c r="N177" s="304"/>
      <c r="O177" s="304"/>
      <c r="P177" s="304"/>
      <c r="Q177" s="304"/>
      <c r="R177" s="304"/>
      <c r="S177" s="369"/>
      <c r="T177" s="304"/>
    </row>
    <row r="178" spans="1:20" x14ac:dyDescent="0.2">
      <c r="A178" s="304"/>
      <c r="B178" s="64"/>
      <c r="C178" s="304"/>
      <c r="D178" s="304"/>
      <c r="E178" s="304"/>
      <c r="F178" s="64"/>
      <c r="G178" s="64"/>
      <c r="H178" s="6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  <c r="S178" s="369"/>
      <c r="T178" s="304"/>
    </row>
    <row r="179" spans="1:20" x14ac:dyDescent="0.2">
      <c r="A179" s="304"/>
      <c r="B179" s="64"/>
      <c r="C179" s="304"/>
      <c r="D179" s="304"/>
      <c r="E179" s="304"/>
      <c r="F179" s="64"/>
      <c r="G179" s="64"/>
      <c r="H179" s="6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4"/>
      <c r="S179" s="369"/>
      <c r="T179" s="304"/>
    </row>
  </sheetData>
  <dataConsolidate/>
  <mergeCells count="30">
    <mergeCell ref="AL50:AQ50"/>
    <mergeCell ref="AD57:AI57"/>
    <mergeCell ref="C1:I1"/>
    <mergeCell ref="K1:R1"/>
    <mergeCell ref="A4:A5"/>
    <mergeCell ref="A6:A8"/>
    <mergeCell ref="A9:A13"/>
    <mergeCell ref="AI17:AJ17"/>
    <mergeCell ref="Z19:AB19"/>
    <mergeCell ref="AB20:AC20"/>
    <mergeCell ref="AD20:AE20"/>
    <mergeCell ref="A21:A24"/>
    <mergeCell ref="V24:W24"/>
    <mergeCell ref="A15:A20"/>
    <mergeCell ref="AD37:AI37"/>
    <mergeCell ref="A39:A40"/>
    <mergeCell ref="A41:A43"/>
    <mergeCell ref="A45:A48"/>
    <mergeCell ref="A26:A27"/>
    <mergeCell ref="S26:S27"/>
    <mergeCell ref="T26:T27"/>
    <mergeCell ref="A28:A32"/>
    <mergeCell ref="S28:S32"/>
    <mergeCell ref="T28:T32"/>
    <mergeCell ref="A49:A50"/>
    <mergeCell ref="A51:A52"/>
    <mergeCell ref="A53:A54"/>
    <mergeCell ref="A55:A56"/>
    <mergeCell ref="A33:A35"/>
    <mergeCell ref="A36:A37"/>
  </mergeCells>
  <conditionalFormatting sqref="Q3:Q56">
    <cfRule type="cellIs" dxfId="46" priority="9" operator="lessThan">
      <formula>0</formula>
    </cfRule>
  </conditionalFormatting>
  <conditionalFormatting sqref="R3:R56">
    <cfRule type="containsText" dxfId="45" priority="8" operator="containsText" text="Yes">
      <formula>NOT(ISERROR(SEARCH("Yes",R3)))</formula>
    </cfRule>
  </conditionalFormatting>
  <conditionalFormatting sqref="M3:M56">
    <cfRule type="expression" dxfId="44" priority="7">
      <formula>(M3&lt;F3)</formula>
    </cfRule>
  </conditionalFormatting>
  <conditionalFormatting sqref="AE39:AJ50">
    <cfRule type="cellIs" dxfId="43" priority="6" operator="greaterThan">
      <formula>0</formula>
    </cfRule>
  </conditionalFormatting>
  <conditionalFormatting sqref="AN67:AR71">
    <cfRule type="cellIs" dxfId="42" priority="5" operator="greaterThan">
      <formula>0</formula>
    </cfRule>
  </conditionalFormatting>
  <conditionalFormatting sqref="AM52:AR63">
    <cfRule type="cellIs" dxfId="41" priority="4" operator="greaterThan">
      <formula>0</formula>
    </cfRule>
  </conditionalFormatting>
  <conditionalFormatting sqref="AJ59:AJ70">
    <cfRule type="cellIs" dxfId="40" priority="3" operator="greaterThan">
      <formula>0</formula>
    </cfRule>
  </conditionalFormatting>
  <conditionalFormatting sqref="AF59:AI70">
    <cfRule type="cellIs" dxfId="39" priority="2" operator="greaterThan">
      <formula>0</formula>
    </cfRule>
  </conditionalFormatting>
  <conditionalFormatting sqref="AE59:AE70">
    <cfRule type="cellIs" dxfId="38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9"/>
  <sheetViews>
    <sheetView topLeftCell="X36" zoomScale="120" zoomScaleNormal="120" workbookViewId="0">
      <selection activeCell="AD57" sqref="AD57:AJ73"/>
    </sheetView>
  </sheetViews>
  <sheetFormatPr defaultColWidth="9" defaultRowHeight="12.75" x14ac:dyDescent="0.2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33.8554687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16384" width="9" style="5"/>
  </cols>
  <sheetData>
    <row r="1" spans="1:31" ht="14.25" customHeight="1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9"/>
      <c r="J1" s="366"/>
      <c r="K1" s="465" t="s">
        <v>451</v>
      </c>
      <c r="L1" s="466"/>
      <c r="M1" s="466"/>
      <c r="N1" s="466"/>
      <c r="O1" s="466"/>
      <c r="P1" s="466"/>
      <c r="Q1" s="466"/>
      <c r="R1" s="520"/>
      <c r="S1" s="7"/>
      <c r="T1" s="7"/>
    </row>
    <row r="2" spans="1:31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90" t="s">
        <v>33</v>
      </c>
      <c r="F2" s="190" t="s">
        <v>447</v>
      </c>
      <c r="G2" s="190" t="s">
        <v>459</v>
      </c>
      <c r="H2" s="190" t="s">
        <v>461</v>
      </c>
      <c r="I2" s="189" t="s">
        <v>444</v>
      </c>
      <c r="J2" s="251" t="s">
        <v>458</v>
      </c>
      <c r="K2" s="188" t="s">
        <v>446</v>
      </c>
      <c r="L2" s="188" t="s">
        <v>34</v>
      </c>
      <c r="M2" s="188" t="s">
        <v>33</v>
      </c>
      <c r="N2" s="187" t="s">
        <v>445</v>
      </c>
      <c r="O2" s="186" t="s">
        <v>459</v>
      </c>
      <c r="P2" s="186" t="s">
        <v>461</v>
      </c>
      <c r="Q2" s="186" t="s">
        <v>444</v>
      </c>
      <c r="R2" s="241" t="s">
        <v>457</v>
      </c>
      <c r="S2" s="369"/>
      <c r="T2" s="304"/>
    </row>
    <row r="3" spans="1:31" ht="13.5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179">
        <v>400</v>
      </c>
      <c r="F3" s="179">
        <v>131.95400000000001</v>
      </c>
      <c r="G3" s="85">
        <v>2</v>
      </c>
      <c r="H3" s="179">
        <f>G3*F3</f>
        <v>263.90800000000002</v>
      </c>
      <c r="I3" s="178">
        <f t="shared" ref="I3:I13" si="0">E3-F3</f>
        <v>268.04599999999999</v>
      </c>
      <c r="J3" s="179">
        <f>H3/E3*100</f>
        <v>65.977000000000004</v>
      </c>
      <c r="K3" s="177" t="s">
        <v>435</v>
      </c>
      <c r="L3" s="177">
        <v>598.85</v>
      </c>
      <c r="M3" s="177">
        <v>300</v>
      </c>
      <c r="N3" s="176">
        <f t="shared" ref="N3:N13" si="1">F3</f>
        <v>131.95400000000001</v>
      </c>
      <c r="O3" s="101">
        <v>2</v>
      </c>
      <c r="P3" s="240">
        <f>O3*N3</f>
        <v>263.90800000000002</v>
      </c>
      <c r="Q3" s="280">
        <f>M3-P3</f>
        <v>36.091999999999985</v>
      </c>
      <c r="R3" s="176" t="str">
        <f t="shared" ref="R3:R9" si="2">IF(Q3&gt;=0,"No","Yes")</f>
        <v>No</v>
      </c>
      <c r="S3" s="369"/>
      <c r="T3" s="369"/>
    </row>
    <row r="4" spans="1:31" ht="13.5" thickBot="1" x14ac:dyDescent="0.25">
      <c r="A4" s="480" t="s">
        <v>44</v>
      </c>
      <c r="B4" s="174" t="s">
        <v>3</v>
      </c>
      <c r="C4" s="173" t="s">
        <v>44</v>
      </c>
      <c r="D4" s="172">
        <v>424.31</v>
      </c>
      <c r="E4" s="172">
        <v>200</v>
      </c>
      <c r="F4" s="172">
        <v>79.758499999999998</v>
      </c>
      <c r="G4" s="269">
        <v>2</v>
      </c>
      <c r="H4" s="179">
        <f t="shared" ref="H4:H56" si="3">G4*F4</f>
        <v>159.517</v>
      </c>
      <c r="I4" s="171">
        <f t="shared" si="0"/>
        <v>120.2415</v>
      </c>
      <c r="J4" s="179">
        <f t="shared" ref="J4:J13" si="4">H4/E4*100</f>
        <v>79.758499999999998</v>
      </c>
      <c r="K4" s="170" t="s">
        <v>434</v>
      </c>
      <c r="L4" s="170">
        <v>561.44000000000005</v>
      </c>
      <c r="M4" s="170">
        <v>150</v>
      </c>
      <c r="N4" s="169">
        <f t="shared" si="1"/>
        <v>79.758499999999998</v>
      </c>
      <c r="O4" s="273">
        <v>2</v>
      </c>
      <c r="P4" s="240">
        <f t="shared" ref="P4:P56" si="5">O4*N4</f>
        <v>159.517</v>
      </c>
      <c r="Q4" s="280">
        <f t="shared" ref="Q4:Q13" si="6">M4-P4</f>
        <v>-9.5169999999999959</v>
      </c>
      <c r="R4" s="177" t="str">
        <f t="shared" si="2"/>
        <v>Yes</v>
      </c>
      <c r="S4" s="369"/>
      <c r="T4" s="369"/>
    </row>
    <row r="5" spans="1:31" ht="14.25" customHeight="1" thickBot="1" x14ac:dyDescent="0.25">
      <c r="A5" s="464"/>
      <c r="B5" s="63" t="s">
        <v>25</v>
      </c>
      <c r="C5" s="116" t="s">
        <v>65</v>
      </c>
      <c r="D5" s="95">
        <v>645.40499999999997</v>
      </c>
      <c r="E5" s="95">
        <v>300</v>
      </c>
      <c r="F5" s="94">
        <v>101.52370000000001</v>
      </c>
      <c r="G5" s="271">
        <v>2</v>
      </c>
      <c r="H5" s="179">
        <f t="shared" si="3"/>
        <v>203.04740000000001</v>
      </c>
      <c r="I5" s="94">
        <f t="shared" si="0"/>
        <v>198.47629999999998</v>
      </c>
      <c r="J5" s="179">
        <f t="shared" si="4"/>
        <v>67.68246666666667</v>
      </c>
      <c r="K5" s="93" t="s">
        <v>429</v>
      </c>
      <c r="L5" s="93">
        <v>691.82</v>
      </c>
      <c r="M5" s="93">
        <v>300</v>
      </c>
      <c r="N5" s="92">
        <f t="shared" si="1"/>
        <v>101.52370000000001</v>
      </c>
      <c r="O5" s="274">
        <v>2</v>
      </c>
      <c r="P5" s="240">
        <f t="shared" si="5"/>
        <v>203.04740000000001</v>
      </c>
      <c r="Q5" s="280">
        <f t="shared" si="6"/>
        <v>96.95259999999999</v>
      </c>
      <c r="R5" s="177" t="str">
        <f t="shared" si="2"/>
        <v>No</v>
      </c>
      <c r="S5" s="367" t="s">
        <v>440</v>
      </c>
      <c r="T5" s="367" t="s">
        <v>456</v>
      </c>
    </row>
    <row r="6" spans="1:31" ht="13.5" thickBot="1" x14ac:dyDescent="0.25">
      <c r="A6" s="462" t="s">
        <v>433</v>
      </c>
      <c r="B6" s="87" t="s">
        <v>432</v>
      </c>
      <c r="C6" s="86" t="s">
        <v>392</v>
      </c>
      <c r="D6" s="85">
        <v>774.56</v>
      </c>
      <c r="E6" s="85">
        <v>1500</v>
      </c>
      <c r="F6" s="85">
        <v>593.39</v>
      </c>
      <c r="G6" s="269">
        <v>2</v>
      </c>
      <c r="H6" s="179">
        <f t="shared" si="3"/>
        <v>1186.78</v>
      </c>
      <c r="I6" s="84">
        <f t="shared" si="0"/>
        <v>906.61</v>
      </c>
      <c r="J6" s="179">
        <f t="shared" si="4"/>
        <v>79.118666666666655</v>
      </c>
      <c r="K6" s="83" t="s">
        <v>431</v>
      </c>
      <c r="L6" s="83">
        <v>778.62</v>
      </c>
      <c r="M6" s="83">
        <v>1500</v>
      </c>
      <c r="N6" s="82">
        <f t="shared" si="1"/>
        <v>593.39</v>
      </c>
      <c r="O6" s="273">
        <v>2</v>
      </c>
      <c r="P6" s="240">
        <f t="shared" si="5"/>
        <v>1186.78</v>
      </c>
      <c r="Q6" s="280">
        <f t="shared" si="6"/>
        <v>313.22000000000003</v>
      </c>
      <c r="R6" s="177" t="str">
        <f t="shared" si="2"/>
        <v>No</v>
      </c>
      <c r="S6" s="213"/>
      <c r="T6" s="212"/>
    </row>
    <row r="7" spans="1:31" ht="14.25" customHeight="1" thickBot="1" x14ac:dyDescent="0.25">
      <c r="A7" s="464"/>
      <c r="B7" s="97" t="s">
        <v>4</v>
      </c>
      <c r="C7" s="96" t="s">
        <v>45</v>
      </c>
      <c r="D7" s="110">
        <v>221.095</v>
      </c>
      <c r="E7" s="110">
        <v>500</v>
      </c>
      <c r="F7" s="110">
        <v>165.54</v>
      </c>
      <c r="G7" s="271">
        <v>2</v>
      </c>
      <c r="H7" s="179">
        <f t="shared" si="3"/>
        <v>331.08</v>
      </c>
      <c r="I7" s="109">
        <f t="shared" si="0"/>
        <v>334.46000000000004</v>
      </c>
      <c r="J7" s="179">
        <f t="shared" si="4"/>
        <v>66.215999999999994</v>
      </c>
      <c r="K7" s="108" t="s">
        <v>430</v>
      </c>
      <c r="L7" s="108">
        <v>904.18</v>
      </c>
      <c r="M7" s="108">
        <v>300</v>
      </c>
      <c r="N7" s="107">
        <f t="shared" si="1"/>
        <v>165.54</v>
      </c>
      <c r="O7" s="274">
        <v>2</v>
      </c>
      <c r="P7" s="240">
        <f t="shared" si="5"/>
        <v>331.08</v>
      </c>
      <c r="Q7" s="280">
        <f t="shared" si="6"/>
        <v>-31.079999999999984</v>
      </c>
      <c r="R7" s="291" t="str">
        <f t="shared" si="2"/>
        <v>Yes</v>
      </c>
      <c r="S7" s="250" t="s">
        <v>351</v>
      </c>
      <c r="T7" s="234" t="s">
        <v>351</v>
      </c>
    </row>
    <row r="8" spans="1:31" ht="14.25" customHeight="1" thickBot="1" x14ac:dyDescent="0.25">
      <c r="A8" s="464"/>
      <c r="B8" s="97" t="s">
        <v>25</v>
      </c>
      <c r="C8" s="96" t="s">
        <v>65</v>
      </c>
      <c r="D8" s="95">
        <v>645.40499999999997</v>
      </c>
      <c r="E8" s="95">
        <v>300</v>
      </c>
      <c r="F8" s="95">
        <v>101.52370000000001</v>
      </c>
      <c r="G8" s="271">
        <v>2</v>
      </c>
      <c r="H8" s="179">
        <f t="shared" si="3"/>
        <v>203.04740000000001</v>
      </c>
      <c r="I8" s="94">
        <f t="shared" si="0"/>
        <v>198.47629999999998</v>
      </c>
      <c r="J8" s="179">
        <f t="shared" si="4"/>
        <v>67.68246666666667</v>
      </c>
      <c r="K8" s="93" t="s">
        <v>429</v>
      </c>
      <c r="L8" s="93">
        <v>691.82</v>
      </c>
      <c r="M8" s="93">
        <v>300</v>
      </c>
      <c r="N8" s="92">
        <f t="shared" si="1"/>
        <v>101.52370000000001</v>
      </c>
      <c r="O8" s="274">
        <v>2</v>
      </c>
      <c r="P8" s="240">
        <f t="shared" si="5"/>
        <v>203.04740000000001</v>
      </c>
      <c r="Q8" s="280">
        <f t="shared" si="6"/>
        <v>96.95259999999999</v>
      </c>
      <c r="R8" s="177" t="str">
        <f t="shared" si="2"/>
        <v>No</v>
      </c>
      <c r="S8" s="249"/>
      <c r="T8" s="234"/>
    </row>
    <row r="9" spans="1:31" ht="13.5" thickBot="1" x14ac:dyDescent="0.25">
      <c r="A9" s="462" t="s">
        <v>46</v>
      </c>
      <c r="B9" s="87" t="s">
        <v>5</v>
      </c>
      <c r="C9" s="86" t="s">
        <v>46</v>
      </c>
      <c r="D9" s="85">
        <v>87.444999999999993</v>
      </c>
      <c r="E9" s="85">
        <v>900</v>
      </c>
      <c r="F9" s="85">
        <v>330.03719999999998</v>
      </c>
      <c r="G9" s="269">
        <v>2</v>
      </c>
      <c r="H9" s="179">
        <f t="shared" si="3"/>
        <v>660.07439999999997</v>
      </c>
      <c r="I9" s="84">
        <f t="shared" si="0"/>
        <v>569.96280000000002</v>
      </c>
      <c r="J9" s="179">
        <f t="shared" si="4"/>
        <v>73.3416</v>
      </c>
      <c r="K9" s="83" t="s">
        <v>428</v>
      </c>
      <c r="L9" s="83">
        <v>243.73500000000001</v>
      </c>
      <c r="M9" s="83">
        <v>750</v>
      </c>
      <c r="N9" s="82">
        <f t="shared" si="1"/>
        <v>330.03719999999998</v>
      </c>
      <c r="O9" s="273">
        <v>2</v>
      </c>
      <c r="P9" s="240">
        <f t="shared" si="5"/>
        <v>660.07439999999997</v>
      </c>
      <c r="Q9" s="280">
        <f t="shared" si="6"/>
        <v>89.925600000000031</v>
      </c>
      <c r="R9" s="176" t="str">
        <f t="shared" si="2"/>
        <v>No</v>
      </c>
      <c r="S9" s="229"/>
      <c r="T9" s="229"/>
      <c r="U9" s="242"/>
    </row>
    <row r="10" spans="1:31" ht="14.25" customHeight="1" thickBot="1" x14ac:dyDescent="0.25">
      <c r="A10" s="464"/>
      <c r="B10" s="97" t="s">
        <v>7</v>
      </c>
      <c r="C10" s="96" t="s">
        <v>48</v>
      </c>
      <c r="D10" s="110">
        <v>457.755</v>
      </c>
      <c r="E10" s="110">
        <v>600</v>
      </c>
      <c r="F10" s="110">
        <v>200.11</v>
      </c>
      <c r="G10" s="271">
        <v>2</v>
      </c>
      <c r="H10" s="179">
        <f t="shared" si="3"/>
        <v>400.22</v>
      </c>
      <c r="I10" s="109">
        <f t="shared" si="0"/>
        <v>399.89</v>
      </c>
      <c r="J10" s="179">
        <f t="shared" si="4"/>
        <v>66.703333333333333</v>
      </c>
      <c r="K10" s="108" t="s">
        <v>427</v>
      </c>
      <c r="L10" s="108">
        <v>614.06500000000005</v>
      </c>
      <c r="M10" s="108">
        <v>450</v>
      </c>
      <c r="N10" s="107">
        <f t="shared" si="1"/>
        <v>200.11</v>
      </c>
      <c r="O10" s="274">
        <v>2</v>
      </c>
      <c r="P10" s="240">
        <f t="shared" si="5"/>
        <v>400.22</v>
      </c>
      <c r="Q10" s="280">
        <f t="shared" si="6"/>
        <v>49.779999999999973</v>
      </c>
      <c r="R10" s="248" t="s">
        <v>467</v>
      </c>
      <c r="S10" s="369"/>
      <c r="T10" s="369"/>
      <c r="U10" s="242"/>
    </row>
    <row r="11" spans="1:31" ht="14.25" customHeight="1" thickBot="1" x14ac:dyDescent="0.25">
      <c r="A11" s="464"/>
      <c r="B11" s="97" t="s">
        <v>8</v>
      </c>
      <c r="C11" s="96" t="s">
        <v>74</v>
      </c>
      <c r="D11" s="110">
        <v>632.29</v>
      </c>
      <c r="E11" s="110">
        <v>1050</v>
      </c>
      <c r="F11" s="110">
        <v>416.14780000000002</v>
      </c>
      <c r="G11" s="271">
        <v>2</v>
      </c>
      <c r="H11" s="179">
        <f t="shared" si="3"/>
        <v>832.29560000000004</v>
      </c>
      <c r="I11" s="109">
        <f t="shared" si="0"/>
        <v>633.85220000000004</v>
      </c>
      <c r="J11" s="179">
        <f t="shared" si="4"/>
        <v>79.266247619047618</v>
      </c>
      <c r="K11" s="108" t="s">
        <v>426</v>
      </c>
      <c r="L11" s="108">
        <v>692.19500000000005</v>
      </c>
      <c r="M11" s="108">
        <v>1050</v>
      </c>
      <c r="N11" s="107">
        <f t="shared" si="1"/>
        <v>416.14780000000002</v>
      </c>
      <c r="O11" s="274">
        <v>2</v>
      </c>
      <c r="P11" s="240">
        <f t="shared" si="5"/>
        <v>832.29560000000004</v>
      </c>
      <c r="Q11" s="280">
        <f t="shared" si="6"/>
        <v>217.70439999999996</v>
      </c>
      <c r="R11" s="176" t="str">
        <f>IF(Q11&gt;=0,"No","Yes")</f>
        <v>No</v>
      </c>
      <c r="S11" s="369"/>
      <c r="T11" s="369"/>
      <c r="U11" s="242"/>
    </row>
    <row r="12" spans="1:31" ht="14.25" customHeight="1" thickBot="1" x14ac:dyDescent="0.25">
      <c r="A12" s="464"/>
      <c r="B12" s="97" t="s">
        <v>12</v>
      </c>
      <c r="C12" s="96" t="s">
        <v>52</v>
      </c>
      <c r="D12" s="110">
        <v>428.91</v>
      </c>
      <c r="E12" s="110">
        <v>800</v>
      </c>
      <c r="F12" s="110">
        <v>320.77999999999997</v>
      </c>
      <c r="G12" s="271">
        <v>2</v>
      </c>
      <c r="H12" s="179">
        <f t="shared" si="3"/>
        <v>641.55999999999995</v>
      </c>
      <c r="I12" s="109">
        <f t="shared" si="0"/>
        <v>479.22</v>
      </c>
      <c r="J12" s="179">
        <f t="shared" si="4"/>
        <v>80.194999999999993</v>
      </c>
      <c r="K12" s="108" t="s">
        <v>420</v>
      </c>
      <c r="L12" s="108">
        <v>440.09</v>
      </c>
      <c r="M12" s="108">
        <v>800</v>
      </c>
      <c r="N12" s="107">
        <f t="shared" si="1"/>
        <v>320.77999999999997</v>
      </c>
      <c r="O12" s="274">
        <v>2</v>
      </c>
      <c r="P12" s="240">
        <f t="shared" si="5"/>
        <v>641.55999999999995</v>
      </c>
      <c r="Q12" s="280">
        <f t="shared" si="6"/>
        <v>158.44000000000005</v>
      </c>
      <c r="R12" s="176" t="str">
        <f>IF(Q12&gt;=0,"No","Yes")</f>
        <v>No</v>
      </c>
      <c r="S12" s="369"/>
      <c r="T12" s="369"/>
      <c r="U12" s="242"/>
    </row>
    <row r="13" spans="1:31" ht="14.25" customHeight="1" thickBot="1" x14ac:dyDescent="0.25">
      <c r="A13" s="464"/>
      <c r="B13" s="97" t="s">
        <v>396</v>
      </c>
      <c r="C13" s="96" t="s">
        <v>63</v>
      </c>
      <c r="D13" s="95">
        <v>530.30999999999995</v>
      </c>
      <c r="E13" s="95">
        <v>200</v>
      </c>
      <c r="F13" s="95">
        <v>22.35</v>
      </c>
      <c r="G13" s="270">
        <v>2</v>
      </c>
      <c r="H13" s="179">
        <f t="shared" si="3"/>
        <v>44.7</v>
      </c>
      <c r="I13" s="94">
        <f t="shared" si="0"/>
        <v>177.65</v>
      </c>
      <c r="J13" s="179">
        <f t="shared" si="4"/>
        <v>22.35</v>
      </c>
      <c r="K13" s="93" t="s">
        <v>418</v>
      </c>
      <c r="L13" s="93">
        <v>541.49</v>
      </c>
      <c r="M13" s="93">
        <v>150</v>
      </c>
      <c r="N13" s="92">
        <f t="shared" si="1"/>
        <v>22.35</v>
      </c>
      <c r="O13" s="275">
        <v>2</v>
      </c>
      <c r="P13" s="240">
        <f t="shared" si="5"/>
        <v>44.7</v>
      </c>
      <c r="Q13" s="280">
        <f t="shared" si="6"/>
        <v>105.3</v>
      </c>
      <c r="R13" s="176" t="str">
        <f>IF(Q13&gt;=0,"No","Yes")</f>
        <v>No</v>
      </c>
      <c r="S13" s="369"/>
      <c r="T13" s="369"/>
      <c r="U13" s="242"/>
    </row>
    <row r="14" spans="1:31" ht="13.5" thickBot="1" x14ac:dyDescent="0.25">
      <c r="A14" s="365" t="s">
        <v>426</v>
      </c>
      <c r="B14" s="87" t="s">
        <v>351</v>
      </c>
      <c r="C14" s="157"/>
      <c r="D14" s="85"/>
      <c r="E14" s="85"/>
      <c r="F14" s="85"/>
      <c r="G14" s="95">
        <v>2</v>
      </c>
      <c r="H14" s="179">
        <f t="shared" si="3"/>
        <v>0</v>
      </c>
      <c r="I14" s="84"/>
      <c r="J14" s="179"/>
      <c r="K14" s="83"/>
      <c r="L14" s="83"/>
      <c r="M14" s="83"/>
      <c r="N14" s="82"/>
      <c r="O14" s="91">
        <v>2</v>
      </c>
      <c r="P14" s="240">
        <f t="shared" si="5"/>
        <v>0</v>
      </c>
      <c r="Q14" s="81"/>
      <c r="R14" s="82"/>
      <c r="S14" s="369"/>
      <c r="T14" s="369"/>
      <c r="U14" s="242"/>
      <c r="Z14" s="367"/>
      <c r="AA14" s="367"/>
      <c r="AB14" s="367"/>
      <c r="AC14" s="369"/>
      <c r="AD14" s="369"/>
      <c r="AE14" s="369"/>
    </row>
    <row r="15" spans="1:31" ht="13.5" thickBot="1" x14ac:dyDescent="0.25">
      <c r="A15" s="462" t="s">
        <v>49</v>
      </c>
      <c r="B15" s="87" t="s">
        <v>425</v>
      </c>
      <c r="C15" s="86" t="s">
        <v>47</v>
      </c>
      <c r="D15" s="85">
        <v>341.36500000000001</v>
      </c>
      <c r="E15" s="85">
        <v>1000</v>
      </c>
      <c r="F15" s="85">
        <v>414.50749999999999</v>
      </c>
      <c r="G15" s="269">
        <v>2</v>
      </c>
      <c r="H15" s="179">
        <f t="shared" si="3"/>
        <v>829.01499999999999</v>
      </c>
      <c r="I15" s="84">
        <f t="shared" ref="I15:I24" si="7">E15-F15</f>
        <v>585.49250000000006</v>
      </c>
      <c r="J15" s="85">
        <f>H15/E15*100</f>
        <v>82.901499999999999</v>
      </c>
      <c r="K15" s="83" t="s">
        <v>424</v>
      </c>
      <c r="L15" s="83">
        <v>527.53499999999997</v>
      </c>
      <c r="M15" s="83">
        <v>1000</v>
      </c>
      <c r="N15" s="82">
        <f t="shared" ref="N15:N24" si="8">F15</f>
        <v>414.50749999999999</v>
      </c>
      <c r="O15" s="273">
        <v>2</v>
      </c>
      <c r="P15" s="240">
        <f t="shared" si="5"/>
        <v>829.01499999999999</v>
      </c>
      <c r="Q15" s="199">
        <f>M15-P15</f>
        <v>170.98500000000001</v>
      </c>
      <c r="R15" s="82" t="str">
        <f t="shared" ref="R15:R24" si="9">IF(Q15&gt;=0,"No","Yes")</f>
        <v>No</v>
      </c>
      <c r="S15" s="369"/>
      <c r="T15" s="369"/>
      <c r="U15" s="242"/>
      <c r="Z15" s="369"/>
      <c r="AA15" s="369"/>
      <c r="AB15" s="367"/>
      <c r="AC15" s="367"/>
      <c r="AD15" s="367"/>
      <c r="AE15" s="367"/>
    </row>
    <row r="16" spans="1:31" ht="14.25" customHeight="1" thickBot="1" x14ac:dyDescent="0.25">
      <c r="A16" s="464"/>
      <c r="B16" s="97" t="s">
        <v>9</v>
      </c>
      <c r="C16" s="96" t="s">
        <v>423</v>
      </c>
      <c r="D16" s="110">
        <v>72.555000000000007</v>
      </c>
      <c r="E16" s="110">
        <v>600</v>
      </c>
      <c r="F16" s="110">
        <v>249.06020000000001</v>
      </c>
      <c r="G16" s="271">
        <v>2</v>
      </c>
      <c r="H16" s="179">
        <f t="shared" si="3"/>
        <v>498.12040000000002</v>
      </c>
      <c r="I16" s="109">
        <f t="shared" si="7"/>
        <v>350.93979999999999</v>
      </c>
      <c r="J16" s="85">
        <f t="shared" ref="J16:J24" si="10">H16/E16*100</f>
        <v>83.020066666666665</v>
      </c>
      <c r="K16" s="108" t="s">
        <v>422</v>
      </c>
      <c r="L16" s="108">
        <v>258.625</v>
      </c>
      <c r="M16" s="108">
        <v>500</v>
      </c>
      <c r="N16" s="107">
        <f t="shared" si="8"/>
        <v>249.06020000000001</v>
      </c>
      <c r="O16" s="274">
        <v>2</v>
      </c>
      <c r="P16" s="240">
        <f t="shared" si="5"/>
        <v>498.12040000000002</v>
      </c>
      <c r="Q16" s="199">
        <f t="shared" ref="Q16:Q24" si="11">M16-P16</f>
        <v>1.8795999999999822</v>
      </c>
      <c r="R16" s="82" t="str">
        <f t="shared" si="9"/>
        <v>No</v>
      </c>
      <c r="S16" s="369"/>
      <c r="T16" s="369"/>
      <c r="U16" s="242"/>
      <c r="Z16" s="367"/>
      <c r="AA16" s="367"/>
      <c r="AB16" s="367"/>
      <c r="AC16" s="367"/>
      <c r="AD16" s="367"/>
      <c r="AE16" s="367"/>
    </row>
    <row r="17" spans="1:37" ht="14.25" customHeight="1" thickBot="1" x14ac:dyDescent="0.25">
      <c r="A17" s="464"/>
      <c r="B17" s="97" t="s">
        <v>10</v>
      </c>
      <c r="C17" s="96" t="s">
        <v>386</v>
      </c>
      <c r="D17" s="110">
        <v>894.93</v>
      </c>
      <c r="E17" s="110">
        <v>450</v>
      </c>
      <c r="F17" s="110">
        <v>185.4342</v>
      </c>
      <c r="G17" s="271">
        <v>2</v>
      </c>
      <c r="H17" s="179">
        <f t="shared" si="3"/>
        <v>370.86840000000001</v>
      </c>
      <c r="I17" s="109">
        <f t="shared" si="7"/>
        <v>264.56579999999997</v>
      </c>
      <c r="J17" s="85">
        <f t="shared" si="10"/>
        <v>82.415199999999999</v>
      </c>
      <c r="K17" s="108" t="s">
        <v>385</v>
      </c>
      <c r="L17" s="108">
        <v>975.03499999999997</v>
      </c>
      <c r="M17" s="108">
        <v>450</v>
      </c>
      <c r="N17" s="107">
        <f t="shared" si="8"/>
        <v>185.4342</v>
      </c>
      <c r="O17" s="274">
        <v>2</v>
      </c>
      <c r="P17" s="240">
        <f t="shared" si="5"/>
        <v>370.86840000000001</v>
      </c>
      <c r="Q17" s="199">
        <f t="shared" si="11"/>
        <v>79.131599999999992</v>
      </c>
      <c r="R17" s="82" t="str">
        <f t="shared" si="9"/>
        <v>No</v>
      </c>
      <c r="S17" s="369"/>
      <c r="T17" s="369"/>
      <c r="U17" s="242"/>
      <c r="Z17" s="369"/>
      <c r="AA17" s="369"/>
      <c r="AB17" s="369"/>
      <c r="AC17" s="369"/>
      <c r="AD17" s="369"/>
      <c r="AE17" s="369"/>
      <c r="AI17" s="541"/>
      <c r="AJ17" s="541"/>
    </row>
    <row r="18" spans="1:37" ht="14.25" customHeight="1" thickBot="1" x14ac:dyDescent="0.25">
      <c r="A18" s="464"/>
      <c r="B18" s="97" t="s">
        <v>11</v>
      </c>
      <c r="C18" s="96" t="s">
        <v>378</v>
      </c>
      <c r="D18" s="110">
        <v>839.23</v>
      </c>
      <c r="E18" s="110">
        <v>600</v>
      </c>
      <c r="F18" s="110">
        <v>213.84829999999999</v>
      </c>
      <c r="G18" s="271">
        <v>2</v>
      </c>
      <c r="H18" s="179">
        <f t="shared" si="3"/>
        <v>427.69659999999999</v>
      </c>
      <c r="I18" s="109">
        <f t="shared" si="7"/>
        <v>386.15170000000001</v>
      </c>
      <c r="J18" s="85">
        <f t="shared" si="10"/>
        <v>71.28276666666666</v>
      </c>
      <c r="K18" s="108" t="s">
        <v>421</v>
      </c>
      <c r="L18" s="108">
        <v>1025.3</v>
      </c>
      <c r="M18" s="108">
        <v>600</v>
      </c>
      <c r="N18" s="107">
        <f t="shared" si="8"/>
        <v>213.84829999999999</v>
      </c>
      <c r="O18" s="274">
        <v>2</v>
      </c>
      <c r="P18" s="240">
        <f t="shared" si="5"/>
        <v>427.69659999999999</v>
      </c>
      <c r="Q18" s="199">
        <f t="shared" si="11"/>
        <v>172.30340000000001</v>
      </c>
      <c r="R18" s="82" t="str">
        <f t="shared" si="9"/>
        <v>No</v>
      </c>
      <c r="S18" s="369"/>
      <c r="T18" s="369"/>
      <c r="U18" s="242"/>
      <c r="Z18" s="369"/>
      <c r="AA18" s="369"/>
      <c r="AB18" s="369"/>
      <c r="AC18" s="369"/>
      <c r="AD18" s="369"/>
      <c r="AE18" s="369"/>
      <c r="AF18" s="369"/>
      <c r="AG18" s="369"/>
      <c r="AI18" s="193"/>
      <c r="AJ18" s="193"/>
      <c r="AK18" s="304"/>
    </row>
    <row r="19" spans="1:37" ht="14.25" customHeight="1" thickBot="1" x14ac:dyDescent="0.25">
      <c r="A19" s="464"/>
      <c r="B19" s="97" t="s">
        <v>12</v>
      </c>
      <c r="C19" s="96" t="s">
        <v>52</v>
      </c>
      <c r="D19" s="110">
        <v>428.91</v>
      </c>
      <c r="E19" s="110">
        <v>800</v>
      </c>
      <c r="F19" s="110">
        <v>320.7817</v>
      </c>
      <c r="G19" s="271">
        <v>2</v>
      </c>
      <c r="H19" s="179">
        <f t="shared" si="3"/>
        <v>641.5634</v>
      </c>
      <c r="I19" s="109">
        <f t="shared" si="7"/>
        <v>479.2183</v>
      </c>
      <c r="J19" s="85">
        <f t="shared" si="10"/>
        <v>80.195425</v>
      </c>
      <c r="K19" s="108" t="s">
        <v>420</v>
      </c>
      <c r="L19" s="108">
        <v>440.09</v>
      </c>
      <c r="M19" s="108">
        <v>800</v>
      </c>
      <c r="N19" s="107">
        <f t="shared" si="8"/>
        <v>320.7817</v>
      </c>
      <c r="O19" s="274">
        <v>2</v>
      </c>
      <c r="P19" s="240">
        <f t="shared" si="5"/>
        <v>641.5634</v>
      </c>
      <c r="Q19" s="199">
        <f t="shared" si="11"/>
        <v>158.4366</v>
      </c>
      <c r="R19" s="82" t="str">
        <f t="shared" si="9"/>
        <v>No</v>
      </c>
      <c r="S19" s="369"/>
      <c r="T19" s="369"/>
      <c r="U19" s="242"/>
      <c r="Z19" s="461"/>
      <c r="AA19" s="461"/>
      <c r="AB19" s="461"/>
      <c r="AC19" s="369"/>
      <c r="AD19" s="369"/>
      <c r="AE19" s="369"/>
      <c r="AF19" s="369"/>
      <c r="AG19" s="369"/>
      <c r="AI19" s="304"/>
      <c r="AJ19" s="304"/>
      <c r="AK19" s="304"/>
    </row>
    <row r="20" spans="1:37" ht="14.25" customHeight="1" thickBot="1" x14ac:dyDescent="0.25">
      <c r="A20" s="464"/>
      <c r="B20" s="97" t="s">
        <v>419</v>
      </c>
      <c r="C20" s="96" t="s">
        <v>411</v>
      </c>
      <c r="D20" s="95">
        <v>530.30999999999995</v>
      </c>
      <c r="E20" s="95">
        <f>E13</f>
        <v>200</v>
      </c>
      <c r="F20" s="95">
        <v>22.35</v>
      </c>
      <c r="G20" s="271">
        <v>2</v>
      </c>
      <c r="H20" s="179">
        <f t="shared" si="3"/>
        <v>44.7</v>
      </c>
      <c r="I20" s="94">
        <f t="shared" si="7"/>
        <v>177.65</v>
      </c>
      <c r="J20" s="85">
        <f t="shared" si="10"/>
        <v>22.35</v>
      </c>
      <c r="K20" s="93" t="s">
        <v>418</v>
      </c>
      <c r="L20" s="93">
        <v>541.49</v>
      </c>
      <c r="M20" s="93">
        <v>200</v>
      </c>
      <c r="N20" s="92">
        <f t="shared" si="8"/>
        <v>22.35</v>
      </c>
      <c r="O20" s="274">
        <v>2</v>
      </c>
      <c r="P20" s="240">
        <f t="shared" si="5"/>
        <v>44.7</v>
      </c>
      <c r="Q20" s="199">
        <f t="shared" si="11"/>
        <v>155.30000000000001</v>
      </c>
      <c r="R20" s="82" t="str">
        <f t="shared" si="9"/>
        <v>No</v>
      </c>
      <c r="S20" s="369"/>
      <c r="T20" s="369"/>
      <c r="U20" s="242"/>
      <c r="Z20" s="369"/>
      <c r="AA20" s="369"/>
      <c r="AB20" s="461"/>
      <c r="AC20" s="461"/>
      <c r="AD20" s="461"/>
      <c r="AE20" s="461"/>
      <c r="AF20" s="369"/>
      <c r="AG20" s="369"/>
      <c r="AI20" s="345"/>
      <c r="AJ20" s="345"/>
      <c r="AK20" s="304"/>
    </row>
    <row r="21" spans="1:37" ht="13.5" thickBot="1" x14ac:dyDescent="0.25">
      <c r="A21" s="462" t="s">
        <v>413</v>
      </c>
      <c r="B21" s="87" t="s">
        <v>7</v>
      </c>
      <c r="C21" s="86" t="s">
        <v>48</v>
      </c>
      <c r="D21" s="85">
        <v>457.755</v>
      </c>
      <c r="E21" s="85">
        <f>E10</f>
        <v>600</v>
      </c>
      <c r="F21" s="85">
        <v>200.1122</v>
      </c>
      <c r="G21" s="269">
        <v>2</v>
      </c>
      <c r="H21" s="179">
        <f t="shared" si="3"/>
        <v>400.2244</v>
      </c>
      <c r="I21" s="84">
        <f t="shared" si="7"/>
        <v>399.88779999999997</v>
      </c>
      <c r="J21" s="85">
        <f t="shared" si="10"/>
        <v>66.704066666666677</v>
      </c>
      <c r="K21" s="83" t="s">
        <v>416</v>
      </c>
      <c r="L21" s="83">
        <v>733.18499999999995</v>
      </c>
      <c r="M21" s="83">
        <v>600</v>
      </c>
      <c r="N21" s="82">
        <f t="shared" si="8"/>
        <v>200.1122</v>
      </c>
      <c r="O21" s="273">
        <v>2</v>
      </c>
      <c r="P21" s="240">
        <f t="shared" si="5"/>
        <v>400.2244</v>
      </c>
      <c r="Q21" s="199">
        <f t="shared" si="11"/>
        <v>199.7756</v>
      </c>
      <c r="R21" s="197" t="str">
        <f t="shared" si="9"/>
        <v>No</v>
      </c>
      <c r="S21" s="369"/>
      <c r="T21" s="369"/>
      <c r="U21" s="242"/>
      <c r="Z21" s="367"/>
      <c r="AA21" s="367"/>
      <c r="AB21" s="367"/>
      <c r="AC21" s="367"/>
      <c r="AD21" s="367"/>
      <c r="AE21" s="367"/>
      <c r="AF21" s="369"/>
      <c r="AG21" s="369"/>
      <c r="AI21" s="304"/>
      <c r="AJ21" s="304"/>
      <c r="AK21" s="304"/>
    </row>
    <row r="22" spans="1:37" ht="14.25" customHeight="1" thickBot="1" x14ac:dyDescent="0.25">
      <c r="A22" s="464"/>
      <c r="B22" s="97" t="s">
        <v>415</v>
      </c>
      <c r="C22" s="96" t="s">
        <v>74</v>
      </c>
      <c r="D22" s="110">
        <v>632.29</v>
      </c>
      <c r="E22" s="110">
        <f>E11</f>
        <v>1050</v>
      </c>
      <c r="F22" s="110">
        <v>416.14780000000002</v>
      </c>
      <c r="G22" s="271">
        <v>2</v>
      </c>
      <c r="H22" s="179">
        <f t="shared" si="3"/>
        <v>832.29560000000004</v>
      </c>
      <c r="I22" s="109">
        <f t="shared" si="7"/>
        <v>633.85220000000004</v>
      </c>
      <c r="J22" s="85">
        <f t="shared" si="10"/>
        <v>79.266247619047618</v>
      </c>
      <c r="K22" s="108" t="s">
        <v>361</v>
      </c>
      <c r="L22" s="108">
        <v>692.19500000000005</v>
      </c>
      <c r="M22" s="108">
        <v>1050</v>
      </c>
      <c r="N22" s="107">
        <f t="shared" si="8"/>
        <v>416.14780000000002</v>
      </c>
      <c r="O22" s="274">
        <v>2</v>
      </c>
      <c r="P22" s="240">
        <f t="shared" si="5"/>
        <v>832.29560000000004</v>
      </c>
      <c r="Q22" s="199">
        <f t="shared" si="11"/>
        <v>217.70439999999996</v>
      </c>
      <c r="R22" s="82" t="str">
        <f t="shared" si="9"/>
        <v>No</v>
      </c>
      <c r="S22" s="369"/>
      <c r="T22" s="369"/>
      <c r="U22" s="242"/>
      <c r="Z22" s="369"/>
      <c r="AA22" s="369"/>
      <c r="AB22" s="369"/>
      <c r="AC22" s="369"/>
      <c r="AD22" s="369"/>
      <c r="AE22" s="369"/>
      <c r="AF22" s="369"/>
      <c r="AG22" s="369"/>
      <c r="AI22" s="304"/>
      <c r="AJ22" s="304"/>
      <c r="AK22" s="304"/>
    </row>
    <row r="23" spans="1:37" ht="14.25" customHeight="1" thickBot="1" x14ac:dyDescent="0.25">
      <c r="A23" s="464"/>
      <c r="B23" s="97" t="s">
        <v>414</v>
      </c>
      <c r="C23" s="96" t="s">
        <v>413</v>
      </c>
      <c r="D23" s="110">
        <v>370.31</v>
      </c>
      <c r="E23" s="110">
        <v>200</v>
      </c>
      <c r="F23" s="110">
        <v>24.103000000000002</v>
      </c>
      <c r="G23" s="271">
        <v>2</v>
      </c>
      <c r="H23" s="179">
        <f t="shared" si="3"/>
        <v>48.206000000000003</v>
      </c>
      <c r="I23" s="109">
        <f t="shared" si="7"/>
        <v>175.89699999999999</v>
      </c>
      <c r="J23" s="85">
        <f t="shared" si="10"/>
        <v>24.103000000000002</v>
      </c>
      <c r="K23" s="108" t="s">
        <v>412</v>
      </c>
      <c r="L23" s="108">
        <v>820.63</v>
      </c>
      <c r="M23" s="108">
        <v>200</v>
      </c>
      <c r="N23" s="107">
        <f t="shared" si="8"/>
        <v>24.103000000000002</v>
      </c>
      <c r="O23" s="274">
        <v>2</v>
      </c>
      <c r="P23" s="240">
        <f t="shared" si="5"/>
        <v>48.206000000000003</v>
      </c>
      <c r="Q23" s="199">
        <f t="shared" si="11"/>
        <v>151.79399999999998</v>
      </c>
      <c r="R23" s="82" t="str">
        <f t="shared" si="9"/>
        <v>No</v>
      </c>
      <c r="S23" s="369"/>
      <c r="T23" s="369"/>
      <c r="U23" s="242"/>
      <c r="V23" s="304"/>
      <c r="W23" s="58"/>
      <c r="Z23" s="369"/>
      <c r="AA23" s="369"/>
      <c r="AB23" s="369"/>
      <c r="AC23" s="369"/>
      <c r="AD23" s="369"/>
      <c r="AE23" s="369"/>
      <c r="AF23" s="369"/>
      <c r="AG23" s="369"/>
      <c r="AI23" s="304"/>
      <c r="AJ23" s="304"/>
      <c r="AK23" s="304"/>
    </row>
    <row r="24" spans="1:37" ht="14.25" customHeight="1" thickBot="1" x14ac:dyDescent="0.25">
      <c r="A24" s="464"/>
      <c r="B24" s="97" t="s">
        <v>396</v>
      </c>
      <c r="C24" s="96" t="s">
        <v>411</v>
      </c>
      <c r="D24" s="95">
        <v>530.30999999999995</v>
      </c>
      <c r="E24" s="95">
        <f>E13</f>
        <v>200</v>
      </c>
      <c r="F24" s="95">
        <v>22.35</v>
      </c>
      <c r="G24" s="270">
        <v>2</v>
      </c>
      <c r="H24" s="179">
        <f t="shared" si="3"/>
        <v>44.7</v>
      </c>
      <c r="I24" s="94">
        <f t="shared" si="7"/>
        <v>177.65</v>
      </c>
      <c r="J24" s="85">
        <f t="shared" si="10"/>
        <v>22.35</v>
      </c>
      <c r="K24" s="93" t="s">
        <v>410</v>
      </c>
      <c r="L24" s="93">
        <v>660.63</v>
      </c>
      <c r="M24" s="93">
        <v>200</v>
      </c>
      <c r="N24" s="92">
        <f t="shared" si="8"/>
        <v>22.35</v>
      </c>
      <c r="O24" s="275">
        <v>2</v>
      </c>
      <c r="P24" s="240">
        <f t="shared" si="5"/>
        <v>44.7</v>
      </c>
      <c r="Q24" s="199">
        <f t="shared" si="11"/>
        <v>155.30000000000001</v>
      </c>
      <c r="R24" s="82" t="str">
        <f t="shared" si="9"/>
        <v>No</v>
      </c>
      <c r="S24" s="369"/>
      <c r="T24" s="369"/>
      <c r="V24" s="528" t="s">
        <v>454</v>
      </c>
      <c r="W24" s="529"/>
      <c r="X24" s="368"/>
      <c r="Z24" s="369"/>
      <c r="AA24" s="369"/>
      <c r="AB24" s="369"/>
      <c r="AC24" s="369"/>
      <c r="AD24" s="369"/>
      <c r="AE24" s="369"/>
      <c r="AF24" s="369"/>
      <c r="AG24" s="369"/>
      <c r="AI24" s="304"/>
      <c r="AJ24" s="304"/>
      <c r="AK24" s="304"/>
    </row>
    <row r="25" spans="1:37" ht="13.5" thickBot="1" x14ac:dyDescent="0.25">
      <c r="A25" s="158" t="s">
        <v>409</v>
      </c>
      <c r="B25" s="87" t="s">
        <v>408</v>
      </c>
      <c r="C25" s="157"/>
      <c r="D25" s="85"/>
      <c r="E25" s="85"/>
      <c r="F25" s="85"/>
      <c r="G25" s="95">
        <v>2</v>
      </c>
      <c r="H25" s="179">
        <f t="shared" si="3"/>
        <v>0</v>
      </c>
      <c r="I25" s="84"/>
      <c r="J25" s="179"/>
      <c r="K25" s="83"/>
      <c r="L25" s="83"/>
      <c r="M25" s="83"/>
      <c r="N25" s="82"/>
      <c r="O25" s="91">
        <v>2</v>
      </c>
      <c r="P25" s="240">
        <f t="shared" si="5"/>
        <v>0</v>
      </c>
      <c r="Q25" s="81"/>
      <c r="R25" s="82"/>
      <c r="S25" s="367" t="s">
        <v>440</v>
      </c>
      <c r="T25" s="367" t="s">
        <v>456</v>
      </c>
      <c r="V25" s="90"/>
      <c r="W25" s="304"/>
      <c r="X25" s="100"/>
      <c r="Z25" s="369"/>
      <c r="AA25" s="369"/>
      <c r="AB25" s="369"/>
      <c r="AC25" s="369"/>
      <c r="AD25" s="369"/>
      <c r="AE25" s="369"/>
      <c r="AF25" s="369"/>
      <c r="AG25" s="369"/>
      <c r="AI25" s="304"/>
      <c r="AJ25" s="304"/>
      <c r="AK25" s="304"/>
    </row>
    <row r="26" spans="1:37" ht="15" customHeight="1" thickBot="1" x14ac:dyDescent="0.25">
      <c r="A26" s="480" t="s">
        <v>407</v>
      </c>
      <c r="B26" s="155" t="s">
        <v>14</v>
      </c>
      <c r="C26" s="86" t="s">
        <v>406</v>
      </c>
      <c r="D26" s="85">
        <v>391.72</v>
      </c>
      <c r="E26" s="84">
        <v>1600</v>
      </c>
      <c r="F26" s="85">
        <v>664.51419999999996</v>
      </c>
      <c r="G26" s="269">
        <v>2</v>
      </c>
      <c r="H26" s="179">
        <f t="shared" si="3"/>
        <v>1329.0283999999999</v>
      </c>
      <c r="I26" s="84">
        <f t="shared" ref="I26:I56" si="12">E26-F26</f>
        <v>935.48580000000004</v>
      </c>
      <c r="J26" s="84">
        <f>H26/E26*100</f>
        <v>83.064274999999995</v>
      </c>
      <c r="K26" s="83" t="s">
        <v>405</v>
      </c>
      <c r="L26" s="83">
        <v>799.22</v>
      </c>
      <c r="M26" s="83">
        <v>1200</v>
      </c>
      <c r="N26" s="82">
        <f t="shared" ref="N26:N56" si="13">F26</f>
        <v>664.51419999999996</v>
      </c>
      <c r="O26" s="273">
        <v>2</v>
      </c>
      <c r="P26" s="240">
        <f t="shared" si="5"/>
        <v>1329.0283999999999</v>
      </c>
      <c r="Q26" s="81">
        <f>M26-P26</f>
        <v>-129.02839999999992</v>
      </c>
      <c r="R26" s="214" t="str">
        <f t="shared" ref="R26:R56" si="14">IF(Q26&gt;=0,"No","Yes")</f>
        <v>Yes</v>
      </c>
      <c r="S26" s="372" t="s">
        <v>14</v>
      </c>
      <c r="T26" s="370">
        <v>44</v>
      </c>
      <c r="V26" s="292" t="s">
        <v>390</v>
      </c>
      <c r="W26" s="193" t="s">
        <v>389</v>
      </c>
      <c r="X26" s="293" t="s">
        <v>388</v>
      </c>
      <c r="Z26" s="369"/>
      <c r="AA26" s="369"/>
      <c r="AB26" s="369"/>
      <c r="AC26" s="369"/>
      <c r="AD26" s="369"/>
      <c r="AE26" s="369"/>
      <c r="AF26" s="369"/>
      <c r="AG26" s="369"/>
      <c r="AI26" s="304"/>
      <c r="AJ26" s="304"/>
      <c r="AK26" s="304"/>
    </row>
    <row r="27" spans="1:37" ht="14.25" customHeight="1" thickBot="1" x14ac:dyDescent="0.25">
      <c r="A27" s="481"/>
      <c r="B27" s="76" t="s">
        <v>360</v>
      </c>
      <c r="C27" s="75" t="s">
        <v>55</v>
      </c>
      <c r="D27" s="152">
        <v>566.26</v>
      </c>
      <c r="E27" s="152">
        <v>1050</v>
      </c>
      <c r="F27" s="152">
        <v>424.66829999999999</v>
      </c>
      <c r="G27" s="271">
        <v>2</v>
      </c>
      <c r="H27" s="179">
        <f t="shared" si="3"/>
        <v>849.33659999999998</v>
      </c>
      <c r="I27" s="151">
        <f t="shared" si="12"/>
        <v>625.33169999999996</v>
      </c>
      <c r="J27" s="84">
        <f t="shared" ref="J27:J56" si="15">H27/E27*100</f>
        <v>80.889199999999988</v>
      </c>
      <c r="K27" s="150" t="s">
        <v>404</v>
      </c>
      <c r="L27" s="150">
        <v>973.76</v>
      </c>
      <c r="M27" s="150">
        <v>1050</v>
      </c>
      <c r="N27" s="71">
        <f t="shared" si="13"/>
        <v>424.66829999999999</v>
      </c>
      <c r="O27" s="274">
        <v>2</v>
      </c>
      <c r="P27" s="240">
        <f t="shared" si="5"/>
        <v>849.33659999999998</v>
      </c>
      <c r="Q27" s="81">
        <f t="shared" ref="Q27:Q56" si="16">M27-P27</f>
        <v>200.66340000000002</v>
      </c>
      <c r="R27" s="197" t="str">
        <f t="shared" si="14"/>
        <v>No</v>
      </c>
      <c r="S27" s="373" t="s">
        <v>469</v>
      </c>
      <c r="T27" s="371">
        <v>20</v>
      </c>
      <c r="V27" s="133" t="s">
        <v>14</v>
      </c>
      <c r="W27" s="132">
        <v>44</v>
      </c>
      <c r="X27" s="100">
        <f>(W27/200)*100</f>
        <v>22</v>
      </c>
      <c r="Z27" s="369"/>
      <c r="AA27" s="369"/>
      <c r="AB27" s="369"/>
      <c r="AC27" s="369"/>
      <c r="AD27" s="369"/>
      <c r="AE27" s="369"/>
      <c r="AF27" s="369"/>
      <c r="AG27" s="369"/>
      <c r="AI27" s="304"/>
      <c r="AJ27" s="304"/>
      <c r="AK27" s="304"/>
    </row>
    <row r="28" spans="1:37" ht="15" customHeight="1" thickBot="1" x14ac:dyDescent="0.25">
      <c r="A28" s="464" t="s">
        <v>403</v>
      </c>
      <c r="B28" s="63" t="s">
        <v>6</v>
      </c>
      <c r="C28" s="116" t="s">
        <v>47</v>
      </c>
      <c r="D28" s="95">
        <v>341.46499999999997</v>
      </c>
      <c r="E28" s="94">
        <f>E15</f>
        <v>1000</v>
      </c>
      <c r="F28" s="95">
        <v>414.50749999999999</v>
      </c>
      <c r="G28" s="269">
        <v>2</v>
      </c>
      <c r="H28" s="179">
        <f t="shared" si="3"/>
        <v>829.01499999999999</v>
      </c>
      <c r="I28" s="94">
        <f t="shared" si="12"/>
        <v>585.49250000000006</v>
      </c>
      <c r="J28" s="84">
        <f t="shared" si="15"/>
        <v>82.901499999999999</v>
      </c>
      <c r="K28" s="93" t="s">
        <v>402</v>
      </c>
      <c r="L28" s="93">
        <v>849.47500000000002</v>
      </c>
      <c r="M28" s="93">
        <v>750</v>
      </c>
      <c r="N28" s="92">
        <f t="shared" si="13"/>
        <v>414.50749999999999</v>
      </c>
      <c r="O28" s="273">
        <v>2</v>
      </c>
      <c r="P28" s="240">
        <f t="shared" si="5"/>
        <v>829.01499999999999</v>
      </c>
      <c r="Q28" s="81">
        <f t="shared" si="16"/>
        <v>-79.014999999999986</v>
      </c>
      <c r="R28" s="197" t="str">
        <f t="shared" si="14"/>
        <v>Yes</v>
      </c>
      <c r="S28" s="532" t="s">
        <v>351</v>
      </c>
      <c r="T28" s="535" t="s">
        <v>351</v>
      </c>
      <c r="V28" s="133" t="s">
        <v>24</v>
      </c>
      <c r="W28" s="132">
        <v>20</v>
      </c>
      <c r="X28" s="100">
        <f>(W28/150)*100</f>
        <v>13.333333333333334</v>
      </c>
      <c r="Z28" s="369"/>
      <c r="AA28" s="369"/>
      <c r="AB28" s="369"/>
      <c r="AC28" s="369"/>
      <c r="AD28" s="369"/>
      <c r="AE28" s="369"/>
      <c r="AF28" s="369"/>
      <c r="AG28" s="369"/>
      <c r="AI28" s="304"/>
      <c r="AJ28" s="304"/>
      <c r="AK28" s="304"/>
    </row>
    <row r="29" spans="1:37" ht="14.25" customHeight="1" thickBot="1" x14ac:dyDescent="0.25">
      <c r="A29" s="464"/>
      <c r="B29" s="63" t="s">
        <v>401</v>
      </c>
      <c r="C29" s="116" t="s">
        <v>386</v>
      </c>
      <c r="D29" s="95">
        <v>894.93</v>
      </c>
      <c r="E29" s="94">
        <f>E17</f>
        <v>450</v>
      </c>
      <c r="F29" s="95">
        <v>185.4342</v>
      </c>
      <c r="G29" s="271">
        <v>2</v>
      </c>
      <c r="H29" s="179">
        <f t="shared" si="3"/>
        <v>370.86840000000001</v>
      </c>
      <c r="I29" s="94">
        <f t="shared" si="12"/>
        <v>264.56579999999997</v>
      </c>
      <c r="J29" s="84">
        <f t="shared" si="15"/>
        <v>82.415199999999999</v>
      </c>
      <c r="K29" s="93" t="s">
        <v>385</v>
      </c>
      <c r="L29" s="93">
        <v>975.03499999999997</v>
      </c>
      <c r="M29" s="93">
        <v>450</v>
      </c>
      <c r="N29" s="92">
        <f t="shared" si="13"/>
        <v>185.4342</v>
      </c>
      <c r="O29" s="274">
        <v>2</v>
      </c>
      <c r="P29" s="240">
        <f t="shared" si="5"/>
        <v>370.86840000000001</v>
      </c>
      <c r="Q29" s="81">
        <f t="shared" si="16"/>
        <v>79.131599999999992</v>
      </c>
      <c r="R29" s="197" t="str">
        <f t="shared" si="14"/>
        <v>No</v>
      </c>
      <c r="S29" s="534"/>
      <c r="T29" s="536"/>
      <c r="V29" s="133" t="s">
        <v>19</v>
      </c>
      <c r="W29" s="132">
        <v>65</v>
      </c>
      <c r="X29" s="100"/>
      <c r="Z29" s="369"/>
      <c r="AA29" s="369"/>
      <c r="AB29" s="369"/>
      <c r="AC29" s="369"/>
      <c r="AD29" s="369"/>
      <c r="AE29" s="369"/>
      <c r="AF29" s="369"/>
      <c r="AG29" s="369"/>
      <c r="AI29" s="304"/>
      <c r="AJ29" s="304"/>
      <c r="AK29" s="304"/>
    </row>
    <row r="30" spans="1:37" ht="14.25" customHeight="1" thickBot="1" x14ac:dyDescent="0.25">
      <c r="A30" s="464"/>
      <c r="B30" s="97" t="s">
        <v>400</v>
      </c>
      <c r="C30" s="96" t="s">
        <v>378</v>
      </c>
      <c r="D30" s="110">
        <v>839.23</v>
      </c>
      <c r="E30" s="110">
        <f>E18</f>
        <v>600</v>
      </c>
      <c r="F30" s="110">
        <v>213.84829999999999</v>
      </c>
      <c r="G30" s="271">
        <v>2</v>
      </c>
      <c r="H30" s="179">
        <f t="shared" si="3"/>
        <v>427.69659999999999</v>
      </c>
      <c r="I30" s="109">
        <f t="shared" si="12"/>
        <v>386.15170000000001</v>
      </c>
      <c r="J30" s="84">
        <f t="shared" si="15"/>
        <v>71.28276666666666</v>
      </c>
      <c r="K30" s="108" t="s">
        <v>399</v>
      </c>
      <c r="L30" s="108">
        <v>1347.24</v>
      </c>
      <c r="M30" s="108">
        <v>400</v>
      </c>
      <c r="N30" s="107">
        <f t="shared" si="13"/>
        <v>213.84829999999999</v>
      </c>
      <c r="O30" s="274">
        <v>2</v>
      </c>
      <c r="P30" s="240">
        <f t="shared" si="5"/>
        <v>427.69659999999999</v>
      </c>
      <c r="Q30" s="81">
        <f t="shared" si="16"/>
        <v>-27.696599999999989</v>
      </c>
      <c r="R30" s="214" t="str">
        <f t="shared" si="14"/>
        <v>Yes</v>
      </c>
      <c r="S30" s="534"/>
      <c r="T30" s="536"/>
      <c r="V30" s="90" t="s">
        <v>20</v>
      </c>
      <c r="W30" s="304">
        <v>150</v>
      </c>
      <c r="X30" s="100"/>
      <c r="Z30" s="18"/>
      <c r="AA30" s="18"/>
      <c r="AB30" s="369"/>
      <c r="AC30" s="18"/>
      <c r="AD30" s="369"/>
      <c r="AE30" s="369"/>
      <c r="AF30" s="340"/>
      <c r="AG30" s="369"/>
      <c r="AI30" s="304"/>
      <c r="AJ30" s="304"/>
      <c r="AK30" s="304"/>
    </row>
    <row r="31" spans="1:37" ht="14.25" customHeight="1" thickBot="1" x14ac:dyDescent="0.25">
      <c r="A31" s="464"/>
      <c r="B31" s="97" t="s">
        <v>398</v>
      </c>
      <c r="C31" s="96" t="s">
        <v>52</v>
      </c>
      <c r="D31" s="95">
        <v>428.91</v>
      </c>
      <c r="E31" s="94">
        <f>E12</f>
        <v>800</v>
      </c>
      <c r="F31" s="95">
        <v>320.7817</v>
      </c>
      <c r="G31" s="271">
        <v>2</v>
      </c>
      <c r="H31" s="179">
        <f t="shared" si="3"/>
        <v>641.5634</v>
      </c>
      <c r="I31" s="94">
        <f t="shared" si="12"/>
        <v>479.2183</v>
      </c>
      <c r="J31" s="84">
        <f t="shared" si="15"/>
        <v>80.195425</v>
      </c>
      <c r="K31" s="93" t="s">
        <v>397</v>
      </c>
      <c r="L31" s="93">
        <v>762.03</v>
      </c>
      <c r="M31" s="93">
        <v>600</v>
      </c>
      <c r="N31" s="92">
        <f t="shared" si="13"/>
        <v>320.7817</v>
      </c>
      <c r="O31" s="274">
        <v>2</v>
      </c>
      <c r="P31" s="240">
        <f t="shared" si="5"/>
        <v>641.5634</v>
      </c>
      <c r="Q31" s="81">
        <f t="shared" si="16"/>
        <v>-41.563400000000001</v>
      </c>
      <c r="R31" s="214" t="str">
        <f t="shared" si="14"/>
        <v>Yes</v>
      </c>
      <c r="S31" s="534"/>
      <c r="T31" s="536"/>
      <c r="V31" s="294"/>
      <c r="W31" s="230"/>
      <c r="X31" s="89"/>
      <c r="Y31" s="304"/>
      <c r="Z31" s="18"/>
      <c r="AA31" s="18"/>
      <c r="AB31" s="369"/>
      <c r="AC31" s="18"/>
      <c r="AD31" s="369"/>
      <c r="AE31" s="369"/>
      <c r="AF31" s="340"/>
      <c r="AG31" s="369"/>
      <c r="AI31" s="304"/>
      <c r="AJ31" s="304"/>
      <c r="AK31" s="304"/>
    </row>
    <row r="32" spans="1:37" ht="14.25" customHeight="1" thickBot="1" x14ac:dyDescent="0.25">
      <c r="A32" s="464"/>
      <c r="B32" s="97" t="s">
        <v>395</v>
      </c>
      <c r="C32" s="96" t="s">
        <v>56</v>
      </c>
      <c r="D32" s="95">
        <v>268.91000000000003</v>
      </c>
      <c r="E32" s="95">
        <v>750</v>
      </c>
      <c r="F32" s="95">
        <v>277.57420000000002</v>
      </c>
      <c r="G32" s="271">
        <v>2</v>
      </c>
      <c r="H32" s="179">
        <f t="shared" si="3"/>
        <v>555.14840000000004</v>
      </c>
      <c r="I32" s="94">
        <f t="shared" si="12"/>
        <v>472.42579999999998</v>
      </c>
      <c r="J32" s="84">
        <f t="shared" si="15"/>
        <v>74.019786666666676</v>
      </c>
      <c r="K32" s="93" t="s">
        <v>394</v>
      </c>
      <c r="L32" s="93">
        <v>922.03</v>
      </c>
      <c r="M32" s="93">
        <v>450</v>
      </c>
      <c r="N32" s="107">
        <f t="shared" si="13"/>
        <v>277.57420000000002</v>
      </c>
      <c r="O32" s="274">
        <v>2</v>
      </c>
      <c r="P32" s="240">
        <f t="shared" si="5"/>
        <v>555.14840000000004</v>
      </c>
      <c r="Q32" s="81">
        <f t="shared" si="16"/>
        <v>-105.14840000000004</v>
      </c>
      <c r="R32" s="197" t="str">
        <f t="shared" si="14"/>
        <v>Yes</v>
      </c>
      <c r="S32" s="533"/>
      <c r="T32" s="537"/>
      <c r="V32" s="160" t="s">
        <v>369</v>
      </c>
      <c r="W32" s="247">
        <f>SUM(W27:W31)</f>
        <v>279</v>
      </c>
      <c r="Y32" s="304"/>
      <c r="Z32" s="369"/>
      <c r="AA32" s="369"/>
      <c r="AB32" s="369"/>
      <c r="AC32" s="369"/>
      <c r="AD32" s="369"/>
      <c r="AE32" s="369"/>
    </row>
    <row r="33" spans="1:44" ht="13.5" thickBot="1" x14ac:dyDescent="0.25">
      <c r="A33" s="462" t="s">
        <v>382</v>
      </c>
      <c r="B33" s="87" t="s">
        <v>393</v>
      </c>
      <c r="C33" s="86" t="s">
        <v>392</v>
      </c>
      <c r="D33" s="85">
        <v>774.56</v>
      </c>
      <c r="E33" s="85">
        <f>E6</f>
        <v>1500</v>
      </c>
      <c r="F33" s="85">
        <v>593.39</v>
      </c>
      <c r="G33" s="269">
        <v>2</v>
      </c>
      <c r="H33" s="179">
        <f t="shared" si="3"/>
        <v>1186.78</v>
      </c>
      <c r="I33" s="84">
        <f t="shared" si="12"/>
        <v>906.61</v>
      </c>
      <c r="J33" s="84">
        <f t="shared" si="15"/>
        <v>79.118666666666655</v>
      </c>
      <c r="K33" s="83" t="s">
        <v>391</v>
      </c>
      <c r="L33" s="83">
        <v>778.62</v>
      </c>
      <c r="M33" s="83">
        <v>1500</v>
      </c>
      <c r="N33" s="82">
        <f t="shared" si="13"/>
        <v>593.39</v>
      </c>
      <c r="O33" s="273">
        <v>2</v>
      </c>
      <c r="P33" s="240">
        <f t="shared" si="5"/>
        <v>1186.78</v>
      </c>
      <c r="Q33" s="81">
        <f t="shared" si="16"/>
        <v>313.22000000000003</v>
      </c>
      <c r="R33" s="197" t="str">
        <f t="shared" si="14"/>
        <v>No</v>
      </c>
      <c r="S33" s="229"/>
      <c r="T33" s="229"/>
      <c r="U33" s="242"/>
      <c r="V33" s="246" t="s">
        <v>365</v>
      </c>
      <c r="W33" s="245">
        <f>W32/E57</f>
        <v>7.6229508196721312E-3</v>
      </c>
    </row>
    <row r="34" spans="1:44" ht="14.25" customHeight="1" thickBot="1" x14ac:dyDescent="0.25">
      <c r="A34" s="464"/>
      <c r="B34" s="97" t="s">
        <v>387</v>
      </c>
      <c r="C34" s="96" t="s">
        <v>386</v>
      </c>
      <c r="D34" s="110">
        <v>894.93</v>
      </c>
      <c r="E34" s="109">
        <f>E17</f>
        <v>450</v>
      </c>
      <c r="F34" s="110">
        <v>185.4342</v>
      </c>
      <c r="G34" s="271">
        <v>2</v>
      </c>
      <c r="H34" s="179">
        <f t="shared" si="3"/>
        <v>370.86840000000001</v>
      </c>
      <c r="I34" s="109">
        <f t="shared" si="12"/>
        <v>264.56579999999997</v>
      </c>
      <c r="J34" s="84">
        <f t="shared" si="15"/>
        <v>82.415199999999999</v>
      </c>
      <c r="K34" s="108" t="s">
        <v>385</v>
      </c>
      <c r="L34" s="108">
        <v>975.03499999999997</v>
      </c>
      <c r="M34" s="108">
        <v>450</v>
      </c>
      <c r="N34" s="107">
        <f t="shared" si="13"/>
        <v>185.4342</v>
      </c>
      <c r="O34" s="274">
        <v>2</v>
      </c>
      <c r="P34" s="240">
        <f t="shared" si="5"/>
        <v>370.86840000000001</v>
      </c>
      <c r="Q34" s="81">
        <f t="shared" si="16"/>
        <v>79.131599999999992</v>
      </c>
      <c r="R34" s="197" t="str">
        <f t="shared" si="14"/>
        <v>No</v>
      </c>
      <c r="S34" s="369"/>
      <c r="T34" s="369"/>
      <c r="U34" s="242"/>
      <c r="X34" s="304"/>
    </row>
    <row r="35" spans="1:44" ht="14.25" customHeight="1" thickBot="1" x14ac:dyDescent="0.25">
      <c r="A35" s="464"/>
      <c r="B35" s="97" t="s">
        <v>383</v>
      </c>
      <c r="C35" s="96" t="s">
        <v>382</v>
      </c>
      <c r="D35" s="95">
        <v>553.46500000000003</v>
      </c>
      <c r="E35" s="94">
        <v>1200</v>
      </c>
      <c r="F35" s="95">
        <v>491.47570000000002</v>
      </c>
      <c r="G35" s="271">
        <v>2</v>
      </c>
      <c r="H35" s="179">
        <f t="shared" si="3"/>
        <v>982.95140000000004</v>
      </c>
      <c r="I35" s="94">
        <f t="shared" si="12"/>
        <v>708.52430000000004</v>
      </c>
      <c r="J35" s="84">
        <f t="shared" si="15"/>
        <v>81.912616666666665</v>
      </c>
      <c r="K35" s="93" t="s">
        <v>381</v>
      </c>
      <c r="L35" s="93">
        <v>660.12</v>
      </c>
      <c r="M35" s="93">
        <v>1200</v>
      </c>
      <c r="N35" s="92">
        <f t="shared" si="13"/>
        <v>491.47570000000002</v>
      </c>
      <c r="O35" s="274">
        <v>2</v>
      </c>
      <c r="P35" s="240">
        <f t="shared" si="5"/>
        <v>982.95140000000004</v>
      </c>
      <c r="Q35" s="81">
        <f t="shared" si="16"/>
        <v>217.04859999999996</v>
      </c>
      <c r="R35" s="197" t="str">
        <f t="shared" si="14"/>
        <v>No</v>
      </c>
      <c r="S35" s="369"/>
      <c r="T35" s="369"/>
      <c r="U35" s="242"/>
      <c r="X35" s="304"/>
      <c r="Y35" s="304"/>
    </row>
    <row r="36" spans="1:44" ht="13.5" thickBot="1" x14ac:dyDescent="0.25">
      <c r="A36" s="462" t="s">
        <v>375</v>
      </c>
      <c r="B36" s="87" t="s">
        <v>379</v>
      </c>
      <c r="C36" s="86" t="s">
        <v>378</v>
      </c>
      <c r="D36" s="85">
        <v>839.23</v>
      </c>
      <c r="E36" s="84">
        <f>E18</f>
        <v>600</v>
      </c>
      <c r="F36" s="85">
        <v>213.84829999999999</v>
      </c>
      <c r="G36" s="269">
        <v>2</v>
      </c>
      <c r="H36" s="179">
        <f t="shared" si="3"/>
        <v>427.69659999999999</v>
      </c>
      <c r="I36" s="84">
        <f t="shared" si="12"/>
        <v>386.15170000000001</v>
      </c>
      <c r="J36" s="84">
        <f t="shared" si="15"/>
        <v>71.28276666666666</v>
      </c>
      <c r="K36" s="83" t="s">
        <v>377</v>
      </c>
      <c r="L36" s="83">
        <v>844.89</v>
      </c>
      <c r="M36" s="83">
        <v>600</v>
      </c>
      <c r="N36" s="82">
        <f t="shared" si="13"/>
        <v>213.84829999999999</v>
      </c>
      <c r="O36" s="273">
        <v>2</v>
      </c>
      <c r="P36" s="240">
        <f t="shared" si="5"/>
        <v>427.69659999999999</v>
      </c>
      <c r="Q36" s="81">
        <f t="shared" si="16"/>
        <v>172.30340000000001</v>
      </c>
      <c r="R36" s="197" t="str">
        <f t="shared" si="14"/>
        <v>No</v>
      </c>
      <c r="S36" s="369"/>
      <c r="T36" s="369"/>
      <c r="U36" s="242"/>
    </row>
    <row r="37" spans="1:44" ht="14.25" customHeight="1" thickBot="1" x14ac:dyDescent="0.25">
      <c r="A37" s="464"/>
      <c r="B37" s="97" t="s">
        <v>376</v>
      </c>
      <c r="C37" s="96" t="s">
        <v>375</v>
      </c>
      <c r="D37" s="95">
        <v>497.76499999999999</v>
      </c>
      <c r="E37" s="95">
        <v>2800</v>
      </c>
      <c r="F37" s="95">
        <v>1151.328</v>
      </c>
      <c r="G37" s="270">
        <v>2</v>
      </c>
      <c r="H37" s="179">
        <f t="shared" si="3"/>
        <v>2302.6559999999999</v>
      </c>
      <c r="I37" s="94">
        <f t="shared" si="12"/>
        <v>1648.672</v>
      </c>
      <c r="J37" s="84">
        <f t="shared" si="15"/>
        <v>82.237714285714276</v>
      </c>
      <c r="K37" s="93" t="s">
        <v>374</v>
      </c>
      <c r="L37" s="93">
        <v>503.42500000000001</v>
      </c>
      <c r="M37" s="93">
        <v>2800</v>
      </c>
      <c r="N37" s="92">
        <f t="shared" si="13"/>
        <v>1151.328</v>
      </c>
      <c r="O37" s="275">
        <v>2</v>
      </c>
      <c r="P37" s="240">
        <f t="shared" si="5"/>
        <v>2302.6559999999999</v>
      </c>
      <c r="Q37" s="81">
        <f t="shared" si="16"/>
        <v>497.34400000000005</v>
      </c>
      <c r="R37" s="197" t="str">
        <f t="shared" si="14"/>
        <v>No</v>
      </c>
      <c r="S37" s="244"/>
      <c r="T37" s="244"/>
      <c r="U37" s="242"/>
      <c r="AD37" s="491" t="s">
        <v>615</v>
      </c>
      <c r="AE37" s="492"/>
      <c r="AF37" s="492"/>
      <c r="AG37" s="492"/>
      <c r="AH37" s="492"/>
      <c r="AI37" s="493"/>
      <c r="AJ37" s="161"/>
      <c r="AO37" s="459"/>
      <c r="AP37" s="459"/>
      <c r="AQ37" s="459"/>
      <c r="AR37" s="459"/>
    </row>
    <row r="38" spans="1:44" ht="13.5" thickBot="1" x14ac:dyDescent="0.25">
      <c r="A38" s="365" t="s">
        <v>372</v>
      </c>
      <c r="B38" s="87" t="s">
        <v>373</v>
      </c>
      <c r="C38" s="86" t="s">
        <v>372</v>
      </c>
      <c r="D38" s="85">
        <v>285.27999999999997</v>
      </c>
      <c r="E38" s="85">
        <v>2000</v>
      </c>
      <c r="F38" s="85">
        <v>779.52329999999995</v>
      </c>
      <c r="G38" s="95">
        <v>2</v>
      </c>
      <c r="H38" s="179">
        <f t="shared" si="3"/>
        <v>1559.0465999999999</v>
      </c>
      <c r="I38" s="84">
        <f t="shared" si="12"/>
        <v>1220.4767000000002</v>
      </c>
      <c r="J38" s="84">
        <f t="shared" si="15"/>
        <v>77.952329999999989</v>
      </c>
      <c r="K38" s="83" t="s">
        <v>371</v>
      </c>
      <c r="L38" s="83">
        <v>539.80499999999995</v>
      </c>
      <c r="M38" s="83">
        <v>1200</v>
      </c>
      <c r="N38" s="82">
        <f t="shared" si="13"/>
        <v>779.52329999999995</v>
      </c>
      <c r="O38" s="91">
        <v>2</v>
      </c>
      <c r="P38" s="240">
        <f t="shared" si="5"/>
        <v>1559.0465999999999</v>
      </c>
      <c r="Q38" s="81">
        <f t="shared" si="16"/>
        <v>-359.0465999999999</v>
      </c>
      <c r="R38" s="214" t="str">
        <f t="shared" si="14"/>
        <v>Yes</v>
      </c>
      <c r="S38" s="216" t="s">
        <v>19</v>
      </c>
      <c r="T38" s="215">
        <v>65</v>
      </c>
      <c r="AD38" s="346" t="s">
        <v>528</v>
      </c>
      <c r="AE38" s="348" t="s">
        <v>529</v>
      </c>
      <c r="AF38" s="348" t="s">
        <v>530</v>
      </c>
      <c r="AG38" s="348" t="s">
        <v>531</v>
      </c>
      <c r="AH38" s="348" t="s">
        <v>532</v>
      </c>
      <c r="AI38" s="349" t="s">
        <v>582</v>
      </c>
      <c r="AJ38" s="328" t="s">
        <v>417</v>
      </c>
      <c r="AO38" s="459"/>
      <c r="AP38" s="459"/>
      <c r="AQ38" s="459"/>
      <c r="AR38" s="342"/>
    </row>
    <row r="39" spans="1:44" ht="13.5" thickBot="1" x14ac:dyDescent="0.25">
      <c r="A39" s="462" t="s">
        <v>60</v>
      </c>
      <c r="B39" s="87" t="s">
        <v>368</v>
      </c>
      <c r="C39" s="86" t="s">
        <v>367</v>
      </c>
      <c r="D39" s="85">
        <v>239.47</v>
      </c>
      <c r="E39" s="84">
        <v>2250</v>
      </c>
      <c r="F39" s="85">
        <v>886.15449999999998</v>
      </c>
      <c r="G39" s="269">
        <v>2</v>
      </c>
      <c r="H39" s="179">
        <f t="shared" si="3"/>
        <v>1772.309</v>
      </c>
      <c r="I39" s="84">
        <f t="shared" si="12"/>
        <v>1363.8454999999999</v>
      </c>
      <c r="J39" s="84">
        <f t="shared" si="15"/>
        <v>78.769288888888894</v>
      </c>
      <c r="K39" s="83" t="s">
        <v>366</v>
      </c>
      <c r="L39" s="83">
        <v>585.61500000000001</v>
      </c>
      <c r="M39" s="83">
        <v>1350</v>
      </c>
      <c r="N39" s="82">
        <f t="shared" si="13"/>
        <v>886.15449999999998</v>
      </c>
      <c r="O39" s="273">
        <v>2</v>
      </c>
      <c r="P39" s="240">
        <f t="shared" si="5"/>
        <v>1772.309</v>
      </c>
      <c r="Q39" s="81">
        <f t="shared" si="16"/>
        <v>-422.30899999999997</v>
      </c>
      <c r="R39" s="214" t="str">
        <f t="shared" si="14"/>
        <v>Yes</v>
      </c>
      <c r="S39" s="213" t="s">
        <v>20</v>
      </c>
      <c r="T39" s="212">
        <v>150</v>
      </c>
      <c r="AD39" s="60" t="s">
        <v>84</v>
      </c>
      <c r="AE39" s="350">
        <v>0</v>
      </c>
      <c r="AF39" s="350">
        <v>0</v>
      </c>
      <c r="AG39" s="351">
        <v>0</v>
      </c>
      <c r="AH39" s="351">
        <v>0</v>
      </c>
      <c r="AI39" s="352">
        <v>0</v>
      </c>
      <c r="AJ39" s="353">
        <f>SUM(AE39:AI39)</f>
        <v>0</v>
      </c>
      <c r="AO39" s="459"/>
      <c r="AP39" s="459"/>
      <c r="AQ39" s="459"/>
      <c r="AR39" s="459"/>
    </row>
    <row r="40" spans="1:44" ht="14.25" customHeight="1" thickBot="1" x14ac:dyDescent="0.25">
      <c r="A40" s="463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271">
        <v>2</v>
      </c>
      <c r="H40" s="179">
        <f t="shared" si="3"/>
        <v>467.61399999999998</v>
      </c>
      <c r="I40" s="73">
        <f t="shared" si="12"/>
        <v>366.19299999999998</v>
      </c>
      <c r="J40" s="84">
        <f t="shared" si="15"/>
        <v>77.935666666666663</v>
      </c>
      <c r="K40" s="72" t="s">
        <v>328</v>
      </c>
      <c r="L40" s="72">
        <v>673.16499999999996</v>
      </c>
      <c r="M40" s="72">
        <v>450</v>
      </c>
      <c r="N40" s="121">
        <f t="shared" si="13"/>
        <v>233.80699999999999</v>
      </c>
      <c r="O40" s="274">
        <v>2</v>
      </c>
      <c r="P40" s="240">
        <f t="shared" si="5"/>
        <v>467.61399999999998</v>
      </c>
      <c r="Q40" s="81">
        <f t="shared" si="16"/>
        <v>-17.613999999999976</v>
      </c>
      <c r="R40" s="197" t="str">
        <f t="shared" si="14"/>
        <v>Yes</v>
      </c>
      <c r="S40" s="211"/>
      <c r="T40" s="210"/>
      <c r="AD40" s="60" t="s">
        <v>85</v>
      </c>
      <c r="AE40" s="350">
        <v>0</v>
      </c>
      <c r="AF40" s="350">
        <v>0</v>
      </c>
      <c r="AG40" s="350">
        <v>0</v>
      </c>
      <c r="AH40" s="350">
        <v>0</v>
      </c>
      <c r="AI40" s="352">
        <v>0</v>
      </c>
      <c r="AJ40" s="60">
        <f t="shared" ref="AJ40:AJ50" si="17">SUM(AE40:AI40)</f>
        <v>0</v>
      </c>
      <c r="AO40" s="459"/>
      <c r="AP40" s="459"/>
      <c r="AQ40" s="459"/>
      <c r="AR40" s="459"/>
    </row>
    <row r="41" spans="1:44" ht="13.5" thickBot="1" x14ac:dyDescent="0.25">
      <c r="A41" s="464" t="s">
        <v>363</v>
      </c>
      <c r="B41" s="63" t="s">
        <v>362</v>
      </c>
      <c r="C41" s="116" t="s">
        <v>74</v>
      </c>
      <c r="D41" s="95">
        <v>632.29499999999996</v>
      </c>
      <c r="E41" s="95">
        <f>E22</f>
        <v>1050</v>
      </c>
      <c r="F41" s="95">
        <v>416.14780000000002</v>
      </c>
      <c r="G41" s="269">
        <v>2</v>
      </c>
      <c r="H41" s="179">
        <f t="shared" si="3"/>
        <v>832.29560000000004</v>
      </c>
      <c r="I41" s="94">
        <f t="shared" si="12"/>
        <v>633.85220000000004</v>
      </c>
      <c r="J41" s="84">
        <f t="shared" si="15"/>
        <v>79.266247619047618</v>
      </c>
      <c r="K41" s="93" t="s">
        <v>361</v>
      </c>
      <c r="L41" s="93">
        <v>692.19500000000005</v>
      </c>
      <c r="M41" s="93">
        <v>1050</v>
      </c>
      <c r="N41" s="92">
        <f t="shared" si="13"/>
        <v>416.14780000000002</v>
      </c>
      <c r="O41" s="273">
        <v>2</v>
      </c>
      <c r="P41" s="240">
        <f t="shared" si="5"/>
        <v>832.29560000000004</v>
      </c>
      <c r="Q41" s="81">
        <f t="shared" si="16"/>
        <v>217.70439999999996</v>
      </c>
      <c r="R41" s="197" t="str">
        <f t="shared" si="14"/>
        <v>No</v>
      </c>
      <c r="S41" s="229"/>
      <c r="T41" s="229"/>
      <c r="AD41" s="60" t="s">
        <v>86</v>
      </c>
      <c r="AE41" s="350">
        <v>0</v>
      </c>
      <c r="AF41" s="350">
        <v>0</v>
      </c>
      <c r="AG41" s="350">
        <v>0</v>
      </c>
      <c r="AH41" s="350">
        <v>0</v>
      </c>
      <c r="AI41" s="352">
        <v>0</v>
      </c>
      <c r="AJ41" s="60">
        <f t="shared" si="17"/>
        <v>0</v>
      </c>
      <c r="AL41" s="457" t="s">
        <v>534</v>
      </c>
      <c r="AM41" s="457" t="s">
        <v>535</v>
      </c>
      <c r="AN41" s="355" t="s">
        <v>536</v>
      </c>
      <c r="AO41" s="459"/>
      <c r="AP41" s="459"/>
    </row>
    <row r="42" spans="1:44" ht="14.25" customHeight="1" thickBot="1" x14ac:dyDescent="0.25">
      <c r="A42" s="464"/>
      <c r="B42" s="97" t="s">
        <v>360</v>
      </c>
      <c r="C42" s="96" t="s">
        <v>55</v>
      </c>
      <c r="D42" s="110">
        <v>566.26</v>
      </c>
      <c r="E42" s="110">
        <f>E27</f>
        <v>1050</v>
      </c>
      <c r="F42" s="110">
        <v>424.66829999999999</v>
      </c>
      <c r="G42" s="271">
        <v>2</v>
      </c>
      <c r="H42" s="179">
        <f t="shared" si="3"/>
        <v>849.33659999999998</v>
      </c>
      <c r="I42" s="109">
        <f t="shared" si="12"/>
        <v>625.33169999999996</v>
      </c>
      <c r="J42" s="84">
        <f t="shared" si="15"/>
        <v>80.889199999999988</v>
      </c>
      <c r="K42" s="108" t="s">
        <v>359</v>
      </c>
      <c r="L42" s="108">
        <v>1033.6600000000001</v>
      </c>
      <c r="M42" s="108">
        <v>1050</v>
      </c>
      <c r="N42" s="107">
        <f t="shared" si="13"/>
        <v>424.66829999999999</v>
      </c>
      <c r="O42" s="274">
        <v>2</v>
      </c>
      <c r="P42" s="240">
        <f t="shared" si="5"/>
        <v>849.33659999999998</v>
      </c>
      <c r="Q42" s="81">
        <f t="shared" si="16"/>
        <v>200.66340000000002</v>
      </c>
      <c r="R42" s="197" t="str">
        <f t="shared" si="14"/>
        <v>No</v>
      </c>
      <c r="S42" s="369"/>
      <c r="T42" s="369"/>
      <c r="U42" s="242"/>
      <c r="AD42" s="60" t="s">
        <v>87</v>
      </c>
      <c r="AE42" s="350">
        <v>0</v>
      </c>
      <c r="AF42" s="350">
        <v>1</v>
      </c>
      <c r="AG42" s="350">
        <v>0</v>
      </c>
      <c r="AH42" s="350">
        <v>0</v>
      </c>
      <c r="AI42" s="352">
        <v>0</v>
      </c>
      <c r="AJ42" s="60">
        <f t="shared" si="17"/>
        <v>1</v>
      </c>
      <c r="AL42" s="61" t="s">
        <v>529</v>
      </c>
      <c r="AM42" s="61">
        <v>100</v>
      </c>
      <c r="AN42" s="454">
        <v>15</v>
      </c>
      <c r="AO42" s="459"/>
      <c r="AP42" s="459"/>
    </row>
    <row r="43" spans="1:44" ht="14.25" customHeight="1" thickBot="1" x14ac:dyDescent="0.25">
      <c r="A43" s="464"/>
      <c r="B43" s="97" t="s">
        <v>358</v>
      </c>
      <c r="C43" s="96" t="s">
        <v>62</v>
      </c>
      <c r="D43" s="95">
        <v>174.54</v>
      </c>
      <c r="E43" s="95">
        <v>250</v>
      </c>
      <c r="F43" s="95">
        <v>80.336669999999998</v>
      </c>
      <c r="G43" s="270">
        <v>2</v>
      </c>
      <c r="H43" s="179">
        <f t="shared" si="3"/>
        <v>160.67334</v>
      </c>
      <c r="I43" s="94">
        <f t="shared" si="12"/>
        <v>169.66333</v>
      </c>
      <c r="J43" s="84">
        <f t="shared" si="15"/>
        <v>64.269335999999996</v>
      </c>
      <c r="K43" s="93" t="s">
        <v>357</v>
      </c>
      <c r="L43" s="93">
        <v>811.21</v>
      </c>
      <c r="M43" s="93">
        <v>150</v>
      </c>
      <c r="N43" s="107">
        <f t="shared" si="13"/>
        <v>80.336669999999998</v>
      </c>
      <c r="O43" s="275">
        <v>2</v>
      </c>
      <c r="P43" s="240">
        <f t="shared" si="5"/>
        <v>160.67334</v>
      </c>
      <c r="Q43" s="81">
        <f t="shared" si="16"/>
        <v>-10.673339999999996</v>
      </c>
      <c r="R43" s="197" t="str">
        <f t="shared" si="14"/>
        <v>Yes</v>
      </c>
      <c r="S43" s="369"/>
      <c r="T43" s="369"/>
      <c r="U43" s="242"/>
      <c r="AD43" s="60" t="s">
        <v>88</v>
      </c>
      <c r="AE43" s="350">
        <v>1</v>
      </c>
      <c r="AF43" s="350">
        <v>0</v>
      </c>
      <c r="AG43" s="350">
        <v>0</v>
      </c>
      <c r="AH43" s="350">
        <v>0</v>
      </c>
      <c r="AI43" s="352">
        <v>0</v>
      </c>
      <c r="AJ43" s="60">
        <f t="shared" si="17"/>
        <v>1</v>
      </c>
      <c r="AK43" s="369"/>
      <c r="AL43" s="356" t="s">
        <v>530</v>
      </c>
      <c r="AM43" s="356">
        <v>150</v>
      </c>
      <c r="AN43" s="455">
        <v>16.3689</v>
      </c>
      <c r="AO43" s="459"/>
      <c r="AP43" s="459"/>
      <c r="AR43" s="459"/>
    </row>
    <row r="44" spans="1:44" ht="13.5" thickBot="1" x14ac:dyDescent="0.25">
      <c r="A44" s="365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95">
        <v>2</v>
      </c>
      <c r="H44" s="179">
        <f t="shared" si="3"/>
        <v>134.48365999999999</v>
      </c>
      <c r="I44" s="84">
        <f t="shared" si="12"/>
        <v>132.75817000000001</v>
      </c>
      <c r="J44" s="84">
        <f t="shared" si="15"/>
        <v>67.241829999999993</v>
      </c>
      <c r="K44" s="83" t="s">
        <v>354</v>
      </c>
      <c r="L44" s="83">
        <v>607.995</v>
      </c>
      <c r="M44" s="83">
        <v>150</v>
      </c>
      <c r="N44" s="82">
        <f t="shared" si="13"/>
        <v>67.241829999999993</v>
      </c>
      <c r="O44" s="91">
        <v>2</v>
      </c>
      <c r="P44" s="240">
        <f t="shared" si="5"/>
        <v>134.48365999999999</v>
      </c>
      <c r="Q44" s="81">
        <f t="shared" si="16"/>
        <v>15.516340000000014</v>
      </c>
      <c r="R44" s="197" t="str">
        <f t="shared" si="14"/>
        <v>No</v>
      </c>
      <c r="S44" s="369"/>
      <c r="T44" s="369"/>
      <c r="U44" s="242"/>
      <c r="AD44" s="60" t="s">
        <v>89</v>
      </c>
      <c r="AE44" s="350">
        <v>0</v>
      </c>
      <c r="AF44" s="350">
        <v>0</v>
      </c>
      <c r="AG44" s="350">
        <v>0</v>
      </c>
      <c r="AH44" s="350">
        <v>0</v>
      </c>
      <c r="AI44" s="352">
        <v>0</v>
      </c>
      <c r="AJ44" s="60">
        <f t="shared" si="17"/>
        <v>0</v>
      </c>
      <c r="AK44" s="367"/>
      <c r="AL44" s="356" t="s">
        <v>531</v>
      </c>
      <c r="AM44" s="356">
        <v>200</v>
      </c>
      <c r="AN44" s="455">
        <v>16.746700000000001</v>
      </c>
      <c r="AO44" s="459"/>
      <c r="AP44" s="459"/>
      <c r="AR44" s="459"/>
    </row>
    <row r="45" spans="1:44" ht="13.5" thickBot="1" x14ac:dyDescent="0.25">
      <c r="A45" s="462" t="s">
        <v>349</v>
      </c>
      <c r="B45" s="87" t="s">
        <v>353</v>
      </c>
      <c r="C45" s="86" t="s">
        <v>342</v>
      </c>
      <c r="D45" s="85">
        <v>592.98500000000001</v>
      </c>
      <c r="E45" s="85">
        <v>450</v>
      </c>
      <c r="F45" s="85">
        <v>175.91919999999999</v>
      </c>
      <c r="G45" s="269">
        <v>2</v>
      </c>
      <c r="H45" s="179">
        <f t="shared" si="3"/>
        <v>351.83839999999998</v>
      </c>
      <c r="I45" s="84">
        <f t="shared" si="12"/>
        <v>274.08080000000001</v>
      </c>
      <c r="J45" s="84">
        <f t="shared" si="15"/>
        <v>78.18631111111111</v>
      </c>
      <c r="K45" s="83" t="s">
        <v>352</v>
      </c>
      <c r="L45" s="83">
        <v>1051.23</v>
      </c>
      <c r="M45" s="83">
        <v>450</v>
      </c>
      <c r="N45" s="82">
        <f t="shared" si="13"/>
        <v>175.91919999999999</v>
      </c>
      <c r="O45" s="273">
        <v>2</v>
      </c>
      <c r="P45" s="240">
        <f t="shared" si="5"/>
        <v>351.83839999999998</v>
      </c>
      <c r="Q45" s="81">
        <f t="shared" si="16"/>
        <v>98.161600000000021</v>
      </c>
      <c r="R45" s="197" t="str">
        <f t="shared" si="14"/>
        <v>No</v>
      </c>
      <c r="S45" s="369"/>
      <c r="T45" s="369"/>
      <c r="U45" s="242"/>
      <c r="AD45" s="60" t="s">
        <v>90</v>
      </c>
      <c r="AE45" s="350">
        <v>0</v>
      </c>
      <c r="AF45" s="350">
        <v>0</v>
      </c>
      <c r="AG45" s="350">
        <v>0</v>
      </c>
      <c r="AH45" s="350">
        <v>0</v>
      </c>
      <c r="AI45" s="352">
        <v>0</v>
      </c>
      <c r="AJ45" s="60">
        <f t="shared" si="17"/>
        <v>0</v>
      </c>
      <c r="AK45" s="367"/>
      <c r="AL45" s="356" t="s">
        <v>532</v>
      </c>
      <c r="AM45" s="356">
        <v>250</v>
      </c>
      <c r="AN45" s="455">
        <v>16.886600000000001</v>
      </c>
      <c r="AO45" s="459"/>
      <c r="AP45" s="459"/>
      <c r="AR45" s="459"/>
    </row>
    <row r="46" spans="1:44" ht="14.25" customHeight="1" thickBot="1" x14ac:dyDescent="0.25">
      <c r="A46" s="464"/>
      <c r="B46" s="97" t="s">
        <v>350</v>
      </c>
      <c r="C46" s="96" t="s">
        <v>349</v>
      </c>
      <c r="D46" s="110">
        <v>374.84</v>
      </c>
      <c r="E46" s="110">
        <v>400</v>
      </c>
      <c r="F46" s="110">
        <v>115.1143</v>
      </c>
      <c r="G46" s="271">
        <v>2</v>
      </c>
      <c r="H46" s="179">
        <f t="shared" si="3"/>
        <v>230.2286</v>
      </c>
      <c r="I46" s="109">
        <f t="shared" si="12"/>
        <v>284.88569999999999</v>
      </c>
      <c r="J46" s="84">
        <f t="shared" si="15"/>
        <v>57.55715</v>
      </c>
      <c r="K46" s="108" t="s">
        <v>348</v>
      </c>
      <c r="L46" s="108">
        <v>838.745</v>
      </c>
      <c r="M46" s="108">
        <v>300</v>
      </c>
      <c r="N46" s="107">
        <f t="shared" si="13"/>
        <v>115.1143</v>
      </c>
      <c r="O46" s="274">
        <v>2</v>
      </c>
      <c r="P46" s="240">
        <f t="shared" si="5"/>
        <v>230.2286</v>
      </c>
      <c r="Q46" s="81">
        <f t="shared" si="16"/>
        <v>69.7714</v>
      </c>
      <c r="R46" s="197" t="str">
        <f t="shared" si="14"/>
        <v>No</v>
      </c>
      <c r="S46" s="369"/>
      <c r="T46" s="369"/>
      <c r="U46" s="242"/>
      <c r="AD46" s="60" t="s">
        <v>91</v>
      </c>
      <c r="AE46" s="350">
        <v>1</v>
      </c>
      <c r="AF46" s="350">
        <v>0</v>
      </c>
      <c r="AG46" s="352">
        <v>0</v>
      </c>
      <c r="AH46" s="352">
        <v>0</v>
      </c>
      <c r="AI46" s="352">
        <v>0</v>
      </c>
      <c r="AJ46" s="60">
        <f t="shared" si="17"/>
        <v>1</v>
      </c>
      <c r="AK46" s="369"/>
      <c r="AL46" s="357" t="s">
        <v>582</v>
      </c>
      <c r="AM46" s="357">
        <v>300</v>
      </c>
      <c r="AN46" s="456">
        <v>17</v>
      </c>
      <c r="AO46" s="459"/>
      <c r="AP46" s="459"/>
      <c r="AR46" s="459"/>
    </row>
    <row r="47" spans="1:44" ht="14.25" customHeight="1" thickBot="1" x14ac:dyDescent="0.25">
      <c r="A47" s="464"/>
      <c r="B47" s="97" t="s">
        <v>347</v>
      </c>
      <c r="C47" s="96" t="s">
        <v>335</v>
      </c>
      <c r="D47" s="110">
        <v>675.17499999999995</v>
      </c>
      <c r="E47" s="110">
        <v>300</v>
      </c>
      <c r="F47" s="110">
        <v>87.5685</v>
      </c>
      <c r="G47" s="271">
        <v>2</v>
      </c>
      <c r="H47" s="179">
        <f t="shared" si="3"/>
        <v>175.137</v>
      </c>
      <c r="I47" s="109">
        <f t="shared" si="12"/>
        <v>212.4315</v>
      </c>
      <c r="J47" s="84">
        <f t="shared" si="15"/>
        <v>58.379000000000005</v>
      </c>
      <c r="K47" s="108" t="s">
        <v>346</v>
      </c>
      <c r="L47" s="108">
        <v>792.93499999999995</v>
      </c>
      <c r="M47" s="108">
        <v>300</v>
      </c>
      <c r="N47" s="107">
        <f t="shared" si="13"/>
        <v>87.5685</v>
      </c>
      <c r="O47" s="274">
        <v>2</v>
      </c>
      <c r="P47" s="240">
        <f t="shared" si="5"/>
        <v>175.137</v>
      </c>
      <c r="Q47" s="81">
        <f t="shared" si="16"/>
        <v>124.863</v>
      </c>
      <c r="R47" s="197" t="str">
        <f t="shared" si="14"/>
        <v>No</v>
      </c>
      <c r="S47" s="369"/>
      <c r="T47" s="369"/>
      <c r="U47" s="242"/>
      <c r="AD47" s="60" t="s">
        <v>92</v>
      </c>
      <c r="AE47" s="352">
        <v>0</v>
      </c>
      <c r="AF47" s="352">
        <v>0</v>
      </c>
      <c r="AG47" s="352">
        <v>0</v>
      </c>
      <c r="AH47" s="352">
        <v>0</v>
      </c>
      <c r="AI47" s="352">
        <v>0</v>
      </c>
      <c r="AJ47" s="60">
        <f t="shared" si="17"/>
        <v>0</v>
      </c>
      <c r="AK47" s="369"/>
      <c r="AL47" s="459"/>
      <c r="AM47" s="459"/>
      <c r="AO47" s="459"/>
      <c r="AP47" s="459"/>
      <c r="AR47" s="459"/>
    </row>
    <row r="48" spans="1:44" ht="14.25" customHeight="1" thickBot="1" x14ac:dyDescent="0.25">
      <c r="A48" s="464"/>
      <c r="B48" s="97" t="s">
        <v>339</v>
      </c>
      <c r="C48" s="96" t="s">
        <v>338</v>
      </c>
      <c r="D48" s="95">
        <v>768.38499999999999</v>
      </c>
      <c r="E48" s="95">
        <v>150</v>
      </c>
      <c r="F48" s="95">
        <v>46.164000000000001</v>
      </c>
      <c r="G48" s="271">
        <v>2</v>
      </c>
      <c r="H48" s="179">
        <f t="shared" si="3"/>
        <v>92.328000000000003</v>
      </c>
      <c r="I48" s="94">
        <f t="shared" si="12"/>
        <v>103.836</v>
      </c>
      <c r="J48" s="84">
        <f t="shared" si="15"/>
        <v>61.552000000000007</v>
      </c>
      <c r="K48" s="93" t="s">
        <v>345</v>
      </c>
      <c r="L48" s="93">
        <v>934.80499999999995</v>
      </c>
      <c r="M48" s="93">
        <v>150</v>
      </c>
      <c r="N48" s="92">
        <f t="shared" si="13"/>
        <v>46.164000000000001</v>
      </c>
      <c r="O48" s="274">
        <v>2</v>
      </c>
      <c r="P48" s="240">
        <f t="shared" si="5"/>
        <v>92.328000000000003</v>
      </c>
      <c r="Q48" s="81">
        <f t="shared" si="16"/>
        <v>57.671999999999997</v>
      </c>
      <c r="R48" s="197" t="str">
        <f t="shared" si="14"/>
        <v>No</v>
      </c>
      <c r="S48" s="369"/>
      <c r="T48" s="369"/>
      <c r="U48" s="242"/>
      <c r="AD48" s="60" t="s">
        <v>93</v>
      </c>
      <c r="AE48" s="352">
        <v>1</v>
      </c>
      <c r="AF48" s="350">
        <v>0</v>
      </c>
      <c r="AG48" s="352">
        <v>0</v>
      </c>
      <c r="AH48" s="352">
        <v>0</v>
      </c>
      <c r="AI48" s="352">
        <v>0</v>
      </c>
      <c r="AJ48" s="60">
        <f t="shared" si="17"/>
        <v>1</v>
      </c>
      <c r="AK48" s="369"/>
      <c r="AL48" s="459"/>
      <c r="AM48" s="459"/>
      <c r="AO48" s="459"/>
      <c r="AP48" s="459"/>
      <c r="AQ48" s="341"/>
      <c r="AR48" s="459"/>
    </row>
    <row r="49" spans="1:44" ht="13.5" thickBot="1" x14ac:dyDescent="0.25">
      <c r="A49" s="462" t="s">
        <v>344</v>
      </c>
      <c r="B49" s="87" t="s">
        <v>343</v>
      </c>
      <c r="C49" s="86" t="s">
        <v>342</v>
      </c>
      <c r="D49" s="85">
        <v>592.98500000000001</v>
      </c>
      <c r="E49" s="85">
        <f>E45</f>
        <v>450</v>
      </c>
      <c r="F49" s="85">
        <v>175.91919999999999</v>
      </c>
      <c r="G49" s="269">
        <v>2</v>
      </c>
      <c r="H49" s="179">
        <f t="shared" si="3"/>
        <v>351.83839999999998</v>
      </c>
      <c r="I49" s="84">
        <f t="shared" si="12"/>
        <v>274.08080000000001</v>
      </c>
      <c r="J49" s="84">
        <f t="shared" si="15"/>
        <v>78.18631111111111</v>
      </c>
      <c r="K49" s="83" t="s">
        <v>341</v>
      </c>
      <c r="L49" s="83">
        <v>992.44500000000005</v>
      </c>
      <c r="M49" s="83">
        <v>450</v>
      </c>
      <c r="N49" s="82">
        <f t="shared" si="13"/>
        <v>175.91919999999999</v>
      </c>
      <c r="O49" s="273">
        <v>2</v>
      </c>
      <c r="P49" s="240">
        <f t="shared" si="5"/>
        <v>351.83839999999998</v>
      </c>
      <c r="Q49" s="81">
        <f t="shared" si="16"/>
        <v>98.161600000000021</v>
      </c>
      <c r="R49" s="197" t="str">
        <f t="shared" si="14"/>
        <v>No</v>
      </c>
      <c r="S49" s="369"/>
      <c r="T49" s="369"/>
      <c r="U49" s="242"/>
      <c r="AD49" s="60" t="s">
        <v>94</v>
      </c>
      <c r="AE49" s="352">
        <v>0</v>
      </c>
      <c r="AF49" s="350">
        <v>1</v>
      </c>
      <c r="AG49" s="352">
        <v>0</v>
      </c>
      <c r="AH49" s="352">
        <v>0</v>
      </c>
      <c r="AI49" s="352">
        <v>0</v>
      </c>
      <c r="AJ49" s="60">
        <f t="shared" si="17"/>
        <v>1</v>
      </c>
      <c r="AK49" s="18"/>
      <c r="AL49" s="18"/>
      <c r="AM49" s="459"/>
      <c r="AO49" s="459"/>
      <c r="AP49" s="459"/>
      <c r="AR49" s="459"/>
    </row>
    <row r="50" spans="1:44" ht="14.25" customHeight="1" thickBot="1" x14ac:dyDescent="0.25">
      <c r="A50" s="464"/>
      <c r="B50" s="97" t="s">
        <v>339</v>
      </c>
      <c r="C50" s="96" t="s">
        <v>338</v>
      </c>
      <c r="D50" s="95">
        <v>768.38499999999999</v>
      </c>
      <c r="E50" s="95">
        <f>E48</f>
        <v>150</v>
      </c>
      <c r="F50" s="95">
        <v>46.164000000000001</v>
      </c>
      <c r="G50" s="271">
        <v>2</v>
      </c>
      <c r="H50" s="179">
        <f t="shared" si="3"/>
        <v>92.328000000000003</v>
      </c>
      <c r="I50" s="94">
        <f t="shared" si="12"/>
        <v>103.836</v>
      </c>
      <c r="J50" s="84">
        <f t="shared" si="15"/>
        <v>61.552000000000007</v>
      </c>
      <c r="K50" s="93" t="s">
        <v>337</v>
      </c>
      <c r="L50" s="93">
        <v>817.04499999999996</v>
      </c>
      <c r="M50" s="93">
        <v>150</v>
      </c>
      <c r="N50" s="92">
        <f t="shared" si="13"/>
        <v>46.164000000000001</v>
      </c>
      <c r="O50" s="274">
        <v>2</v>
      </c>
      <c r="P50" s="240">
        <f t="shared" si="5"/>
        <v>92.328000000000003</v>
      </c>
      <c r="Q50" s="81">
        <f t="shared" si="16"/>
        <v>57.671999999999997</v>
      </c>
      <c r="R50" s="197" t="str">
        <f t="shared" si="14"/>
        <v>No</v>
      </c>
      <c r="S50" s="369"/>
      <c r="T50" s="369"/>
      <c r="U50" s="242"/>
      <c r="AD50" s="358" t="s">
        <v>508</v>
      </c>
      <c r="AE50" s="359">
        <v>0</v>
      </c>
      <c r="AF50" s="359">
        <v>0</v>
      </c>
      <c r="AG50" s="359">
        <v>0</v>
      </c>
      <c r="AH50" s="359">
        <v>0</v>
      </c>
      <c r="AI50" s="359">
        <v>0</v>
      </c>
      <c r="AJ50" s="358">
        <f t="shared" si="17"/>
        <v>0</v>
      </c>
      <c r="AK50" s="369"/>
      <c r="AL50" s="491" t="s">
        <v>617</v>
      </c>
      <c r="AM50" s="492"/>
      <c r="AN50" s="492"/>
      <c r="AO50" s="492"/>
      <c r="AP50" s="492"/>
      <c r="AQ50" s="493"/>
      <c r="AR50" s="161"/>
    </row>
    <row r="51" spans="1:44" ht="13.5" thickBot="1" x14ac:dyDescent="0.25">
      <c r="A51" s="462" t="s">
        <v>340</v>
      </c>
      <c r="B51" s="87" t="s">
        <v>339</v>
      </c>
      <c r="C51" s="86" t="s">
        <v>338</v>
      </c>
      <c r="D51" s="85">
        <v>768.38499999999999</v>
      </c>
      <c r="E51" s="85">
        <f>E50</f>
        <v>150</v>
      </c>
      <c r="F51" s="85">
        <v>46.164000000000001</v>
      </c>
      <c r="G51" s="269">
        <v>2</v>
      </c>
      <c r="H51" s="179">
        <f t="shared" si="3"/>
        <v>92.328000000000003</v>
      </c>
      <c r="I51" s="84">
        <f t="shared" si="12"/>
        <v>103.836</v>
      </c>
      <c r="J51" s="84">
        <f t="shared" si="15"/>
        <v>61.552000000000007</v>
      </c>
      <c r="K51" s="83" t="s">
        <v>337</v>
      </c>
      <c r="L51" s="83">
        <v>817.04499999999996</v>
      </c>
      <c r="M51" s="83">
        <v>150</v>
      </c>
      <c r="N51" s="82">
        <f t="shared" si="13"/>
        <v>46.164000000000001</v>
      </c>
      <c r="O51" s="273">
        <v>2</v>
      </c>
      <c r="P51" s="240">
        <f t="shared" si="5"/>
        <v>92.328000000000003</v>
      </c>
      <c r="Q51" s="81">
        <f t="shared" si="16"/>
        <v>57.671999999999997</v>
      </c>
      <c r="R51" s="197" t="str">
        <f t="shared" si="14"/>
        <v>No</v>
      </c>
      <c r="S51" s="369"/>
      <c r="T51" s="369"/>
      <c r="U51" s="242"/>
      <c r="AD51" s="328" t="s">
        <v>537</v>
      </c>
      <c r="AE51" s="360">
        <f t="shared" ref="AE51:AJ51" si="18">SUM(AE39:AE50)</f>
        <v>3</v>
      </c>
      <c r="AF51" s="360">
        <f t="shared" si="18"/>
        <v>2</v>
      </c>
      <c r="AG51" s="360">
        <f t="shared" si="18"/>
        <v>0</v>
      </c>
      <c r="AH51" s="360">
        <f t="shared" si="18"/>
        <v>0</v>
      </c>
      <c r="AI51" s="360">
        <f t="shared" si="18"/>
        <v>0</v>
      </c>
      <c r="AJ51" s="361">
        <f t="shared" si="18"/>
        <v>5</v>
      </c>
      <c r="AK51" s="369"/>
      <c r="AL51" s="346" t="s">
        <v>528</v>
      </c>
      <c r="AM51" s="348" t="s">
        <v>529</v>
      </c>
      <c r="AN51" s="348" t="s">
        <v>530</v>
      </c>
      <c r="AO51" s="348" t="s">
        <v>531</v>
      </c>
      <c r="AP51" s="348" t="s">
        <v>532</v>
      </c>
      <c r="AQ51" s="349" t="s">
        <v>582</v>
      </c>
      <c r="AR51" s="328" t="s">
        <v>417</v>
      </c>
    </row>
    <row r="52" spans="1:44" ht="14.25" customHeight="1" thickBot="1" x14ac:dyDescent="0.25">
      <c r="A52" s="464"/>
      <c r="B52" s="97" t="s">
        <v>30</v>
      </c>
      <c r="C52" s="96" t="s">
        <v>326</v>
      </c>
      <c r="D52" s="95">
        <v>317.27</v>
      </c>
      <c r="E52" s="95">
        <v>400</v>
      </c>
      <c r="F52" s="95">
        <v>136.87530000000001</v>
      </c>
      <c r="G52" s="271">
        <v>2</v>
      </c>
      <c r="H52" s="179">
        <f t="shared" si="3"/>
        <v>273.75060000000002</v>
      </c>
      <c r="I52" s="94">
        <f t="shared" si="12"/>
        <v>263.12469999999996</v>
      </c>
      <c r="J52" s="84">
        <f t="shared" si="15"/>
        <v>68.437650000000005</v>
      </c>
      <c r="K52" s="93" t="s">
        <v>325</v>
      </c>
      <c r="L52" s="93">
        <v>518.48</v>
      </c>
      <c r="M52" s="93">
        <v>400</v>
      </c>
      <c r="N52" s="92">
        <f t="shared" si="13"/>
        <v>136.87530000000001</v>
      </c>
      <c r="O52" s="274">
        <v>2</v>
      </c>
      <c r="P52" s="240">
        <f t="shared" si="5"/>
        <v>273.75060000000002</v>
      </c>
      <c r="Q52" s="81">
        <f t="shared" si="16"/>
        <v>126.24939999999998</v>
      </c>
      <c r="R52" s="197" t="str">
        <f t="shared" si="14"/>
        <v>No</v>
      </c>
      <c r="S52" s="369"/>
      <c r="T52" s="369"/>
      <c r="U52" s="242"/>
      <c r="AD52" s="328" t="s">
        <v>536</v>
      </c>
      <c r="AE52" s="362">
        <f>PRODUCT(AE51*AN42)</f>
        <v>45</v>
      </c>
      <c r="AF52" s="452">
        <f>PRODUCT(AF51*AN43)</f>
        <v>32.7378</v>
      </c>
      <c r="AG52" s="452">
        <f>PRODUCT(AG51*AN44)</f>
        <v>0</v>
      </c>
      <c r="AH52" s="452">
        <f>PRODUCT(AH51*AN45)</f>
        <v>0</v>
      </c>
      <c r="AI52" s="452">
        <f>PRODUCT(AI51*AN46)</f>
        <v>0</v>
      </c>
      <c r="AJ52" s="453">
        <f>SUM(AE52:AI52)</f>
        <v>77.737799999999993</v>
      </c>
      <c r="AK52" s="369"/>
      <c r="AL52" s="60" t="s">
        <v>84</v>
      </c>
      <c r="AM52" s="352">
        <f>AE39+AE59</f>
        <v>0</v>
      </c>
      <c r="AN52" s="352">
        <f t="shared" ref="AN52:AQ63" si="19">AF39+AF59</f>
        <v>10</v>
      </c>
      <c r="AO52" s="352">
        <f t="shared" si="19"/>
        <v>3</v>
      </c>
      <c r="AP52" s="352">
        <f t="shared" si="19"/>
        <v>2</v>
      </c>
      <c r="AQ52" s="352">
        <f t="shared" si="19"/>
        <v>0</v>
      </c>
      <c r="AR52" s="353">
        <f>SUM(AM52:AQ52)</f>
        <v>15</v>
      </c>
    </row>
    <row r="53" spans="1:44" ht="13.5" thickBot="1" x14ac:dyDescent="0.25">
      <c r="A53" s="462" t="s">
        <v>336</v>
      </c>
      <c r="B53" s="87" t="s">
        <v>28</v>
      </c>
      <c r="C53" s="86" t="s">
        <v>335</v>
      </c>
      <c r="D53" s="85">
        <v>675.17499999999995</v>
      </c>
      <c r="E53" s="85">
        <f>E47</f>
        <v>300</v>
      </c>
      <c r="F53" s="85">
        <v>87.5685</v>
      </c>
      <c r="G53" s="269">
        <v>2</v>
      </c>
      <c r="H53" s="179">
        <f t="shared" si="3"/>
        <v>175.137</v>
      </c>
      <c r="I53" s="84">
        <f t="shared" si="12"/>
        <v>212.4315</v>
      </c>
      <c r="J53" s="84">
        <f t="shared" si="15"/>
        <v>58.379000000000005</v>
      </c>
      <c r="K53" s="83" t="s">
        <v>334</v>
      </c>
      <c r="L53" s="83">
        <v>792.93499999999995</v>
      </c>
      <c r="M53" s="83">
        <v>300</v>
      </c>
      <c r="N53" s="82">
        <f t="shared" si="13"/>
        <v>87.5685</v>
      </c>
      <c r="O53" s="273">
        <v>2</v>
      </c>
      <c r="P53" s="240">
        <f t="shared" si="5"/>
        <v>175.137</v>
      </c>
      <c r="Q53" s="81">
        <f t="shared" si="16"/>
        <v>124.863</v>
      </c>
      <c r="R53" s="197" t="str">
        <f t="shared" si="14"/>
        <v>No</v>
      </c>
      <c r="S53" s="369"/>
      <c r="T53" s="369"/>
      <c r="U53" s="242"/>
      <c r="AD53" s="328" t="s">
        <v>535</v>
      </c>
      <c r="AE53" s="362">
        <f>AE51*AM42</f>
        <v>300</v>
      </c>
      <c r="AF53" s="362">
        <f>AF51*AM43</f>
        <v>300</v>
      </c>
      <c r="AG53" s="362">
        <f>AG51*AM44</f>
        <v>0</v>
      </c>
      <c r="AH53" s="362">
        <f>AH51*AM45</f>
        <v>0</v>
      </c>
      <c r="AI53" s="362">
        <f>AI51*AM46</f>
        <v>0</v>
      </c>
      <c r="AJ53" s="328">
        <f>SUM(AE53:AI53)</f>
        <v>600</v>
      </c>
      <c r="AK53" s="369"/>
      <c r="AL53" s="60" t="s">
        <v>85</v>
      </c>
      <c r="AM53" s="352">
        <f t="shared" ref="AM53:AM63" si="20">AE40+AE60</f>
        <v>0</v>
      </c>
      <c r="AN53" s="352">
        <f t="shared" si="19"/>
        <v>14</v>
      </c>
      <c r="AO53" s="352">
        <f t="shared" si="19"/>
        <v>8</v>
      </c>
      <c r="AP53" s="352">
        <f t="shared" si="19"/>
        <v>0</v>
      </c>
      <c r="AQ53" s="352">
        <f t="shared" si="19"/>
        <v>5</v>
      </c>
      <c r="AR53" s="60">
        <f t="shared" ref="AR53:AR63" si="21">SUM(AM53:AQ53)</f>
        <v>27</v>
      </c>
    </row>
    <row r="54" spans="1:44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95">
        <v>200</v>
      </c>
      <c r="F54" s="95">
        <v>33.29833</v>
      </c>
      <c r="G54" s="271">
        <v>2</v>
      </c>
      <c r="H54" s="179">
        <f t="shared" si="3"/>
        <v>66.59666</v>
      </c>
      <c r="I54" s="94">
        <f t="shared" si="12"/>
        <v>166.70167000000001</v>
      </c>
      <c r="J54" s="84">
        <f t="shared" si="15"/>
        <v>33.29833</v>
      </c>
      <c r="K54" s="93" t="s">
        <v>331</v>
      </c>
      <c r="L54" s="93">
        <v>524.75</v>
      </c>
      <c r="M54" s="93">
        <v>200</v>
      </c>
      <c r="N54" s="92">
        <f t="shared" si="13"/>
        <v>33.29833</v>
      </c>
      <c r="O54" s="274">
        <v>2</v>
      </c>
      <c r="P54" s="240">
        <f t="shared" si="5"/>
        <v>66.59666</v>
      </c>
      <c r="Q54" s="81">
        <f t="shared" si="16"/>
        <v>133.40334000000001</v>
      </c>
      <c r="R54" s="197" t="str">
        <f t="shared" si="14"/>
        <v>No</v>
      </c>
      <c r="S54" s="369"/>
      <c r="T54" s="369"/>
      <c r="U54" s="242"/>
      <c r="AD54" s="369"/>
      <c r="AE54" s="369"/>
      <c r="AF54" s="369"/>
      <c r="AG54" s="369"/>
      <c r="AH54" s="369"/>
      <c r="AI54" s="369"/>
      <c r="AJ54" s="369"/>
      <c r="AK54" s="369"/>
      <c r="AL54" s="60" t="s">
        <v>86</v>
      </c>
      <c r="AM54" s="352">
        <f t="shared" si="20"/>
        <v>0</v>
      </c>
      <c r="AN54" s="352">
        <f t="shared" si="19"/>
        <v>0</v>
      </c>
      <c r="AO54" s="352">
        <f t="shared" si="19"/>
        <v>5</v>
      </c>
      <c r="AP54" s="352">
        <f t="shared" si="19"/>
        <v>0</v>
      </c>
      <c r="AQ54" s="352">
        <f t="shared" si="19"/>
        <v>3</v>
      </c>
      <c r="AR54" s="60">
        <f t="shared" si="21"/>
        <v>8</v>
      </c>
    </row>
    <row r="55" spans="1:44" ht="13.5" thickBot="1" x14ac:dyDescent="0.25">
      <c r="A55" s="462" t="s">
        <v>330</v>
      </c>
      <c r="B55" s="87" t="s">
        <v>329</v>
      </c>
      <c r="C55" s="86" t="s">
        <v>61</v>
      </c>
      <c r="D55" s="85">
        <v>381.34</v>
      </c>
      <c r="E55" s="85">
        <f>E40</f>
        <v>600</v>
      </c>
      <c r="F55" s="85">
        <v>233.80699999999999</v>
      </c>
      <c r="G55" s="269">
        <v>2</v>
      </c>
      <c r="H55" s="179">
        <f t="shared" si="3"/>
        <v>467.61399999999998</v>
      </c>
      <c r="I55" s="84">
        <f t="shared" si="12"/>
        <v>366.19299999999998</v>
      </c>
      <c r="J55" s="84">
        <f t="shared" si="15"/>
        <v>77.935666666666663</v>
      </c>
      <c r="K55" s="83" t="s">
        <v>328</v>
      </c>
      <c r="L55" s="83">
        <v>673.16499999999996</v>
      </c>
      <c r="M55" s="83">
        <v>450</v>
      </c>
      <c r="N55" s="82">
        <f t="shared" si="13"/>
        <v>233.80699999999999</v>
      </c>
      <c r="O55" s="273">
        <v>2</v>
      </c>
      <c r="P55" s="240">
        <f t="shared" si="5"/>
        <v>467.61399999999998</v>
      </c>
      <c r="Q55" s="81">
        <f t="shared" si="16"/>
        <v>-17.613999999999976</v>
      </c>
      <c r="R55" s="197" t="str">
        <f t="shared" si="14"/>
        <v>Yes</v>
      </c>
      <c r="S55" s="369"/>
      <c r="T55" s="369"/>
      <c r="U55" s="242"/>
      <c r="AD55" s="369"/>
      <c r="AE55" s="369"/>
      <c r="AF55" s="369"/>
      <c r="AG55" s="369"/>
      <c r="AH55" s="369"/>
      <c r="AI55" s="369"/>
      <c r="AJ55" s="369"/>
      <c r="AK55" s="369"/>
      <c r="AL55" s="60" t="s">
        <v>87</v>
      </c>
      <c r="AM55" s="352">
        <f t="shared" si="20"/>
        <v>0</v>
      </c>
      <c r="AN55" s="352">
        <f t="shared" si="19"/>
        <v>26</v>
      </c>
      <c r="AO55" s="352">
        <f t="shared" si="19"/>
        <v>34</v>
      </c>
      <c r="AP55" s="352">
        <f t="shared" si="19"/>
        <v>20</v>
      </c>
      <c r="AQ55" s="352">
        <f t="shared" si="19"/>
        <v>0</v>
      </c>
      <c r="AR55" s="60">
        <f t="shared" si="21"/>
        <v>80</v>
      </c>
    </row>
    <row r="56" spans="1:44" ht="14.25" customHeight="1" thickBot="1" x14ac:dyDescent="0.25">
      <c r="A56" s="463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270">
        <v>2</v>
      </c>
      <c r="H56" s="179">
        <f t="shared" si="3"/>
        <v>273.75060000000002</v>
      </c>
      <c r="I56" s="73">
        <f t="shared" si="12"/>
        <v>263.12469999999996</v>
      </c>
      <c r="J56" s="84">
        <f t="shared" si="15"/>
        <v>68.437650000000005</v>
      </c>
      <c r="K56" s="72" t="s">
        <v>325</v>
      </c>
      <c r="L56" s="72">
        <v>518.48</v>
      </c>
      <c r="M56" s="72">
        <v>400</v>
      </c>
      <c r="N56" s="71">
        <f t="shared" si="13"/>
        <v>136.87530000000001</v>
      </c>
      <c r="O56" s="275">
        <v>2</v>
      </c>
      <c r="P56" s="240">
        <f t="shared" si="5"/>
        <v>273.75060000000002</v>
      </c>
      <c r="Q56" s="81">
        <f t="shared" si="16"/>
        <v>126.24939999999998</v>
      </c>
      <c r="R56" s="243" t="str">
        <f t="shared" si="14"/>
        <v>No</v>
      </c>
      <c r="S56" s="369"/>
      <c r="T56" s="369"/>
      <c r="U56" s="242"/>
      <c r="AD56" s="369"/>
      <c r="AE56" s="369"/>
      <c r="AF56" s="369"/>
      <c r="AG56" s="369"/>
      <c r="AH56" s="369"/>
      <c r="AI56" s="369"/>
      <c r="AJ56" s="369"/>
      <c r="AK56" s="369"/>
      <c r="AL56" s="60" t="s">
        <v>88</v>
      </c>
      <c r="AM56" s="352">
        <f t="shared" si="20"/>
        <v>1</v>
      </c>
      <c r="AN56" s="352">
        <f t="shared" si="19"/>
        <v>0</v>
      </c>
      <c r="AO56" s="352">
        <f t="shared" si="19"/>
        <v>16</v>
      </c>
      <c r="AP56" s="352">
        <f t="shared" si="19"/>
        <v>1</v>
      </c>
      <c r="AQ56" s="352">
        <f t="shared" si="19"/>
        <v>0</v>
      </c>
      <c r="AR56" s="60">
        <f t="shared" si="21"/>
        <v>18</v>
      </c>
    </row>
    <row r="57" spans="1:44" x14ac:dyDescent="0.2">
      <c r="A57" s="304"/>
      <c r="B57" s="64"/>
      <c r="C57" s="304"/>
      <c r="D57" s="304" t="s">
        <v>369</v>
      </c>
      <c r="E57" s="304">
        <f>SUM(E3:E56)</f>
        <v>36600</v>
      </c>
      <c r="F57" s="64"/>
      <c r="G57" s="64"/>
      <c r="H57" s="6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69"/>
      <c r="T57" s="369"/>
      <c r="AD57" s="491" t="s">
        <v>616</v>
      </c>
      <c r="AE57" s="492"/>
      <c r="AF57" s="492"/>
      <c r="AG57" s="492"/>
      <c r="AH57" s="492"/>
      <c r="AI57" s="493"/>
      <c r="AJ57" s="161"/>
      <c r="AL57" s="60" t="s">
        <v>89</v>
      </c>
      <c r="AM57" s="352">
        <f t="shared" si="20"/>
        <v>0</v>
      </c>
      <c r="AN57" s="352">
        <f t="shared" si="19"/>
        <v>16</v>
      </c>
      <c r="AO57" s="352">
        <f t="shared" si="19"/>
        <v>1</v>
      </c>
      <c r="AP57" s="352">
        <f t="shared" si="19"/>
        <v>1</v>
      </c>
      <c r="AQ57" s="352">
        <f t="shared" si="19"/>
        <v>0</v>
      </c>
      <c r="AR57" s="60">
        <f t="shared" si="21"/>
        <v>18</v>
      </c>
    </row>
    <row r="58" spans="1:44" x14ac:dyDescent="0.2">
      <c r="A58" s="304"/>
      <c r="B58" s="64"/>
      <c r="C58" s="304"/>
      <c r="D58" s="304"/>
      <c r="E58" s="304"/>
      <c r="F58" s="64"/>
      <c r="G58" s="64"/>
      <c r="H58" s="6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69"/>
      <c r="T58" s="369"/>
      <c r="AD58" s="346" t="s">
        <v>528</v>
      </c>
      <c r="AE58" s="348" t="s">
        <v>529</v>
      </c>
      <c r="AF58" s="348" t="s">
        <v>530</v>
      </c>
      <c r="AG58" s="348" t="s">
        <v>531</v>
      </c>
      <c r="AH58" s="348" t="s">
        <v>532</v>
      </c>
      <c r="AI58" s="349" t="s">
        <v>582</v>
      </c>
      <c r="AJ58" s="328" t="s">
        <v>417</v>
      </c>
      <c r="AL58" s="60" t="s">
        <v>90</v>
      </c>
      <c r="AM58" s="352">
        <f t="shared" si="20"/>
        <v>0</v>
      </c>
      <c r="AN58" s="352">
        <f t="shared" si="19"/>
        <v>0</v>
      </c>
      <c r="AO58" s="352">
        <f t="shared" si="19"/>
        <v>1</v>
      </c>
      <c r="AP58" s="352">
        <f t="shared" si="19"/>
        <v>3</v>
      </c>
      <c r="AQ58" s="352">
        <f t="shared" si="19"/>
        <v>2</v>
      </c>
      <c r="AR58" s="60">
        <f t="shared" si="21"/>
        <v>6</v>
      </c>
    </row>
    <row r="59" spans="1:44" x14ac:dyDescent="0.2">
      <c r="A59" s="304"/>
      <c r="B59" s="64"/>
      <c r="C59" s="304"/>
      <c r="D59" s="304"/>
      <c r="E59" s="304"/>
      <c r="F59" s="64"/>
      <c r="G59" s="64"/>
      <c r="H59" s="6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69"/>
      <c r="T59" s="304"/>
      <c r="AD59" s="60" t="s">
        <v>84</v>
      </c>
      <c r="AE59" s="352">
        <v>0</v>
      </c>
      <c r="AF59" s="352">
        <f>10</f>
        <v>10</v>
      </c>
      <c r="AG59" s="450">
        <f>2+1</f>
        <v>3</v>
      </c>
      <c r="AH59" s="450">
        <f>2</f>
        <v>2</v>
      </c>
      <c r="AI59" s="352">
        <v>0</v>
      </c>
      <c r="AJ59" s="353">
        <f>SUM(AE59:AI59)</f>
        <v>15</v>
      </c>
      <c r="AL59" s="60" t="s">
        <v>91</v>
      </c>
      <c r="AM59" s="352">
        <f t="shared" si="20"/>
        <v>1</v>
      </c>
      <c r="AN59" s="352">
        <f t="shared" si="19"/>
        <v>19</v>
      </c>
      <c r="AO59" s="352">
        <f t="shared" si="19"/>
        <v>3</v>
      </c>
      <c r="AP59" s="352">
        <f t="shared" si="19"/>
        <v>2</v>
      </c>
      <c r="AQ59" s="352">
        <f t="shared" si="19"/>
        <v>0</v>
      </c>
      <c r="AR59" s="60">
        <f t="shared" si="21"/>
        <v>25</v>
      </c>
    </row>
    <row r="60" spans="1:44" x14ac:dyDescent="0.2">
      <c r="A60" s="304"/>
      <c r="B60" s="64"/>
      <c r="C60" s="304"/>
      <c r="D60" s="304"/>
      <c r="E60" s="304"/>
      <c r="F60" s="64"/>
      <c r="G60" s="64"/>
      <c r="H60" s="6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69"/>
      <c r="T60" s="304"/>
      <c r="AD60" s="60" t="s">
        <v>85</v>
      </c>
      <c r="AE60" s="352">
        <v>0</v>
      </c>
      <c r="AF60" s="352">
        <f>7+3+4</f>
        <v>14</v>
      </c>
      <c r="AG60" s="352">
        <f>5+3</f>
        <v>8</v>
      </c>
      <c r="AH60" s="352">
        <v>0</v>
      </c>
      <c r="AI60" s="352">
        <f>3+2</f>
        <v>5</v>
      </c>
      <c r="AJ60" s="60">
        <f t="shared" ref="AJ60:AJ70" si="22">SUM(AE60:AI60)</f>
        <v>27</v>
      </c>
      <c r="AL60" s="60" t="s">
        <v>92</v>
      </c>
      <c r="AM60" s="352">
        <f t="shared" si="20"/>
        <v>0</v>
      </c>
      <c r="AN60" s="352">
        <f t="shared" si="19"/>
        <v>7</v>
      </c>
      <c r="AO60" s="352">
        <f t="shared" si="19"/>
        <v>16</v>
      </c>
      <c r="AP60" s="352">
        <f t="shared" si="19"/>
        <v>0</v>
      </c>
      <c r="AQ60" s="352">
        <f t="shared" si="19"/>
        <v>0</v>
      </c>
      <c r="AR60" s="60">
        <f t="shared" si="21"/>
        <v>23</v>
      </c>
    </row>
    <row r="61" spans="1:44" x14ac:dyDescent="0.2">
      <c r="A61" s="304"/>
      <c r="B61" s="64"/>
      <c r="C61" s="304"/>
      <c r="D61" s="304"/>
      <c r="E61" s="304"/>
      <c r="F61" s="64"/>
      <c r="G61" s="64"/>
      <c r="H61" s="6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69"/>
      <c r="T61" s="304"/>
      <c r="AD61" s="60" t="s">
        <v>86</v>
      </c>
      <c r="AE61" s="352">
        <v>0</v>
      </c>
      <c r="AF61" s="352">
        <v>0</v>
      </c>
      <c r="AG61" s="350">
        <f>4+1</f>
        <v>5</v>
      </c>
      <c r="AH61" s="352">
        <v>0</v>
      </c>
      <c r="AI61" s="352">
        <f>3</f>
        <v>3</v>
      </c>
      <c r="AJ61" s="60">
        <f t="shared" si="22"/>
        <v>8</v>
      </c>
      <c r="AL61" s="60" t="s">
        <v>93</v>
      </c>
      <c r="AM61" s="352">
        <f t="shared" si="20"/>
        <v>1</v>
      </c>
      <c r="AN61" s="352">
        <f t="shared" si="19"/>
        <v>0</v>
      </c>
      <c r="AO61" s="352">
        <f t="shared" si="19"/>
        <v>3</v>
      </c>
      <c r="AP61" s="352">
        <f t="shared" si="19"/>
        <v>8</v>
      </c>
      <c r="AQ61" s="352">
        <f t="shared" si="19"/>
        <v>0</v>
      </c>
      <c r="AR61" s="60">
        <f t="shared" si="21"/>
        <v>12</v>
      </c>
    </row>
    <row r="62" spans="1:44" x14ac:dyDescent="0.2">
      <c r="A62" s="304"/>
      <c r="B62" s="65"/>
      <c r="C62" s="304"/>
      <c r="D62" s="304"/>
      <c r="E62" s="304"/>
      <c r="F62" s="64"/>
      <c r="G62" s="64"/>
      <c r="H62" s="6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69"/>
      <c r="T62" s="304"/>
      <c r="AD62" s="60" t="s">
        <v>87</v>
      </c>
      <c r="AE62" s="352">
        <v>0</v>
      </c>
      <c r="AF62" s="451">
        <f>10+7+8</f>
        <v>25</v>
      </c>
      <c r="AG62" s="352">
        <f>5+4+8+14+3</f>
        <v>34</v>
      </c>
      <c r="AH62" s="352">
        <f>3+8+9</f>
        <v>20</v>
      </c>
      <c r="AI62" s="352">
        <v>0</v>
      </c>
      <c r="AJ62" s="60">
        <f t="shared" si="22"/>
        <v>79</v>
      </c>
      <c r="AL62" s="60" t="s">
        <v>94</v>
      </c>
      <c r="AM62" s="352">
        <f t="shared" si="20"/>
        <v>0</v>
      </c>
      <c r="AN62" s="352">
        <f t="shared" si="19"/>
        <v>3</v>
      </c>
      <c r="AO62" s="352">
        <f t="shared" si="19"/>
        <v>3</v>
      </c>
      <c r="AP62" s="352">
        <f t="shared" si="19"/>
        <v>9</v>
      </c>
      <c r="AQ62" s="352">
        <f t="shared" si="19"/>
        <v>0</v>
      </c>
      <c r="AR62" s="60">
        <f t="shared" si="21"/>
        <v>15</v>
      </c>
    </row>
    <row r="63" spans="1:44" x14ac:dyDescent="0.2">
      <c r="A63" s="304"/>
      <c r="B63" s="65"/>
      <c r="C63" s="304"/>
      <c r="D63" s="304"/>
      <c r="E63" s="304"/>
      <c r="F63" s="64"/>
      <c r="G63" s="64"/>
      <c r="H63" s="6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69"/>
      <c r="T63" s="304"/>
      <c r="AD63" s="60" t="s">
        <v>88</v>
      </c>
      <c r="AE63" s="352">
        <v>0</v>
      </c>
      <c r="AF63" s="352">
        <v>0</v>
      </c>
      <c r="AG63" s="352">
        <f>2+3+1+8+1+1</f>
        <v>16</v>
      </c>
      <c r="AH63" s="352">
        <f>1</f>
        <v>1</v>
      </c>
      <c r="AI63" s="352">
        <v>0</v>
      </c>
      <c r="AJ63" s="60">
        <f t="shared" si="22"/>
        <v>17</v>
      </c>
      <c r="AL63" s="358" t="s">
        <v>508</v>
      </c>
      <c r="AM63" s="352">
        <f t="shared" si="20"/>
        <v>0</v>
      </c>
      <c r="AN63" s="352">
        <f t="shared" si="19"/>
        <v>1</v>
      </c>
      <c r="AO63" s="352">
        <f t="shared" si="19"/>
        <v>3</v>
      </c>
      <c r="AP63" s="352">
        <f t="shared" si="19"/>
        <v>0</v>
      </c>
      <c r="AQ63" s="352">
        <f t="shared" si="19"/>
        <v>0</v>
      </c>
      <c r="AR63" s="358">
        <f t="shared" si="21"/>
        <v>4</v>
      </c>
    </row>
    <row r="64" spans="1:44" x14ac:dyDescent="0.2">
      <c r="A64" s="304"/>
      <c r="B64" s="65"/>
      <c r="C64" s="304"/>
      <c r="D64" s="304"/>
      <c r="E64" s="304"/>
      <c r="F64" s="64"/>
      <c r="G64" s="64"/>
      <c r="H64" s="6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69"/>
      <c r="T64" s="304"/>
      <c r="AD64" s="60" t="s">
        <v>89</v>
      </c>
      <c r="AE64" s="352">
        <v>0</v>
      </c>
      <c r="AF64" s="352">
        <f>7+7+2</f>
        <v>16</v>
      </c>
      <c r="AG64" s="352">
        <f>1</f>
        <v>1</v>
      </c>
      <c r="AH64" s="352">
        <f>1</f>
        <v>1</v>
      </c>
      <c r="AI64" s="352">
        <v>0</v>
      </c>
      <c r="AJ64" s="60">
        <f t="shared" si="22"/>
        <v>18</v>
      </c>
      <c r="AL64" s="328" t="s">
        <v>537</v>
      </c>
      <c r="AM64" s="360">
        <f t="shared" ref="AM64:AR64" si="23">SUM(AM52:AM63)</f>
        <v>3</v>
      </c>
      <c r="AN64" s="360">
        <f t="shared" si="23"/>
        <v>96</v>
      </c>
      <c r="AO64" s="360">
        <f t="shared" si="23"/>
        <v>96</v>
      </c>
      <c r="AP64" s="360">
        <f t="shared" si="23"/>
        <v>46</v>
      </c>
      <c r="AQ64" s="360">
        <f t="shared" si="23"/>
        <v>10</v>
      </c>
      <c r="AR64" s="361">
        <f t="shared" si="23"/>
        <v>251</v>
      </c>
    </row>
    <row r="65" spans="1:44" x14ac:dyDescent="0.2">
      <c r="A65" s="304"/>
      <c r="B65" s="64"/>
      <c r="C65" s="304"/>
      <c r="D65" s="304"/>
      <c r="M65" s="304"/>
      <c r="N65" s="304"/>
      <c r="O65" s="304"/>
      <c r="P65" s="304"/>
      <c r="R65" s="304"/>
      <c r="S65" s="369"/>
      <c r="T65" s="304"/>
      <c r="AD65" s="60" t="s">
        <v>90</v>
      </c>
      <c r="AE65" s="352">
        <v>0</v>
      </c>
      <c r="AF65" s="350">
        <v>0</v>
      </c>
      <c r="AG65" s="350">
        <f>1</f>
        <v>1</v>
      </c>
      <c r="AH65" s="352">
        <f>3</f>
        <v>3</v>
      </c>
      <c r="AI65" s="352">
        <f>2</f>
        <v>2</v>
      </c>
      <c r="AJ65" s="60">
        <f t="shared" si="22"/>
        <v>6</v>
      </c>
      <c r="AL65" s="328" t="s">
        <v>536</v>
      </c>
      <c r="AM65" s="362">
        <f>PRODUCT(AM64*AN42)</f>
        <v>45</v>
      </c>
      <c r="AN65" s="452">
        <f>PRODUCT(AN64*AN43)</f>
        <v>1571.4144000000001</v>
      </c>
      <c r="AO65" s="452">
        <f>PRODUCT(AO64*AN44)</f>
        <v>1607.6831999999999</v>
      </c>
      <c r="AP65" s="452">
        <f>PRODUCT(AP64*AN45)</f>
        <v>776.78360000000009</v>
      </c>
      <c r="AQ65" s="452">
        <f>PRODUCT(AQ64*AN46)</f>
        <v>170</v>
      </c>
      <c r="AR65" s="453">
        <f>SUM(AM65:AQ65)</f>
        <v>4170.8811999999998</v>
      </c>
    </row>
    <row r="66" spans="1:44" x14ac:dyDescent="0.2">
      <c r="A66" s="304"/>
      <c r="B66" s="64"/>
      <c r="C66" s="304"/>
      <c r="D66" s="304"/>
      <c r="M66" s="304"/>
      <c r="N66" s="304"/>
      <c r="O66" s="304"/>
      <c r="P66" s="304"/>
      <c r="R66" s="304"/>
      <c r="S66" s="369"/>
      <c r="T66" s="304"/>
      <c r="AD66" s="60" t="s">
        <v>91</v>
      </c>
      <c r="AE66" s="352">
        <v>0</v>
      </c>
      <c r="AF66" s="350">
        <f>3+8+2+3+2+1</f>
        <v>19</v>
      </c>
      <c r="AG66" s="352">
        <f>1+2</f>
        <v>3</v>
      </c>
      <c r="AH66" s="352">
        <f>2</f>
        <v>2</v>
      </c>
      <c r="AI66" s="352">
        <v>0</v>
      </c>
      <c r="AJ66" s="60">
        <f t="shared" si="22"/>
        <v>24</v>
      </c>
      <c r="AL66" s="328" t="s">
        <v>583</v>
      </c>
      <c r="AM66" s="362">
        <f>AM64*AM42</f>
        <v>300</v>
      </c>
      <c r="AN66" s="362">
        <f>AN64*AM43</f>
        <v>14400</v>
      </c>
      <c r="AO66" s="362">
        <f>AO64*AM44</f>
        <v>19200</v>
      </c>
      <c r="AP66" s="362">
        <f>AP64*AM45</f>
        <v>11500</v>
      </c>
      <c r="AQ66" s="362">
        <f>AQ64*AM46</f>
        <v>3000</v>
      </c>
      <c r="AR66" s="328">
        <f>SUM(AM66:AQ66)</f>
        <v>48400</v>
      </c>
    </row>
    <row r="67" spans="1:44" x14ac:dyDescent="0.2">
      <c r="A67" s="304"/>
      <c r="B67" s="64"/>
      <c r="C67" s="304"/>
      <c r="D67" s="304"/>
      <c r="M67" s="304"/>
      <c r="N67" s="304"/>
      <c r="O67" s="304"/>
      <c r="P67" s="304"/>
      <c r="R67" s="304"/>
      <c r="S67" s="369"/>
      <c r="T67" s="304"/>
      <c r="AD67" s="60" t="s">
        <v>92</v>
      </c>
      <c r="AE67" s="352">
        <v>0</v>
      </c>
      <c r="AF67" s="350">
        <f>4+3</f>
        <v>7</v>
      </c>
      <c r="AG67" s="352">
        <f>14+2</f>
        <v>16</v>
      </c>
      <c r="AH67" s="352">
        <v>0</v>
      </c>
      <c r="AI67" s="352">
        <v>0</v>
      </c>
      <c r="AJ67" s="60">
        <f t="shared" si="22"/>
        <v>23</v>
      </c>
      <c r="AM67" s="459"/>
      <c r="AN67" s="350"/>
      <c r="AO67" s="350"/>
      <c r="AP67" s="352"/>
      <c r="AQ67" s="352"/>
      <c r="AR67" s="352"/>
    </row>
    <row r="68" spans="1:44" x14ac:dyDescent="0.2">
      <c r="A68" s="304"/>
      <c r="B68" s="64"/>
      <c r="C68" s="304"/>
      <c r="D68" s="304"/>
      <c r="E68" s="304"/>
      <c r="F68" s="64"/>
      <c r="G68" s="64"/>
      <c r="H68" s="6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69"/>
      <c r="T68" s="304"/>
      <c r="AD68" s="60" t="s">
        <v>93</v>
      </c>
      <c r="AE68" s="352">
        <v>0</v>
      </c>
      <c r="AF68" s="350">
        <v>0</v>
      </c>
      <c r="AG68" s="352">
        <f>2+1</f>
        <v>3</v>
      </c>
      <c r="AH68" s="352">
        <f>8</f>
        <v>8</v>
      </c>
      <c r="AI68" s="352">
        <v>0</v>
      </c>
      <c r="AJ68" s="60">
        <f t="shared" si="22"/>
        <v>11</v>
      </c>
      <c r="AM68" s="459"/>
      <c r="AN68" s="352"/>
      <c r="AO68" s="352"/>
      <c r="AP68" s="352"/>
      <c r="AQ68" s="352"/>
      <c r="AR68" s="352"/>
    </row>
    <row r="69" spans="1:44" ht="15" x14ac:dyDescent="0.25">
      <c r="B69" s="64"/>
      <c r="C69" s="304"/>
      <c r="D69" s="304"/>
      <c r="E69" s="304"/>
      <c r="F69" s="64"/>
      <c r="G69" s="64"/>
      <c r="H69" s="6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69"/>
      <c r="T69" s="304"/>
      <c r="V69" s="58"/>
      <c r="W69" s="58"/>
      <c r="AD69" s="60" t="s">
        <v>94</v>
      </c>
      <c r="AE69" s="352">
        <v>0</v>
      </c>
      <c r="AF69" s="451">
        <f>2</f>
        <v>2</v>
      </c>
      <c r="AG69" s="352">
        <f>2+1</f>
        <v>3</v>
      </c>
      <c r="AH69" s="352">
        <f>9</f>
        <v>9</v>
      </c>
      <c r="AI69" s="352"/>
      <c r="AJ69" s="60">
        <f t="shared" si="22"/>
        <v>14</v>
      </c>
      <c r="AL69" s="438">
        <f>AJ51+AJ71</f>
        <v>251</v>
      </c>
      <c r="AM69" s="459"/>
      <c r="AN69" s="352"/>
      <c r="AO69" s="350"/>
      <c r="AP69" s="352"/>
      <c r="AQ69" s="352"/>
      <c r="AR69" s="352"/>
    </row>
    <row r="70" spans="1:44" ht="15" x14ac:dyDescent="0.25">
      <c r="B70" s="64"/>
      <c r="C70" s="304"/>
      <c r="D70" s="304"/>
      <c r="E70" s="304"/>
      <c r="F70" s="64"/>
      <c r="G70" s="64"/>
      <c r="H70" s="64"/>
      <c r="I70" s="304"/>
      <c r="J70" s="304"/>
      <c r="K70" s="304"/>
      <c r="L70" s="304"/>
      <c r="M70" s="304"/>
      <c r="N70" s="304"/>
      <c r="O70" s="304"/>
      <c r="P70" s="304"/>
      <c r="Q70" s="304"/>
      <c r="R70" s="304"/>
      <c r="S70" s="369"/>
      <c r="T70" s="304"/>
      <c r="V70" s="58"/>
      <c r="W70" s="58"/>
      <c r="AD70" s="358" t="s">
        <v>508</v>
      </c>
      <c r="AE70" s="352">
        <v>0</v>
      </c>
      <c r="AF70" s="359">
        <f>1</f>
        <v>1</v>
      </c>
      <c r="AG70" s="359">
        <f>3</f>
        <v>3</v>
      </c>
      <c r="AH70" s="359">
        <v>0</v>
      </c>
      <c r="AI70" s="352">
        <v>0</v>
      </c>
      <c r="AJ70" s="358">
        <f t="shared" si="22"/>
        <v>4</v>
      </c>
      <c r="AL70" s="550">
        <f>AJ52+AJ72</f>
        <v>4170.8812000000007</v>
      </c>
      <c r="AM70" s="459"/>
      <c r="AN70" s="352"/>
      <c r="AO70" s="350"/>
      <c r="AP70" s="352"/>
      <c r="AQ70" s="352"/>
      <c r="AR70" s="352"/>
    </row>
    <row r="71" spans="1:44" x14ac:dyDescent="0.2">
      <c r="B71" s="64"/>
      <c r="C71" s="304"/>
      <c r="D71" s="304"/>
      <c r="E71" s="304"/>
      <c r="F71" s="64"/>
      <c r="G71" s="64"/>
      <c r="H71" s="6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69"/>
      <c r="T71" s="304"/>
      <c r="V71" s="58"/>
      <c r="W71" s="58"/>
      <c r="AD71" s="328" t="s">
        <v>537</v>
      </c>
      <c r="AE71" s="360">
        <f t="shared" ref="AE71:AJ71" si="24">SUM(AE59:AE70)</f>
        <v>0</v>
      </c>
      <c r="AF71" s="360">
        <f t="shared" si="24"/>
        <v>94</v>
      </c>
      <c r="AG71" s="360">
        <f t="shared" si="24"/>
        <v>96</v>
      </c>
      <c r="AH71" s="360">
        <f t="shared" si="24"/>
        <v>46</v>
      </c>
      <c r="AI71" s="360">
        <f t="shared" si="24"/>
        <v>10</v>
      </c>
      <c r="AJ71" s="361">
        <f t="shared" si="24"/>
        <v>246</v>
      </c>
      <c r="AL71" s="352">
        <f>AJ53+AJ73</f>
        <v>48400</v>
      </c>
      <c r="AM71" s="459"/>
      <c r="AN71" s="352"/>
      <c r="AO71" s="352"/>
      <c r="AP71" s="352"/>
      <c r="AQ71" s="352"/>
      <c r="AR71" s="352"/>
    </row>
    <row r="72" spans="1:44" x14ac:dyDescent="0.2">
      <c r="B72" s="64"/>
      <c r="C72" s="304"/>
      <c r="D72" s="304"/>
      <c r="E72" s="304"/>
      <c r="F72" s="64"/>
      <c r="G72" s="64"/>
      <c r="H72" s="6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69"/>
      <c r="T72" s="304"/>
      <c r="V72" s="58"/>
      <c r="W72" s="58"/>
      <c r="AD72" s="328" t="s">
        <v>536</v>
      </c>
      <c r="AE72" s="452">
        <f>PRODUCT(AE71*AN42)</f>
        <v>0</v>
      </c>
      <c r="AF72" s="452">
        <f>PRODUCT(AF71*AN43)</f>
        <v>1538.6766</v>
      </c>
      <c r="AG72" s="452">
        <f>PRODUCT(AG71*AN44)</f>
        <v>1607.6831999999999</v>
      </c>
      <c r="AH72" s="452">
        <f>PRODUCT(AH71*AN45)</f>
        <v>776.78360000000009</v>
      </c>
      <c r="AI72" s="452">
        <f>PRODUCT(AI71*AN46)</f>
        <v>170</v>
      </c>
      <c r="AJ72" s="453">
        <f>SUM(AE72:AI72)</f>
        <v>4093.1434000000004</v>
      </c>
    </row>
    <row r="73" spans="1:44" x14ac:dyDescent="0.2">
      <c r="B73" s="64"/>
      <c r="C73" s="304"/>
      <c r="D73" s="304"/>
      <c r="E73" s="304"/>
      <c r="F73" s="64"/>
      <c r="G73" s="64"/>
      <c r="H73" s="6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69"/>
      <c r="T73" s="304"/>
      <c r="V73" s="58"/>
      <c r="AD73" s="328" t="s">
        <v>583</v>
      </c>
      <c r="AE73" s="362">
        <f>AE71*AM42</f>
        <v>0</v>
      </c>
      <c r="AF73" s="362">
        <f>AF71*AM43</f>
        <v>14100</v>
      </c>
      <c r="AG73" s="362">
        <f>AG71*AM44</f>
        <v>19200</v>
      </c>
      <c r="AH73" s="362">
        <f>AH71*AM45</f>
        <v>11500</v>
      </c>
      <c r="AI73" s="362">
        <f>AI71*AM46</f>
        <v>3000</v>
      </c>
      <c r="AJ73" s="328">
        <f>SUM(AE73:AI73)</f>
        <v>47800</v>
      </c>
    </row>
    <row r="74" spans="1:44" x14ac:dyDescent="0.2">
      <c r="B74" s="64"/>
      <c r="C74" s="304"/>
      <c r="D74" s="304"/>
      <c r="E74" s="304"/>
      <c r="F74" s="64"/>
      <c r="G74" s="64"/>
      <c r="H74" s="6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69"/>
      <c r="T74" s="304"/>
      <c r="V74" s="58"/>
    </row>
    <row r="75" spans="1:44" x14ac:dyDescent="0.2">
      <c r="B75" s="64"/>
      <c r="C75" s="304"/>
      <c r="D75" s="304"/>
      <c r="E75" s="304"/>
      <c r="F75" s="64"/>
      <c r="G75" s="64"/>
      <c r="H75" s="6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69"/>
      <c r="T75" s="304"/>
    </row>
    <row r="76" spans="1:44" x14ac:dyDescent="0.2">
      <c r="B76" s="64"/>
      <c r="C76" s="304"/>
      <c r="D76" s="304"/>
      <c r="E76" s="304"/>
      <c r="F76" s="64"/>
      <c r="G76" s="64"/>
      <c r="H76" s="6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69"/>
      <c r="T76" s="304"/>
    </row>
    <row r="77" spans="1:44" x14ac:dyDescent="0.2">
      <c r="B77" s="64"/>
      <c r="C77" s="304"/>
      <c r="D77" s="304"/>
      <c r="E77" s="304"/>
      <c r="F77" s="64"/>
      <c r="G77" s="64"/>
      <c r="H77" s="6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69"/>
      <c r="T77" s="304"/>
    </row>
    <row r="78" spans="1:44" x14ac:dyDescent="0.2">
      <c r="B78" s="64"/>
      <c r="C78" s="304"/>
      <c r="D78" s="304"/>
      <c r="E78" s="304"/>
      <c r="F78" s="64"/>
      <c r="G78" s="64"/>
      <c r="H78" s="6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69"/>
      <c r="T78" s="304"/>
    </row>
    <row r="79" spans="1:44" x14ac:dyDescent="0.2">
      <c r="B79" s="64"/>
      <c r="C79" s="304"/>
      <c r="D79" s="304"/>
      <c r="E79" s="304"/>
      <c r="F79" s="64"/>
      <c r="G79" s="64"/>
      <c r="H79" s="6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69"/>
      <c r="T79" s="304"/>
    </row>
    <row r="80" spans="1:44" x14ac:dyDescent="0.2">
      <c r="B80" s="64"/>
      <c r="C80" s="304"/>
      <c r="D80" s="304"/>
      <c r="E80" s="304"/>
      <c r="F80" s="64"/>
      <c r="G80" s="64"/>
      <c r="H80" s="6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69"/>
      <c r="T80" s="304"/>
    </row>
    <row r="81" spans="2:20" x14ac:dyDescent="0.2">
      <c r="B81" s="64"/>
      <c r="C81" s="304"/>
      <c r="D81" s="304"/>
      <c r="E81" s="304"/>
      <c r="F81" s="64"/>
      <c r="G81" s="64"/>
      <c r="H81" s="6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69"/>
      <c r="T81" s="304"/>
    </row>
    <row r="82" spans="2:20" x14ac:dyDescent="0.2">
      <c r="B82" s="64"/>
      <c r="C82" s="304"/>
      <c r="D82" s="304"/>
      <c r="E82" s="304"/>
      <c r="F82" s="64"/>
      <c r="G82" s="64"/>
      <c r="H82" s="6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69"/>
      <c r="T82" s="304"/>
    </row>
    <row r="83" spans="2:20" x14ac:dyDescent="0.2">
      <c r="B83" s="64"/>
      <c r="C83" s="304"/>
      <c r="D83" s="304"/>
      <c r="E83" s="304"/>
      <c r="F83" s="64"/>
      <c r="G83" s="64"/>
      <c r="H83" s="6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69"/>
      <c r="T83" s="304"/>
    </row>
    <row r="84" spans="2:20" x14ac:dyDescent="0.2">
      <c r="B84" s="64"/>
      <c r="C84" s="304"/>
      <c r="D84" s="304"/>
      <c r="E84" s="304"/>
      <c r="F84" s="64"/>
      <c r="G84" s="64"/>
      <c r="H84" s="6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69"/>
      <c r="T84" s="304"/>
    </row>
    <row r="85" spans="2:20" x14ac:dyDescent="0.2">
      <c r="B85" s="64"/>
      <c r="C85" s="304"/>
      <c r="D85" s="304"/>
      <c r="E85" s="304"/>
      <c r="F85" s="64"/>
      <c r="G85" s="64"/>
      <c r="H85" s="6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69"/>
      <c r="T85" s="304"/>
    </row>
    <row r="86" spans="2:20" x14ac:dyDescent="0.2">
      <c r="B86" s="64"/>
      <c r="C86" s="304"/>
      <c r="D86" s="304"/>
      <c r="E86" s="304"/>
      <c r="F86" s="64"/>
      <c r="G86" s="64"/>
      <c r="H86" s="6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69"/>
      <c r="T86" s="304"/>
    </row>
    <row r="87" spans="2:20" x14ac:dyDescent="0.2">
      <c r="B87" s="64"/>
      <c r="C87" s="304"/>
      <c r="D87" s="304"/>
      <c r="E87" s="304"/>
      <c r="F87" s="64"/>
      <c r="G87" s="64"/>
      <c r="H87" s="6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69"/>
      <c r="T87" s="304"/>
    </row>
    <row r="88" spans="2:20" x14ac:dyDescent="0.2">
      <c r="B88" s="64"/>
      <c r="C88" s="304"/>
      <c r="D88" s="304"/>
      <c r="E88" s="304"/>
      <c r="F88" s="64"/>
      <c r="G88" s="64"/>
      <c r="H88" s="6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69"/>
      <c r="T88" s="304"/>
    </row>
    <row r="89" spans="2:20" x14ac:dyDescent="0.2">
      <c r="B89" s="64"/>
      <c r="C89" s="304"/>
      <c r="D89" s="304"/>
      <c r="E89" s="304"/>
      <c r="F89" s="64"/>
      <c r="G89" s="64"/>
      <c r="H89" s="6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69"/>
      <c r="T89" s="304"/>
    </row>
    <row r="90" spans="2:20" x14ac:dyDescent="0.2">
      <c r="B90" s="64"/>
      <c r="C90" s="304"/>
      <c r="D90" s="304"/>
      <c r="E90" s="304"/>
      <c r="F90" s="64"/>
      <c r="G90" s="64"/>
      <c r="H90" s="6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69"/>
      <c r="T90" s="304"/>
    </row>
    <row r="91" spans="2:20" x14ac:dyDescent="0.2">
      <c r="B91" s="64"/>
      <c r="C91" s="304"/>
      <c r="D91" s="304"/>
      <c r="E91" s="304"/>
      <c r="F91" s="64"/>
      <c r="G91" s="64"/>
      <c r="H91" s="6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69"/>
      <c r="T91" s="304"/>
    </row>
    <row r="92" spans="2:20" x14ac:dyDescent="0.2">
      <c r="B92" s="64"/>
      <c r="C92" s="304"/>
      <c r="D92" s="304"/>
      <c r="E92" s="304"/>
      <c r="F92" s="64"/>
      <c r="G92" s="64"/>
      <c r="H92" s="6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69"/>
      <c r="T92" s="304"/>
    </row>
    <row r="93" spans="2:20" x14ac:dyDescent="0.2">
      <c r="B93" s="64"/>
      <c r="C93" s="304"/>
      <c r="D93" s="304"/>
      <c r="E93" s="304"/>
      <c r="F93" s="64"/>
      <c r="G93" s="64"/>
      <c r="H93" s="6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69"/>
      <c r="T93" s="304"/>
    </row>
    <row r="94" spans="2:20" x14ac:dyDescent="0.2">
      <c r="B94" s="64"/>
      <c r="C94" s="304"/>
      <c r="D94" s="304"/>
      <c r="E94" s="304"/>
      <c r="F94" s="64"/>
      <c r="G94" s="64"/>
      <c r="H94" s="6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69"/>
      <c r="T94" s="304"/>
    </row>
    <row r="95" spans="2:20" x14ac:dyDescent="0.2">
      <c r="B95" s="64"/>
      <c r="C95" s="304"/>
      <c r="D95" s="304"/>
      <c r="E95" s="304"/>
      <c r="F95" s="64"/>
      <c r="G95" s="64"/>
      <c r="H95" s="6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69"/>
      <c r="T95" s="304"/>
    </row>
    <row r="96" spans="2:20" x14ac:dyDescent="0.2">
      <c r="B96" s="64"/>
      <c r="C96" s="304"/>
      <c r="D96" s="304"/>
      <c r="E96" s="304"/>
      <c r="F96" s="64"/>
      <c r="G96" s="64"/>
      <c r="H96" s="6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69"/>
      <c r="T96" s="304"/>
    </row>
    <row r="97" spans="2:20" x14ac:dyDescent="0.2">
      <c r="B97" s="64"/>
      <c r="C97" s="304"/>
      <c r="D97" s="304"/>
      <c r="E97" s="304"/>
      <c r="F97" s="64"/>
      <c r="G97" s="64"/>
      <c r="H97" s="64"/>
      <c r="I97" s="304"/>
      <c r="J97" s="304"/>
      <c r="K97" s="304"/>
      <c r="L97" s="304"/>
      <c r="M97" s="304"/>
      <c r="N97" s="304"/>
      <c r="O97" s="304"/>
      <c r="P97" s="304"/>
      <c r="Q97" s="304"/>
      <c r="R97" s="304"/>
      <c r="S97" s="369"/>
      <c r="T97" s="304"/>
    </row>
    <row r="98" spans="2:20" x14ac:dyDescent="0.2">
      <c r="B98" s="64"/>
      <c r="C98" s="304"/>
      <c r="D98" s="304"/>
      <c r="E98" s="304"/>
      <c r="F98" s="64"/>
      <c r="G98" s="64"/>
      <c r="H98" s="64"/>
      <c r="I98" s="304"/>
      <c r="J98" s="304"/>
      <c r="K98" s="304"/>
      <c r="L98" s="304"/>
      <c r="M98" s="304"/>
      <c r="N98" s="304"/>
      <c r="O98" s="304"/>
      <c r="P98" s="304"/>
      <c r="Q98" s="304"/>
      <c r="R98" s="304"/>
      <c r="S98" s="369"/>
      <c r="T98" s="304"/>
    </row>
    <row r="99" spans="2:20" x14ac:dyDescent="0.2">
      <c r="B99" s="64"/>
      <c r="C99" s="304"/>
      <c r="D99" s="304"/>
      <c r="E99" s="304"/>
      <c r="F99" s="64"/>
      <c r="G99" s="64"/>
      <c r="H99" s="6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69"/>
      <c r="T99" s="304"/>
    </row>
    <row r="100" spans="2:20" x14ac:dyDescent="0.2">
      <c r="B100" s="64"/>
      <c r="C100" s="304"/>
      <c r="D100" s="304"/>
      <c r="E100" s="304"/>
      <c r="F100" s="64"/>
      <c r="G100" s="64"/>
      <c r="H100" s="6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69"/>
      <c r="T100" s="304"/>
    </row>
    <row r="101" spans="2:20" x14ac:dyDescent="0.2">
      <c r="B101" s="64"/>
      <c r="C101" s="304"/>
      <c r="D101" s="304"/>
      <c r="E101" s="304"/>
      <c r="F101" s="64"/>
      <c r="G101" s="64"/>
      <c r="H101" s="6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69"/>
      <c r="T101" s="304"/>
    </row>
    <row r="102" spans="2:20" x14ac:dyDescent="0.2">
      <c r="B102" s="64"/>
      <c r="C102" s="304"/>
      <c r="D102" s="304"/>
      <c r="E102" s="304"/>
      <c r="F102" s="64"/>
      <c r="G102" s="64"/>
      <c r="H102" s="6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69"/>
      <c r="T102" s="304"/>
    </row>
    <row r="103" spans="2:20" x14ac:dyDescent="0.2">
      <c r="B103" s="64"/>
      <c r="C103" s="304"/>
      <c r="D103" s="304"/>
      <c r="E103" s="304"/>
      <c r="F103" s="64"/>
      <c r="G103" s="64"/>
      <c r="H103" s="64"/>
      <c r="I103" s="304"/>
      <c r="J103" s="304"/>
      <c r="K103" s="304"/>
      <c r="L103" s="304"/>
      <c r="M103" s="304"/>
      <c r="N103" s="304"/>
      <c r="O103" s="304"/>
      <c r="P103" s="304"/>
      <c r="Q103" s="304"/>
      <c r="R103" s="304"/>
      <c r="S103" s="369"/>
      <c r="T103" s="304"/>
    </row>
    <row r="104" spans="2:20" x14ac:dyDescent="0.2">
      <c r="B104" s="64"/>
      <c r="C104" s="304"/>
      <c r="D104" s="304"/>
      <c r="E104" s="304"/>
      <c r="F104" s="64"/>
      <c r="G104" s="64"/>
      <c r="H104" s="6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69"/>
      <c r="T104" s="304"/>
    </row>
    <row r="105" spans="2:20" x14ac:dyDescent="0.2">
      <c r="B105" s="64"/>
      <c r="C105" s="304"/>
      <c r="D105" s="304"/>
      <c r="E105" s="304"/>
      <c r="F105" s="64"/>
      <c r="G105" s="64"/>
      <c r="H105" s="6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69"/>
      <c r="T105" s="304"/>
    </row>
    <row r="106" spans="2:20" x14ac:dyDescent="0.2">
      <c r="B106" s="64"/>
      <c r="C106" s="304"/>
      <c r="D106" s="304"/>
      <c r="E106" s="304"/>
      <c r="F106" s="64"/>
      <c r="G106" s="64"/>
      <c r="H106" s="6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69"/>
      <c r="T106" s="304"/>
    </row>
    <row r="107" spans="2:20" x14ac:dyDescent="0.2">
      <c r="B107" s="64"/>
      <c r="C107" s="304"/>
      <c r="D107" s="304"/>
      <c r="E107" s="304"/>
      <c r="F107" s="64"/>
      <c r="G107" s="64"/>
      <c r="H107" s="6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69"/>
      <c r="T107" s="304"/>
    </row>
    <row r="108" spans="2:20" x14ac:dyDescent="0.2">
      <c r="B108" s="64"/>
      <c r="C108" s="304"/>
      <c r="D108" s="304"/>
      <c r="E108" s="304"/>
      <c r="F108" s="64"/>
      <c r="G108" s="64"/>
      <c r="H108" s="6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69"/>
      <c r="T108" s="304"/>
    </row>
    <row r="109" spans="2:20" x14ac:dyDescent="0.2">
      <c r="B109" s="64"/>
      <c r="C109" s="304"/>
      <c r="D109" s="304"/>
      <c r="E109" s="304"/>
      <c r="F109" s="64"/>
      <c r="G109" s="64"/>
      <c r="H109" s="6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69"/>
      <c r="T109" s="304"/>
    </row>
    <row r="110" spans="2:20" x14ac:dyDescent="0.2">
      <c r="B110" s="64"/>
      <c r="C110" s="304"/>
      <c r="D110" s="304"/>
      <c r="E110" s="304"/>
      <c r="F110" s="64"/>
      <c r="G110" s="64"/>
      <c r="H110" s="6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69"/>
      <c r="T110" s="304"/>
    </row>
    <row r="111" spans="2:20" x14ac:dyDescent="0.2">
      <c r="B111" s="64"/>
      <c r="C111" s="304"/>
      <c r="D111" s="304"/>
      <c r="E111" s="304"/>
      <c r="F111" s="64"/>
      <c r="G111" s="64"/>
      <c r="H111" s="6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69"/>
      <c r="T111" s="304"/>
    </row>
    <row r="112" spans="2:20" x14ac:dyDescent="0.2">
      <c r="B112" s="64"/>
      <c r="C112" s="304"/>
      <c r="D112" s="304"/>
      <c r="E112" s="304"/>
      <c r="F112" s="64"/>
      <c r="G112" s="64"/>
      <c r="H112" s="6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69"/>
      <c r="T112" s="304"/>
    </row>
    <row r="113" spans="1:20" x14ac:dyDescent="0.2">
      <c r="B113" s="64"/>
      <c r="C113" s="304"/>
      <c r="D113" s="304"/>
      <c r="E113" s="304"/>
      <c r="F113" s="64"/>
      <c r="G113" s="64"/>
      <c r="H113" s="64"/>
      <c r="I113" s="304"/>
      <c r="J113" s="304"/>
      <c r="K113" s="304"/>
      <c r="L113" s="304"/>
      <c r="M113" s="304"/>
      <c r="N113" s="304"/>
      <c r="O113" s="304"/>
      <c r="P113" s="304"/>
      <c r="Q113" s="304"/>
      <c r="R113" s="304"/>
      <c r="S113" s="369"/>
      <c r="T113" s="304"/>
    </row>
    <row r="114" spans="1:20" x14ac:dyDescent="0.2">
      <c r="B114" s="64"/>
      <c r="C114" s="304"/>
      <c r="D114" s="304"/>
      <c r="E114" s="304"/>
      <c r="F114" s="64"/>
      <c r="G114" s="64"/>
      <c r="H114" s="6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69"/>
      <c r="T114" s="304"/>
    </row>
    <row r="115" spans="1:20" x14ac:dyDescent="0.2">
      <c r="B115" s="64"/>
      <c r="C115" s="304"/>
      <c r="D115" s="304"/>
      <c r="E115" s="304"/>
      <c r="F115" s="64"/>
      <c r="G115" s="64"/>
      <c r="H115" s="6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69"/>
      <c r="T115" s="304"/>
    </row>
    <row r="116" spans="1:20" x14ac:dyDescent="0.2">
      <c r="B116" s="64"/>
      <c r="C116" s="304"/>
      <c r="D116" s="304"/>
      <c r="E116" s="304"/>
      <c r="F116" s="64"/>
      <c r="G116" s="64"/>
      <c r="H116" s="64"/>
      <c r="I116" s="304"/>
      <c r="J116" s="304"/>
      <c r="K116" s="304"/>
      <c r="L116" s="304"/>
      <c r="M116" s="304"/>
      <c r="N116" s="304"/>
      <c r="O116" s="304"/>
      <c r="P116" s="304"/>
      <c r="Q116" s="304"/>
      <c r="R116" s="304"/>
      <c r="S116" s="369"/>
      <c r="T116" s="304"/>
    </row>
    <row r="117" spans="1:20" x14ac:dyDescent="0.2">
      <c r="B117" s="64"/>
      <c r="C117" s="304"/>
      <c r="D117" s="304"/>
      <c r="E117" s="304"/>
      <c r="F117" s="64"/>
      <c r="G117" s="64"/>
      <c r="H117" s="64"/>
      <c r="I117" s="304"/>
      <c r="J117" s="304"/>
      <c r="K117" s="304"/>
      <c r="L117" s="304"/>
      <c r="M117" s="304"/>
      <c r="N117" s="304"/>
      <c r="O117" s="304"/>
      <c r="P117" s="304"/>
      <c r="Q117" s="304"/>
      <c r="R117" s="304"/>
      <c r="S117" s="369"/>
      <c r="T117" s="304"/>
    </row>
    <row r="118" spans="1:20" x14ac:dyDescent="0.2">
      <c r="B118" s="64"/>
      <c r="C118" s="304"/>
      <c r="D118" s="304"/>
      <c r="E118" s="304"/>
      <c r="F118" s="64"/>
      <c r="G118" s="64"/>
      <c r="H118" s="6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69"/>
      <c r="T118" s="304"/>
    </row>
    <row r="119" spans="1:20" x14ac:dyDescent="0.2">
      <c r="B119" s="64"/>
      <c r="C119" s="304"/>
      <c r="D119" s="304"/>
      <c r="E119" s="304"/>
      <c r="F119" s="64"/>
      <c r="G119" s="64"/>
      <c r="H119" s="6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69"/>
      <c r="T119" s="304"/>
    </row>
    <row r="120" spans="1:20" x14ac:dyDescent="0.2">
      <c r="B120" s="64"/>
      <c r="C120" s="304"/>
      <c r="D120" s="304"/>
      <c r="E120" s="304"/>
      <c r="F120" s="64"/>
      <c r="G120" s="64"/>
      <c r="H120" s="6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69"/>
      <c r="T120" s="304"/>
    </row>
    <row r="121" spans="1:20" x14ac:dyDescent="0.2">
      <c r="B121" s="64"/>
      <c r="C121" s="304"/>
      <c r="D121" s="304"/>
      <c r="E121" s="304"/>
      <c r="F121" s="64"/>
      <c r="G121" s="64"/>
      <c r="H121" s="6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69"/>
      <c r="T121" s="304"/>
    </row>
    <row r="122" spans="1:20" x14ac:dyDescent="0.2">
      <c r="B122" s="64"/>
      <c r="C122" s="304"/>
      <c r="D122" s="304"/>
      <c r="E122" s="304"/>
      <c r="F122" s="64"/>
      <c r="G122" s="64"/>
      <c r="H122" s="6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69"/>
      <c r="T122" s="304"/>
    </row>
    <row r="123" spans="1:20" x14ac:dyDescent="0.2">
      <c r="B123" s="64"/>
      <c r="C123" s="304"/>
      <c r="D123" s="304"/>
      <c r="E123" s="304"/>
      <c r="F123" s="64"/>
      <c r="G123" s="64"/>
      <c r="H123" s="6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69"/>
      <c r="T123" s="304"/>
    </row>
    <row r="124" spans="1:20" x14ac:dyDescent="0.2">
      <c r="A124" s="304"/>
      <c r="B124" s="64"/>
      <c r="C124" s="304"/>
      <c r="D124" s="304"/>
      <c r="E124" s="304"/>
      <c r="F124" s="64"/>
      <c r="G124" s="64"/>
      <c r="H124" s="6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69"/>
      <c r="T124" s="304"/>
    </row>
    <row r="125" spans="1:20" x14ac:dyDescent="0.2">
      <c r="A125" s="304"/>
      <c r="B125" s="64"/>
      <c r="C125" s="304"/>
      <c r="D125" s="304"/>
      <c r="E125" s="304"/>
      <c r="F125" s="64"/>
      <c r="G125" s="64"/>
      <c r="H125" s="6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69"/>
      <c r="T125" s="304"/>
    </row>
    <row r="126" spans="1:20" x14ac:dyDescent="0.2">
      <c r="A126" s="304"/>
      <c r="B126" s="64"/>
      <c r="C126" s="304"/>
      <c r="D126" s="304"/>
      <c r="E126" s="304"/>
      <c r="F126" s="64"/>
      <c r="G126" s="64"/>
      <c r="H126" s="6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69"/>
      <c r="T126" s="304"/>
    </row>
    <row r="127" spans="1:20" x14ac:dyDescent="0.2">
      <c r="A127" s="304"/>
      <c r="B127" s="64"/>
      <c r="C127" s="304"/>
      <c r="D127" s="304"/>
      <c r="E127" s="304"/>
      <c r="F127" s="64"/>
      <c r="G127" s="64"/>
      <c r="H127" s="64"/>
      <c r="I127" s="304"/>
      <c r="J127" s="304"/>
      <c r="K127" s="304"/>
      <c r="L127" s="304"/>
      <c r="M127" s="304"/>
      <c r="N127" s="304"/>
      <c r="O127" s="304"/>
      <c r="P127" s="304"/>
      <c r="Q127" s="304"/>
      <c r="R127" s="304"/>
      <c r="S127" s="369"/>
      <c r="T127" s="304"/>
    </row>
    <row r="128" spans="1:20" x14ac:dyDescent="0.2">
      <c r="A128" s="304"/>
      <c r="B128" s="64"/>
      <c r="C128" s="304"/>
      <c r="D128" s="304"/>
      <c r="E128" s="304"/>
      <c r="F128" s="64"/>
      <c r="G128" s="64"/>
      <c r="H128" s="6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69"/>
      <c r="T128" s="304"/>
    </row>
    <row r="129" spans="1:20" x14ac:dyDescent="0.2">
      <c r="A129" s="304"/>
      <c r="B129" s="64"/>
      <c r="C129" s="304"/>
      <c r="D129" s="304"/>
      <c r="E129" s="304"/>
      <c r="F129" s="64"/>
      <c r="G129" s="64"/>
      <c r="H129" s="6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69"/>
      <c r="T129" s="304"/>
    </row>
    <row r="130" spans="1:20" x14ac:dyDescent="0.2">
      <c r="A130" s="304"/>
      <c r="B130" s="64"/>
      <c r="C130" s="304"/>
      <c r="D130" s="304"/>
      <c r="E130" s="304"/>
      <c r="F130" s="64"/>
      <c r="G130" s="64"/>
      <c r="H130" s="6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69"/>
      <c r="T130" s="304"/>
    </row>
    <row r="131" spans="1:20" x14ac:dyDescent="0.2">
      <c r="A131" s="304"/>
      <c r="B131" s="64"/>
      <c r="C131" s="304"/>
      <c r="D131" s="304"/>
      <c r="E131" s="304"/>
      <c r="F131" s="64"/>
      <c r="G131" s="64"/>
      <c r="H131" s="6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69"/>
      <c r="T131" s="304"/>
    </row>
    <row r="132" spans="1:20" x14ac:dyDescent="0.2">
      <c r="A132" s="304"/>
      <c r="B132" s="64"/>
      <c r="C132" s="304"/>
      <c r="D132" s="304"/>
      <c r="E132" s="304"/>
      <c r="F132" s="64"/>
      <c r="G132" s="64"/>
      <c r="H132" s="6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69"/>
      <c r="T132" s="304"/>
    </row>
    <row r="133" spans="1:20" x14ac:dyDescent="0.2">
      <c r="A133" s="304"/>
      <c r="B133" s="64"/>
      <c r="C133" s="304"/>
      <c r="D133" s="304"/>
      <c r="E133" s="304"/>
      <c r="F133" s="64"/>
      <c r="G133" s="64"/>
      <c r="H133" s="64"/>
      <c r="I133" s="304"/>
      <c r="J133" s="304"/>
      <c r="K133" s="304"/>
      <c r="L133" s="304"/>
      <c r="M133" s="304"/>
      <c r="N133" s="304"/>
      <c r="O133" s="304"/>
      <c r="P133" s="304"/>
      <c r="Q133" s="304"/>
      <c r="R133" s="304"/>
      <c r="S133" s="369"/>
      <c r="T133" s="304"/>
    </row>
    <row r="134" spans="1:20" x14ac:dyDescent="0.2">
      <c r="A134" s="304"/>
      <c r="B134" s="64"/>
      <c r="C134" s="304"/>
      <c r="D134" s="304"/>
      <c r="E134" s="304"/>
      <c r="F134" s="64"/>
      <c r="G134" s="64"/>
      <c r="H134" s="6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69"/>
      <c r="T134" s="304"/>
    </row>
    <row r="135" spans="1:20" x14ac:dyDescent="0.2">
      <c r="A135" s="304"/>
      <c r="B135" s="64"/>
      <c r="C135" s="304"/>
      <c r="D135" s="304"/>
      <c r="E135" s="304"/>
      <c r="F135" s="64"/>
      <c r="G135" s="64"/>
      <c r="H135" s="6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69"/>
      <c r="T135" s="304"/>
    </row>
    <row r="136" spans="1:20" x14ac:dyDescent="0.2">
      <c r="A136" s="304"/>
      <c r="B136" s="64"/>
      <c r="C136" s="304"/>
      <c r="D136" s="304"/>
      <c r="E136" s="304"/>
      <c r="F136" s="64"/>
      <c r="G136" s="64"/>
      <c r="H136" s="6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69"/>
      <c r="T136" s="304"/>
    </row>
    <row r="137" spans="1:20" x14ac:dyDescent="0.2">
      <c r="A137" s="304"/>
      <c r="B137" s="64"/>
      <c r="C137" s="304"/>
      <c r="D137" s="304"/>
      <c r="E137" s="304"/>
      <c r="F137" s="64"/>
      <c r="G137" s="64"/>
      <c r="H137" s="6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69"/>
      <c r="T137" s="304"/>
    </row>
    <row r="138" spans="1:20" x14ac:dyDescent="0.2">
      <c r="A138" s="304"/>
      <c r="B138" s="64"/>
      <c r="C138" s="304"/>
      <c r="D138" s="304"/>
      <c r="E138" s="304"/>
      <c r="F138" s="64"/>
      <c r="G138" s="64"/>
      <c r="H138" s="64"/>
      <c r="I138" s="304"/>
      <c r="J138" s="304"/>
      <c r="K138" s="304"/>
      <c r="L138" s="304"/>
      <c r="M138" s="304"/>
      <c r="N138" s="304"/>
      <c r="O138" s="304"/>
      <c r="P138" s="304"/>
      <c r="Q138" s="304"/>
      <c r="R138" s="304"/>
      <c r="S138" s="369"/>
      <c r="T138" s="304"/>
    </row>
    <row r="139" spans="1:20" x14ac:dyDescent="0.2">
      <c r="A139" s="304"/>
      <c r="B139" s="64"/>
      <c r="C139" s="304"/>
      <c r="D139" s="304"/>
      <c r="E139" s="304"/>
      <c r="F139" s="64"/>
      <c r="G139" s="64"/>
      <c r="H139" s="64"/>
      <c r="I139" s="304"/>
      <c r="J139" s="304"/>
      <c r="K139" s="304"/>
      <c r="L139" s="304"/>
      <c r="M139" s="304"/>
      <c r="N139" s="304"/>
      <c r="O139" s="304"/>
      <c r="P139" s="304"/>
      <c r="Q139" s="304"/>
      <c r="R139" s="304"/>
      <c r="S139" s="369"/>
      <c r="T139" s="304"/>
    </row>
    <row r="140" spans="1:20" x14ac:dyDescent="0.2">
      <c r="A140" s="304"/>
      <c r="B140" s="64"/>
      <c r="C140" s="304"/>
      <c r="D140" s="304"/>
      <c r="E140" s="304"/>
      <c r="F140" s="64"/>
      <c r="G140" s="64"/>
      <c r="H140" s="6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69"/>
      <c r="T140" s="304"/>
    </row>
    <row r="141" spans="1:20" x14ac:dyDescent="0.2">
      <c r="A141" s="304"/>
      <c r="B141" s="64"/>
      <c r="C141" s="304"/>
      <c r="D141" s="304"/>
      <c r="E141" s="304"/>
      <c r="F141" s="64"/>
      <c r="G141" s="64"/>
      <c r="H141" s="6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69"/>
      <c r="T141" s="304"/>
    </row>
    <row r="142" spans="1:20" x14ac:dyDescent="0.2">
      <c r="A142" s="304"/>
      <c r="B142" s="64"/>
      <c r="C142" s="304"/>
      <c r="D142" s="304"/>
      <c r="E142" s="304"/>
      <c r="F142" s="64"/>
      <c r="G142" s="64"/>
      <c r="H142" s="6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69"/>
      <c r="T142" s="304"/>
    </row>
    <row r="143" spans="1:20" x14ac:dyDescent="0.2">
      <c r="A143" s="304"/>
      <c r="B143" s="64"/>
      <c r="C143" s="304"/>
      <c r="D143" s="304"/>
      <c r="E143" s="304"/>
      <c r="F143" s="64"/>
      <c r="G143" s="64"/>
      <c r="H143" s="6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69"/>
      <c r="T143" s="304"/>
    </row>
    <row r="144" spans="1:20" x14ac:dyDescent="0.2">
      <c r="A144" s="304"/>
      <c r="B144" s="64"/>
      <c r="C144" s="304"/>
      <c r="D144" s="304"/>
      <c r="E144" s="304"/>
      <c r="F144" s="64"/>
      <c r="G144" s="64"/>
      <c r="H144" s="64"/>
      <c r="I144" s="304"/>
      <c r="J144" s="304"/>
      <c r="K144" s="304"/>
      <c r="L144" s="304"/>
      <c r="M144" s="304"/>
      <c r="N144" s="304"/>
      <c r="O144" s="304"/>
      <c r="P144" s="304"/>
      <c r="Q144" s="304"/>
      <c r="R144" s="304"/>
      <c r="S144" s="369"/>
      <c r="T144" s="304"/>
    </row>
    <row r="145" spans="1:20" x14ac:dyDescent="0.2">
      <c r="A145" s="304"/>
      <c r="B145" s="64"/>
      <c r="C145" s="304"/>
      <c r="D145" s="304"/>
      <c r="E145" s="304"/>
      <c r="F145" s="64"/>
      <c r="G145" s="64"/>
      <c r="H145" s="6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69"/>
      <c r="T145" s="304"/>
    </row>
    <row r="146" spans="1:20" x14ac:dyDescent="0.2">
      <c r="A146" s="304"/>
      <c r="B146" s="64"/>
      <c r="C146" s="304"/>
      <c r="D146" s="304"/>
      <c r="E146" s="304"/>
      <c r="F146" s="64"/>
      <c r="G146" s="64"/>
      <c r="H146" s="6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69"/>
      <c r="T146" s="304"/>
    </row>
    <row r="147" spans="1:20" x14ac:dyDescent="0.2">
      <c r="A147" s="304"/>
      <c r="B147" s="64"/>
      <c r="C147" s="304"/>
      <c r="D147" s="304"/>
      <c r="E147" s="304"/>
      <c r="F147" s="64"/>
      <c r="G147" s="64"/>
      <c r="H147" s="6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69"/>
      <c r="T147" s="304"/>
    </row>
    <row r="148" spans="1:20" x14ac:dyDescent="0.2">
      <c r="A148" s="304"/>
      <c r="B148" s="64"/>
      <c r="C148" s="304"/>
      <c r="D148" s="304"/>
      <c r="E148" s="304"/>
      <c r="F148" s="64"/>
      <c r="G148" s="64"/>
      <c r="H148" s="6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69"/>
      <c r="T148" s="304"/>
    </row>
    <row r="149" spans="1:20" x14ac:dyDescent="0.2">
      <c r="A149" s="304"/>
      <c r="B149" s="64"/>
      <c r="C149" s="304"/>
      <c r="D149" s="304"/>
      <c r="E149" s="304"/>
      <c r="F149" s="64"/>
      <c r="G149" s="64"/>
      <c r="H149" s="6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69"/>
      <c r="T149" s="304"/>
    </row>
    <row r="150" spans="1:20" x14ac:dyDescent="0.2">
      <c r="A150" s="304"/>
      <c r="B150" s="64"/>
      <c r="C150" s="304"/>
      <c r="D150" s="304"/>
      <c r="E150" s="304"/>
      <c r="F150" s="64"/>
      <c r="G150" s="64"/>
      <c r="H150" s="6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69"/>
      <c r="T150" s="304"/>
    </row>
    <row r="151" spans="1:20" x14ac:dyDescent="0.2">
      <c r="A151" s="304"/>
      <c r="B151" s="64"/>
      <c r="C151" s="304"/>
      <c r="D151" s="304"/>
      <c r="E151" s="304"/>
      <c r="F151" s="64"/>
      <c r="G151" s="64"/>
      <c r="H151" s="6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69"/>
      <c r="T151" s="304"/>
    </row>
    <row r="152" spans="1:20" x14ac:dyDescent="0.2">
      <c r="A152" s="304"/>
      <c r="B152" s="64"/>
      <c r="C152" s="304"/>
      <c r="D152" s="304"/>
      <c r="E152" s="304"/>
      <c r="F152" s="64"/>
      <c r="G152" s="64"/>
      <c r="H152" s="6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69"/>
      <c r="T152" s="304"/>
    </row>
    <row r="153" spans="1:20" x14ac:dyDescent="0.2">
      <c r="A153" s="304"/>
      <c r="B153" s="64"/>
      <c r="C153" s="304"/>
      <c r="D153" s="304"/>
      <c r="E153" s="304"/>
      <c r="F153" s="64"/>
      <c r="G153" s="64"/>
      <c r="H153" s="6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69"/>
      <c r="T153" s="304"/>
    </row>
    <row r="154" spans="1:20" x14ac:dyDescent="0.2">
      <c r="A154" s="304"/>
      <c r="B154" s="64"/>
      <c r="C154" s="304"/>
      <c r="D154" s="304"/>
      <c r="E154" s="304"/>
      <c r="F154" s="64"/>
      <c r="G154" s="64"/>
      <c r="H154" s="64"/>
      <c r="I154" s="304"/>
      <c r="J154" s="304"/>
      <c r="K154" s="304"/>
      <c r="L154" s="304"/>
      <c r="M154" s="304"/>
      <c r="N154" s="304"/>
      <c r="O154" s="304"/>
      <c r="P154" s="304"/>
      <c r="Q154" s="304"/>
      <c r="R154" s="304"/>
      <c r="S154" s="369"/>
      <c r="T154" s="304"/>
    </row>
    <row r="155" spans="1:20" x14ac:dyDescent="0.2">
      <c r="A155" s="304"/>
      <c r="B155" s="64"/>
      <c r="C155" s="304"/>
      <c r="D155" s="304"/>
      <c r="E155" s="304"/>
      <c r="F155" s="64"/>
      <c r="G155" s="64"/>
      <c r="H155" s="6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69"/>
      <c r="T155" s="304"/>
    </row>
    <row r="156" spans="1:20" x14ac:dyDescent="0.2">
      <c r="A156" s="304"/>
      <c r="B156" s="64"/>
      <c r="C156" s="304"/>
      <c r="D156" s="304"/>
      <c r="E156" s="304"/>
      <c r="F156" s="64"/>
      <c r="G156" s="64"/>
      <c r="H156" s="6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69"/>
      <c r="T156" s="304"/>
    </row>
    <row r="157" spans="1:20" x14ac:dyDescent="0.2">
      <c r="A157" s="304"/>
      <c r="B157" s="64"/>
      <c r="C157" s="304"/>
      <c r="D157" s="304"/>
      <c r="E157" s="304"/>
      <c r="F157" s="64"/>
      <c r="G157" s="64"/>
      <c r="H157" s="6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69"/>
      <c r="T157" s="304"/>
    </row>
    <row r="158" spans="1:20" x14ac:dyDescent="0.2">
      <c r="A158" s="304"/>
      <c r="B158" s="64"/>
      <c r="C158" s="304"/>
      <c r="D158" s="304"/>
      <c r="E158" s="304"/>
      <c r="F158" s="64"/>
      <c r="G158" s="64"/>
      <c r="H158" s="6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69"/>
      <c r="T158" s="304"/>
    </row>
    <row r="159" spans="1:20" x14ac:dyDescent="0.2">
      <c r="A159" s="304"/>
      <c r="B159" s="64"/>
      <c r="C159" s="304"/>
      <c r="D159" s="304"/>
      <c r="E159" s="304"/>
      <c r="F159" s="64"/>
      <c r="G159" s="64"/>
      <c r="H159" s="64"/>
      <c r="I159" s="304"/>
      <c r="J159" s="304"/>
      <c r="K159" s="304"/>
      <c r="L159" s="304"/>
      <c r="M159" s="304"/>
      <c r="N159" s="304"/>
      <c r="O159" s="304"/>
      <c r="P159" s="304"/>
      <c r="Q159" s="304"/>
      <c r="R159" s="304"/>
      <c r="S159" s="369"/>
      <c r="T159" s="304"/>
    </row>
    <row r="160" spans="1:20" x14ac:dyDescent="0.2">
      <c r="A160" s="304"/>
      <c r="B160" s="64"/>
      <c r="C160" s="304"/>
      <c r="D160" s="304"/>
      <c r="E160" s="304"/>
      <c r="F160" s="64"/>
      <c r="G160" s="64"/>
      <c r="H160" s="64"/>
      <c r="I160" s="304"/>
      <c r="J160" s="304"/>
      <c r="K160" s="304"/>
      <c r="L160" s="304"/>
      <c r="M160" s="304"/>
      <c r="N160" s="304"/>
      <c r="O160" s="304"/>
      <c r="P160" s="304"/>
      <c r="Q160" s="304"/>
      <c r="R160" s="304"/>
      <c r="S160" s="369"/>
      <c r="T160" s="304"/>
    </row>
    <row r="161" spans="1:20" x14ac:dyDescent="0.2">
      <c r="A161" s="304"/>
      <c r="B161" s="64"/>
      <c r="C161" s="304"/>
      <c r="D161" s="304"/>
      <c r="E161" s="304"/>
      <c r="F161" s="64"/>
      <c r="G161" s="64"/>
      <c r="H161" s="6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69"/>
      <c r="T161" s="304"/>
    </row>
    <row r="162" spans="1:20" x14ac:dyDescent="0.2">
      <c r="A162" s="304"/>
      <c r="B162" s="64"/>
      <c r="C162" s="304"/>
      <c r="D162" s="304"/>
      <c r="E162" s="304"/>
      <c r="F162" s="64"/>
      <c r="G162" s="64"/>
      <c r="H162" s="6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69"/>
      <c r="T162" s="304"/>
    </row>
    <row r="163" spans="1:20" x14ac:dyDescent="0.2">
      <c r="A163" s="304"/>
      <c r="B163" s="64"/>
      <c r="C163" s="304"/>
      <c r="D163" s="304"/>
      <c r="E163" s="304"/>
      <c r="F163" s="64"/>
      <c r="G163" s="64"/>
      <c r="H163" s="6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69"/>
      <c r="T163" s="304"/>
    </row>
    <row r="164" spans="1:20" x14ac:dyDescent="0.2">
      <c r="A164" s="304"/>
      <c r="B164" s="64"/>
      <c r="C164" s="304"/>
      <c r="D164" s="304"/>
      <c r="E164" s="304"/>
      <c r="F164" s="64"/>
      <c r="G164" s="64"/>
      <c r="H164" s="6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69"/>
      <c r="T164" s="304"/>
    </row>
    <row r="165" spans="1:20" x14ac:dyDescent="0.2">
      <c r="A165" s="304"/>
      <c r="B165" s="64"/>
      <c r="C165" s="304"/>
      <c r="D165" s="304"/>
      <c r="E165" s="304"/>
      <c r="F165" s="64"/>
      <c r="G165" s="64"/>
      <c r="H165" s="64"/>
      <c r="I165" s="304"/>
      <c r="J165" s="304"/>
      <c r="K165" s="304"/>
      <c r="L165" s="304"/>
      <c r="M165" s="304"/>
      <c r="N165" s="304"/>
      <c r="O165" s="304"/>
      <c r="P165" s="304"/>
      <c r="Q165" s="304"/>
      <c r="R165" s="304"/>
      <c r="S165" s="369"/>
      <c r="T165" s="304"/>
    </row>
    <row r="166" spans="1:20" x14ac:dyDescent="0.2">
      <c r="A166" s="304"/>
      <c r="B166" s="64"/>
      <c r="C166" s="304"/>
      <c r="D166" s="304"/>
      <c r="E166" s="304"/>
      <c r="F166" s="64"/>
      <c r="G166" s="64"/>
      <c r="H166" s="64"/>
      <c r="I166" s="304"/>
      <c r="J166" s="304"/>
      <c r="K166" s="304"/>
      <c r="L166" s="304"/>
      <c r="M166" s="304"/>
      <c r="N166" s="304"/>
      <c r="O166" s="304"/>
      <c r="P166" s="304"/>
      <c r="Q166" s="304"/>
      <c r="R166" s="304"/>
      <c r="S166" s="369"/>
      <c r="T166" s="304"/>
    </row>
    <row r="167" spans="1:20" x14ac:dyDescent="0.2">
      <c r="A167" s="304"/>
      <c r="B167" s="64"/>
      <c r="C167" s="304"/>
      <c r="D167" s="304"/>
      <c r="E167" s="304"/>
      <c r="F167" s="64"/>
      <c r="G167" s="64"/>
      <c r="H167" s="6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69"/>
      <c r="T167" s="304"/>
    </row>
    <row r="168" spans="1:20" x14ac:dyDescent="0.2">
      <c r="A168" s="304"/>
      <c r="B168" s="64"/>
      <c r="C168" s="304"/>
      <c r="D168" s="304"/>
      <c r="E168" s="304"/>
      <c r="F168" s="64"/>
      <c r="G168" s="64"/>
      <c r="H168" s="6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69"/>
      <c r="T168" s="304"/>
    </row>
    <row r="169" spans="1:20" x14ac:dyDescent="0.2">
      <c r="A169" s="304"/>
      <c r="B169" s="64"/>
      <c r="C169" s="304"/>
      <c r="D169" s="304"/>
      <c r="E169" s="304"/>
      <c r="F169" s="64"/>
      <c r="G169" s="64"/>
      <c r="H169" s="6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69"/>
      <c r="T169" s="304"/>
    </row>
    <row r="170" spans="1:20" x14ac:dyDescent="0.2">
      <c r="A170" s="304"/>
      <c r="B170" s="64"/>
      <c r="C170" s="304"/>
      <c r="D170" s="304"/>
      <c r="E170" s="304"/>
      <c r="F170" s="64"/>
      <c r="G170" s="64"/>
      <c r="H170" s="6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69"/>
      <c r="T170" s="304"/>
    </row>
    <row r="171" spans="1:20" x14ac:dyDescent="0.2">
      <c r="A171" s="304"/>
      <c r="B171" s="64"/>
      <c r="C171" s="304"/>
      <c r="D171" s="304"/>
      <c r="E171" s="304"/>
      <c r="F171" s="64"/>
      <c r="G171" s="64"/>
      <c r="H171" s="64"/>
      <c r="I171" s="304"/>
      <c r="J171" s="304"/>
      <c r="K171" s="304"/>
      <c r="L171" s="304"/>
      <c r="M171" s="304"/>
      <c r="N171" s="304"/>
      <c r="O171" s="304"/>
      <c r="P171" s="304"/>
      <c r="Q171" s="304"/>
      <c r="R171" s="304"/>
      <c r="S171" s="369"/>
      <c r="T171" s="304"/>
    </row>
    <row r="172" spans="1:20" x14ac:dyDescent="0.2">
      <c r="A172" s="304"/>
      <c r="B172" s="64"/>
      <c r="C172" s="304"/>
      <c r="D172" s="304"/>
      <c r="E172" s="304"/>
      <c r="F172" s="64"/>
      <c r="G172" s="64"/>
      <c r="H172" s="64"/>
      <c r="I172" s="304"/>
      <c r="J172" s="304"/>
      <c r="K172" s="304"/>
      <c r="L172" s="304"/>
      <c r="M172" s="304"/>
      <c r="N172" s="304"/>
      <c r="O172" s="304"/>
      <c r="P172" s="304"/>
      <c r="Q172" s="304"/>
      <c r="R172" s="304"/>
      <c r="S172" s="369"/>
      <c r="T172" s="304"/>
    </row>
    <row r="173" spans="1:20" x14ac:dyDescent="0.2">
      <c r="A173" s="304"/>
      <c r="B173" s="64"/>
      <c r="C173" s="304"/>
      <c r="D173" s="304"/>
      <c r="E173" s="304"/>
      <c r="F173" s="64"/>
      <c r="G173" s="64"/>
      <c r="H173" s="6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69"/>
      <c r="T173" s="304"/>
    </row>
    <row r="174" spans="1:20" x14ac:dyDescent="0.2">
      <c r="A174" s="304"/>
      <c r="B174" s="64"/>
      <c r="C174" s="304"/>
      <c r="D174" s="304"/>
      <c r="E174" s="304"/>
      <c r="F174" s="64"/>
      <c r="G174" s="64"/>
      <c r="H174" s="6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69"/>
      <c r="T174" s="304"/>
    </row>
    <row r="175" spans="1:20" x14ac:dyDescent="0.2">
      <c r="A175" s="304"/>
      <c r="B175" s="64"/>
      <c r="C175" s="304"/>
      <c r="D175" s="304"/>
      <c r="E175" s="304"/>
      <c r="F175" s="64"/>
      <c r="G175" s="64"/>
      <c r="H175" s="6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69"/>
      <c r="T175" s="304"/>
    </row>
    <row r="176" spans="1:20" x14ac:dyDescent="0.2">
      <c r="A176" s="304"/>
      <c r="B176" s="64"/>
      <c r="C176" s="304"/>
      <c r="D176" s="304"/>
      <c r="E176" s="304"/>
      <c r="F176" s="64"/>
      <c r="G176" s="64"/>
      <c r="H176" s="6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69"/>
      <c r="T176" s="304"/>
    </row>
    <row r="177" spans="1:20" x14ac:dyDescent="0.2">
      <c r="A177" s="304"/>
      <c r="B177" s="64"/>
      <c r="C177" s="304"/>
      <c r="D177" s="304"/>
      <c r="E177" s="304"/>
      <c r="F177" s="64"/>
      <c r="G177" s="64"/>
      <c r="H177" s="64"/>
      <c r="I177" s="304"/>
      <c r="J177" s="304"/>
      <c r="K177" s="304"/>
      <c r="L177" s="304"/>
      <c r="M177" s="304"/>
      <c r="N177" s="304"/>
      <c r="O177" s="304"/>
      <c r="P177" s="304"/>
      <c r="Q177" s="304"/>
      <c r="R177" s="304"/>
      <c r="S177" s="369"/>
      <c r="T177" s="304"/>
    </row>
    <row r="178" spans="1:20" x14ac:dyDescent="0.2">
      <c r="A178" s="304"/>
      <c r="B178" s="64"/>
      <c r="C178" s="304"/>
      <c r="D178" s="304"/>
      <c r="E178" s="304"/>
      <c r="F178" s="64"/>
      <c r="G178" s="64"/>
      <c r="H178" s="6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  <c r="S178" s="369"/>
      <c r="T178" s="304"/>
    </row>
    <row r="179" spans="1:20" x14ac:dyDescent="0.2">
      <c r="A179" s="304"/>
      <c r="B179" s="64"/>
      <c r="C179" s="304"/>
      <c r="D179" s="304"/>
      <c r="E179" s="304"/>
      <c r="F179" s="64"/>
      <c r="G179" s="64"/>
      <c r="H179" s="6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4"/>
      <c r="S179" s="369"/>
      <c r="T179" s="304"/>
    </row>
  </sheetData>
  <dataConsolidate/>
  <mergeCells count="28">
    <mergeCell ref="AL50:AQ50"/>
    <mergeCell ref="AD57:AI57"/>
    <mergeCell ref="C1:I1"/>
    <mergeCell ref="K1:R1"/>
    <mergeCell ref="A4:A5"/>
    <mergeCell ref="A6:A8"/>
    <mergeCell ref="A9:A13"/>
    <mergeCell ref="AI17:AJ17"/>
    <mergeCell ref="Z19:AB19"/>
    <mergeCell ref="AB20:AC20"/>
    <mergeCell ref="AD20:AE20"/>
    <mergeCell ref="A21:A24"/>
    <mergeCell ref="V24:W24"/>
    <mergeCell ref="A15:A20"/>
    <mergeCell ref="AD37:AI37"/>
    <mergeCell ref="A39:A40"/>
    <mergeCell ref="A41:A43"/>
    <mergeCell ref="A45:A48"/>
    <mergeCell ref="A26:A27"/>
    <mergeCell ref="A28:A32"/>
    <mergeCell ref="S28:S32"/>
    <mergeCell ref="T28:T32"/>
    <mergeCell ref="A49:A50"/>
    <mergeCell ref="A51:A52"/>
    <mergeCell ref="A53:A54"/>
    <mergeCell ref="A55:A56"/>
    <mergeCell ref="A33:A35"/>
    <mergeCell ref="A36:A37"/>
  </mergeCells>
  <conditionalFormatting sqref="Q3:Q56">
    <cfRule type="cellIs" dxfId="37" priority="9" operator="lessThan">
      <formula>0</formula>
    </cfRule>
  </conditionalFormatting>
  <conditionalFormatting sqref="R3:R56">
    <cfRule type="containsText" dxfId="36" priority="8" operator="containsText" text="Yes">
      <formula>NOT(ISERROR(SEARCH("Yes",R3)))</formula>
    </cfRule>
  </conditionalFormatting>
  <conditionalFormatting sqref="M3:M56">
    <cfRule type="expression" dxfId="35" priority="7">
      <formula>(M3&lt;F3)</formula>
    </cfRule>
  </conditionalFormatting>
  <conditionalFormatting sqref="AE39:AJ50">
    <cfRule type="cellIs" dxfId="34" priority="6" operator="greaterThan">
      <formula>0</formula>
    </cfRule>
  </conditionalFormatting>
  <conditionalFormatting sqref="AN67:AR71">
    <cfRule type="cellIs" dxfId="33" priority="5" operator="greaterThan">
      <formula>0</formula>
    </cfRule>
  </conditionalFormatting>
  <conditionalFormatting sqref="AM52:AR63">
    <cfRule type="cellIs" dxfId="32" priority="4" operator="greaterThan">
      <formula>0</formula>
    </cfRule>
  </conditionalFormatting>
  <conditionalFormatting sqref="AJ59:AJ70">
    <cfRule type="cellIs" dxfId="31" priority="3" operator="greaterThan">
      <formula>0</formula>
    </cfRule>
  </conditionalFormatting>
  <conditionalFormatting sqref="AF59:AI70">
    <cfRule type="cellIs" dxfId="30" priority="2" operator="greaterThan">
      <formula>0</formula>
    </cfRule>
  </conditionalFormatting>
  <conditionalFormatting sqref="AE59:AE70">
    <cfRule type="cellIs" dxfId="29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9"/>
  <sheetViews>
    <sheetView topLeftCell="X37" zoomScale="120" zoomScaleNormal="120" workbookViewId="0">
      <selection activeCell="AN76" sqref="AN76"/>
    </sheetView>
  </sheetViews>
  <sheetFormatPr defaultColWidth="9" defaultRowHeight="12.75" x14ac:dyDescent="0.2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33.8554687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16384" width="9" style="5"/>
  </cols>
  <sheetData>
    <row r="1" spans="1:31" ht="14.25" customHeight="1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9"/>
      <c r="J1" s="366"/>
      <c r="K1" s="465" t="s">
        <v>451</v>
      </c>
      <c r="L1" s="466"/>
      <c r="M1" s="466"/>
      <c r="N1" s="466"/>
      <c r="O1" s="466"/>
      <c r="P1" s="466"/>
      <c r="Q1" s="466"/>
      <c r="R1" s="520"/>
      <c r="S1" s="7"/>
      <c r="T1" s="7"/>
    </row>
    <row r="2" spans="1:31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90" t="s">
        <v>33</v>
      </c>
      <c r="F2" s="190" t="s">
        <v>447</v>
      </c>
      <c r="G2" s="190" t="s">
        <v>459</v>
      </c>
      <c r="H2" s="190" t="s">
        <v>461</v>
      </c>
      <c r="I2" s="189" t="s">
        <v>444</v>
      </c>
      <c r="J2" s="251" t="s">
        <v>458</v>
      </c>
      <c r="K2" s="188" t="s">
        <v>446</v>
      </c>
      <c r="L2" s="188" t="s">
        <v>34</v>
      </c>
      <c r="M2" s="188" t="s">
        <v>33</v>
      </c>
      <c r="N2" s="187" t="s">
        <v>445</v>
      </c>
      <c r="O2" s="186" t="s">
        <v>459</v>
      </c>
      <c r="P2" s="186" t="s">
        <v>461</v>
      </c>
      <c r="Q2" s="186" t="s">
        <v>444</v>
      </c>
      <c r="R2" s="241" t="s">
        <v>457</v>
      </c>
      <c r="S2" s="369"/>
      <c r="T2" s="304"/>
    </row>
    <row r="3" spans="1:31" ht="13.5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179">
        <v>400</v>
      </c>
      <c r="F3" s="179">
        <v>131.95400000000001</v>
      </c>
      <c r="G3" s="85">
        <v>2</v>
      </c>
      <c r="H3" s="179">
        <f>G3*F3</f>
        <v>263.90800000000002</v>
      </c>
      <c r="I3" s="178">
        <f t="shared" ref="I3:I13" si="0">E3-F3</f>
        <v>268.04599999999999</v>
      </c>
      <c r="J3" s="179">
        <f>H3/E3*100</f>
        <v>65.977000000000004</v>
      </c>
      <c r="K3" s="177" t="s">
        <v>435</v>
      </c>
      <c r="L3" s="177">
        <v>598.85</v>
      </c>
      <c r="M3" s="177">
        <v>300</v>
      </c>
      <c r="N3" s="176">
        <f t="shared" ref="N3:N13" si="1">F3</f>
        <v>131.95400000000001</v>
      </c>
      <c r="O3" s="101">
        <v>2</v>
      </c>
      <c r="P3" s="240">
        <f>O3*N3</f>
        <v>263.90800000000002</v>
      </c>
      <c r="Q3" s="280">
        <f>M3-P3</f>
        <v>36.091999999999985</v>
      </c>
      <c r="R3" s="176" t="str">
        <f t="shared" ref="R3:R9" si="2">IF(Q3&gt;=0,"No","Yes")</f>
        <v>No</v>
      </c>
      <c r="S3" s="369"/>
      <c r="T3" s="369"/>
    </row>
    <row r="4" spans="1:31" ht="13.5" thickBot="1" x14ac:dyDescent="0.25">
      <c r="A4" s="480" t="s">
        <v>44</v>
      </c>
      <c r="B4" s="174" t="s">
        <v>3</v>
      </c>
      <c r="C4" s="173" t="s">
        <v>44</v>
      </c>
      <c r="D4" s="172">
        <v>424.31</v>
      </c>
      <c r="E4" s="172">
        <v>200</v>
      </c>
      <c r="F4" s="172">
        <v>79.758499999999998</v>
      </c>
      <c r="G4" s="269">
        <v>2</v>
      </c>
      <c r="H4" s="179">
        <f t="shared" ref="H4:H56" si="3">G4*F4</f>
        <v>159.517</v>
      </c>
      <c r="I4" s="171">
        <f t="shared" si="0"/>
        <v>120.2415</v>
      </c>
      <c r="J4" s="179">
        <f t="shared" ref="J4:J13" si="4">H4/E4*100</f>
        <v>79.758499999999998</v>
      </c>
      <c r="K4" s="170" t="s">
        <v>434</v>
      </c>
      <c r="L4" s="170">
        <v>561.44000000000005</v>
      </c>
      <c r="M4" s="170">
        <v>150</v>
      </c>
      <c r="N4" s="169">
        <f t="shared" si="1"/>
        <v>79.758499999999998</v>
      </c>
      <c r="O4" s="273">
        <v>2</v>
      </c>
      <c r="P4" s="240">
        <f t="shared" ref="P4:P56" si="5">O4*N4</f>
        <v>159.517</v>
      </c>
      <c r="Q4" s="280">
        <f t="shared" ref="Q4:Q13" si="6">M4-P4</f>
        <v>-9.5169999999999959</v>
      </c>
      <c r="R4" s="177" t="str">
        <f t="shared" si="2"/>
        <v>Yes</v>
      </c>
      <c r="S4" s="369"/>
      <c r="T4" s="369"/>
    </row>
    <row r="5" spans="1:31" ht="14.25" customHeight="1" thickBot="1" x14ac:dyDescent="0.25">
      <c r="A5" s="464"/>
      <c r="B5" s="63" t="s">
        <v>25</v>
      </c>
      <c r="C5" s="116" t="s">
        <v>65</v>
      </c>
      <c r="D5" s="95">
        <v>645.40499999999997</v>
      </c>
      <c r="E5" s="95">
        <v>300</v>
      </c>
      <c r="F5" s="94">
        <v>101.52370000000001</v>
      </c>
      <c r="G5" s="271">
        <v>2</v>
      </c>
      <c r="H5" s="179">
        <f t="shared" si="3"/>
        <v>203.04740000000001</v>
      </c>
      <c r="I5" s="94">
        <f t="shared" si="0"/>
        <v>198.47629999999998</v>
      </c>
      <c r="J5" s="179">
        <f t="shared" si="4"/>
        <v>67.68246666666667</v>
      </c>
      <c r="K5" s="93" t="s">
        <v>429</v>
      </c>
      <c r="L5" s="93">
        <v>691.82</v>
      </c>
      <c r="M5" s="93">
        <v>300</v>
      </c>
      <c r="N5" s="92">
        <f t="shared" si="1"/>
        <v>101.52370000000001</v>
      </c>
      <c r="O5" s="274">
        <v>2</v>
      </c>
      <c r="P5" s="240">
        <f t="shared" si="5"/>
        <v>203.04740000000001</v>
      </c>
      <c r="Q5" s="280">
        <f t="shared" si="6"/>
        <v>96.95259999999999</v>
      </c>
      <c r="R5" s="177" t="str">
        <f t="shared" si="2"/>
        <v>No</v>
      </c>
      <c r="S5" s="367" t="s">
        <v>440</v>
      </c>
      <c r="T5" s="367" t="s">
        <v>456</v>
      </c>
    </row>
    <row r="6" spans="1:31" ht="13.5" thickBot="1" x14ac:dyDescent="0.25">
      <c r="A6" s="462" t="s">
        <v>433</v>
      </c>
      <c r="B6" s="87" t="s">
        <v>432</v>
      </c>
      <c r="C6" s="86" t="s">
        <v>392</v>
      </c>
      <c r="D6" s="85">
        <v>774.56</v>
      </c>
      <c r="E6" s="85">
        <v>1500</v>
      </c>
      <c r="F6" s="85">
        <v>593.39</v>
      </c>
      <c r="G6" s="269">
        <v>2</v>
      </c>
      <c r="H6" s="179">
        <f t="shared" si="3"/>
        <v>1186.78</v>
      </c>
      <c r="I6" s="84">
        <f t="shared" si="0"/>
        <v>906.61</v>
      </c>
      <c r="J6" s="179">
        <f t="shared" si="4"/>
        <v>79.118666666666655</v>
      </c>
      <c r="K6" s="83" t="s">
        <v>431</v>
      </c>
      <c r="L6" s="83">
        <v>778.62</v>
      </c>
      <c r="M6" s="83">
        <v>1500</v>
      </c>
      <c r="N6" s="82">
        <f t="shared" si="1"/>
        <v>593.39</v>
      </c>
      <c r="O6" s="273">
        <v>2</v>
      </c>
      <c r="P6" s="240">
        <f t="shared" si="5"/>
        <v>1186.78</v>
      </c>
      <c r="Q6" s="280">
        <f t="shared" si="6"/>
        <v>313.22000000000003</v>
      </c>
      <c r="R6" s="177" t="str">
        <f t="shared" si="2"/>
        <v>No</v>
      </c>
      <c r="S6" s="213"/>
      <c r="T6" s="212"/>
    </row>
    <row r="7" spans="1:31" ht="14.25" customHeight="1" thickBot="1" x14ac:dyDescent="0.25">
      <c r="A7" s="464"/>
      <c r="B7" s="97" t="s">
        <v>4</v>
      </c>
      <c r="C7" s="96" t="s">
        <v>45</v>
      </c>
      <c r="D7" s="110">
        <v>221.095</v>
      </c>
      <c r="E7" s="110">
        <v>500</v>
      </c>
      <c r="F7" s="110">
        <v>165.54</v>
      </c>
      <c r="G7" s="271">
        <v>2</v>
      </c>
      <c r="H7" s="179">
        <f t="shared" si="3"/>
        <v>331.08</v>
      </c>
      <c r="I7" s="109">
        <f t="shared" si="0"/>
        <v>334.46000000000004</v>
      </c>
      <c r="J7" s="179">
        <f t="shared" si="4"/>
        <v>66.215999999999994</v>
      </c>
      <c r="K7" s="108" t="s">
        <v>430</v>
      </c>
      <c r="L7" s="108">
        <v>904.18</v>
      </c>
      <c r="M7" s="108">
        <v>300</v>
      </c>
      <c r="N7" s="107">
        <f t="shared" si="1"/>
        <v>165.54</v>
      </c>
      <c r="O7" s="274">
        <v>2</v>
      </c>
      <c r="P7" s="240">
        <f t="shared" si="5"/>
        <v>331.08</v>
      </c>
      <c r="Q7" s="280">
        <f t="shared" si="6"/>
        <v>-31.079999999999984</v>
      </c>
      <c r="R7" s="291" t="str">
        <f t="shared" si="2"/>
        <v>Yes</v>
      </c>
      <c r="S7" s="250" t="s">
        <v>351</v>
      </c>
      <c r="T7" s="234" t="s">
        <v>351</v>
      </c>
    </row>
    <row r="8" spans="1:31" ht="14.25" customHeight="1" thickBot="1" x14ac:dyDescent="0.25">
      <c r="A8" s="464"/>
      <c r="B8" s="97" t="s">
        <v>25</v>
      </c>
      <c r="C8" s="96" t="s">
        <v>65</v>
      </c>
      <c r="D8" s="95">
        <v>645.40499999999997</v>
      </c>
      <c r="E8" s="95">
        <v>300</v>
      </c>
      <c r="F8" s="95">
        <v>101.52370000000001</v>
      </c>
      <c r="G8" s="271">
        <v>2</v>
      </c>
      <c r="H8" s="179">
        <f t="shared" si="3"/>
        <v>203.04740000000001</v>
      </c>
      <c r="I8" s="94">
        <f t="shared" si="0"/>
        <v>198.47629999999998</v>
      </c>
      <c r="J8" s="179">
        <f t="shared" si="4"/>
        <v>67.68246666666667</v>
      </c>
      <c r="K8" s="93" t="s">
        <v>429</v>
      </c>
      <c r="L8" s="93">
        <v>691.82</v>
      </c>
      <c r="M8" s="93">
        <v>300</v>
      </c>
      <c r="N8" s="92">
        <f t="shared" si="1"/>
        <v>101.52370000000001</v>
      </c>
      <c r="O8" s="274">
        <v>2</v>
      </c>
      <c r="P8" s="240">
        <f t="shared" si="5"/>
        <v>203.04740000000001</v>
      </c>
      <c r="Q8" s="280">
        <f t="shared" si="6"/>
        <v>96.95259999999999</v>
      </c>
      <c r="R8" s="177" t="str">
        <f t="shared" si="2"/>
        <v>No</v>
      </c>
      <c r="S8" s="249"/>
      <c r="T8" s="234"/>
    </row>
    <row r="9" spans="1:31" ht="13.5" thickBot="1" x14ac:dyDescent="0.25">
      <c r="A9" s="462" t="s">
        <v>46</v>
      </c>
      <c r="B9" s="87" t="s">
        <v>5</v>
      </c>
      <c r="C9" s="86" t="s">
        <v>46</v>
      </c>
      <c r="D9" s="85">
        <v>87.444999999999993</v>
      </c>
      <c r="E9" s="85">
        <v>900</v>
      </c>
      <c r="F9" s="85">
        <v>330.03719999999998</v>
      </c>
      <c r="G9" s="269">
        <v>2</v>
      </c>
      <c r="H9" s="179">
        <f t="shared" si="3"/>
        <v>660.07439999999997</v>
      </c>
      <c r="I9" s="84">
        <f t="shared" si="0"/>
        <v>569.96280000000002</v>
      </c>
      <c r="J9" s="179">
        <f t="shared" si="4"/>
        <v>73.3416</v>
      </c>
      <c r="K9" s="83" t="s">
        <v>428</v>
      </c>
      <c r="L9" s="83">
        <v>243.73500000000001</v>
      </c>
      <c r="M9" s="83">
        <v>750</v>
      </c>
      <c r="N9" s="82">
        <f t="shared" si="1"/>
        <v>330.03719999999998</v>
      </c>
      <c r="O9" s="273">
        <v>2</v>
      </c>
      <c r="P9" s="240">
        <f t="shared" si="5"/>
        <v>660.07439999999997</v>
      </c>
      <c r="Q9" s="280">
        <f t="shared" si="6"/>
        <v>89.925600000000031</v>
      </c>
      <c r="R9" s="176" t="str">
        <f t="shared" si="2"/>
        <v>No</v>
      </c>
      <c r="S9" s="229"/>
      <c r="T9" s="229"/>
      <c r="U9" s="242"/>
    </row>
    <row r="10" spans="1:31" ht="14.25" customHeight="1" thickBot="1" x14ac:dyDescent="0.25">
      <c r="A10" s="464"/>
      <c r="B10" s="97" t="s">
        <v>7</v>
      </c>
      <c r="C10" s="96" t="s">
        <v>48</v>
      </c>
      <c r="D10" s="110">
        <v>457.755</v>
      </c>
      <c r="E10" s="110">
        <v>600</v>
      </c>
      <c r="F10" s="110">
        <v>200.11</v>
      </c>
      <c r="G10" s="271">
        <v>2</v>
      </c>
      <c r="H10" s="179">
        <f t="shared" si="3"/>
        <v>400.22</v>
      </c>
      <c r="I10" s="109">
        <f t="shared" si="0"/>
        <v>399.89</v>
      </c>
      <c r="J10" s="179">
        <f t="shared" si="4"/>
        <v>66.703333333333333</v>
      </c>
      <c r="K10" s="108" t="s">
        <v>427</v>
      </c>
      <c r="L10" s="108">
        <v>614.06500000000005</v>
      </c>
      <c r="M10" s="108">
        <v>450</v>
      </c>
      <c r="N10" s="107">
        <f t="shared" si="1"/>
        <v>200.11</v>
      </c>
      <c r="O10" s="274">
        <v>2</v>
      </c>
      <c r="P10" s="240">
        <f t="shared" si="5"/>
        <v>400.22</v>
      </c>
      <c r="Q10" s="280">
        <f t="shared" si="6"/>
        <v>49.779999999999973</v>
      </c>
      <c r="R10" s="248" t="s">
        <v>467</v>
      </c>
      <c r="S10" s="369"/>
      <c r="T10" s="369"/>
      <c r="U10" s="242"/>
    </row>
    <row r="11" spans="1:31" ht="14.25" customHeight="1" thickBot="1" x14ac:dyDescent="0.25">
      <c r="A11" s="464"/>
      <c r="B11" s="97" t="s">
        <v>8</v>
      </c>
      <c r="C11" s="96" t="s">
        <v>74</v>
      </c>
      <c r="D11" s="110">
        <v>632.29</v>
      </c>
      <c r="E11" s="110">
        <v>1050</v>
      </c>
      <c r="F11" s="110">
        <v>416.14780000000002</v>
      </c>
      <c r="G11" s="271">
        <v>2</v>
      </c>
      <c r="H11" s="179">
        <f t="shared" si="3"/>
        <v>832.29560000000004</v>
      </c>
      <c r="I11" s="109">
        <f t="shared" si="0"/>
        <v>633.85220000000004</v>
      </c>
      <c r="J11" s="179">
        <f t="shared" si="4"/>
        <v>79.266247619047618</v>
      </c>
      <c r="K11" s="108" t="s">
        <v>426</v>
      </c>
      <c r="L11" s="108">
        <v>692.19500000000005</v>
      </c>
      <c r="M11" s="108">
        <v>1050</v>
      </c>
      <c r="N11" s="107">
        <f t="shared" si="1"/>
        <v>416.14780000000002</v>
      </c>
      <c r="O11" s="274">
        <v>2</v>
      </c>
      <c r="P11" s="240">
        <f t="shared" si="5"/>
        <v>832.29560000000004</v>
      </c>
      <c r="Q11" s="280">
        <f t="shared" si="6"/>
        <v>217.70439999999996</v>
      </c>
      <c r="R11" s="176" t="str">
        <f>IF(Q11&gt;=0,"No","Yes")</f>
        <v>No</v>
      </c>
      <c r="S11" s="369"/>
      <c r="T11" s="369"/>
      <c r="U11" s="242"/>
    </row>
    <row r="12" spans="1:31" ht="14.25" customHeight="1" thickBot="1" x14ac:dyDescent="0.25">
      <c r="A12" s="464"/>
      <c r="B12" s="97" t="s">
        <v>12</v>
      </c>
      <c r="C12" s="96" t="s">
        <v>52</v>
      </c>
      <c r="D12" s="110">
        <v>428.91</v>
      </c>
      <c r="E12" s="110">
        <v>800</v>
      </c>
      <c r="F12" s="110">
        <v>320.77999999999997</v>
      </c>
      <c r="G12" s="271">
        <v>2</v>
      </c>
      <c r="H12" s="179">
        <f t="shared" si="3"/>
        <v>641.55999999999995</v>
      </c>
      <c r="I12" s="109">
        <f t="shared" si="0"/>
        <v>479.22</v>
      </c>
      <c r="J12" s="179">
        <f t="shared" si="4"/>
        <v>80.194999999999993</v>
      </c>
      <c r="K12" s="108" t="s">
        <v>420</v>
      </c>
      <c r="L12" s="108">
        <v>440.09</v>
      </c>
      <c r="M12" s="108">
        <v>800</v>
      </c>
      <c r="N12" s="107">
        <f t="shared" si="1"/>
        <v>320.77999999999997</v>
      </c>
      <c r="O12" s="274">
        <v>2</v>
      </c>
      <c r="P12" s="240">
        <f t="shared" si="5"/>
        <v>641.55999999999995</v>
      </c>
      <c r="Q12" s="280">
        <f t="shared" si="6"/>
        <v>158.44000000000005</v>
      </c>
      <c r="R12" s="176" t="str">
        <f>IF(Q12&gt;=0,"No","Yes")</f>
        <v>No</v>
      </c>
      <c r="S12" s="369"/>
      <c r="T12" s="369"/>
      <c r="U12" s="242"/>
    </row>
    <row r="13" spans="1:31" ht="14.25" customHeight="1" thickBot="1" x14ac:dyDescent="0.25">
      <c r="A13" s="464"/>
      <c r="B13" s="97" t="s">
        <v>396</v>
      </c>
      <c r="C13" s="96" t="s">
        <v>63</v>
      </c>
      <c r="D13" s="95">
        <v>530.30999999999995</v>
      </c>
      <c r="E13" s="95">
        <v>200</v>
      </c>
      <c r="F13" s="95">
        <v>22.35</v>
      </c>
      <c r="G13" s="270">
        <v>2</v>
      </c>
      <c r="H13" s="179">
        <f t="shared" si="3"/>
        <v>44.7</v>
      </c>
      <c r="I13" s="94">
        <f t="shared" si="0"/>
        <v>177.65</v>
      </c>
      <c r="J13" s="179">
        <f t="shared" si="4"/>
        <v>22.35</v>
      </c>
      <c r="K13" s="93" t="s">
        <v>418</v>
      </c>
      <c r="L13" s="93">
        <v>541.49</v>
      </c>
      <c r="M13" s="93">
        <v>150</v>
      </c>
      <c r="N13" s="92">
        <f t="shared" si="1"/>
        <v>22.35</v>
      </c>
      <c r="O13" s="275">
        <v>2</v>
      </c>
      <c r="P13" s="240">
        <f t="shared" si="5"/>
        <v>44.7</v>
      </c>
      <c r="Q13" s="280">
        <f t="shared" si="6"/>
        <v>105.3</v>
      </c>
      <c r="R13" s="176" t="str">
        <f>IF(Q13&gt;=0,"No","Yes")</f>
        <v>No</v>
      </c>
      <c r="S13" s="369"/>
      <c r="T13" s="369"/>
      <c r="U13" s="242"/>
    </row>
    <row r="14" spans="1:31" ht="13.5" thickBot="1" x14ac:dyDescent="0.25">
      <c r="A14" s="365" t="s">
        <v>426</v>
      </c>
      <c r="B14" s="87" t="s">
        <v>351</v>
      </c>
      <c r="C14" s="157"/>
      <c r="D14" s="85"/>
      <c r="E14" s="85"/>
      <c r="F14" s="85"/>
      <c r="G14" s="95">
        <v>2</v>
      </c>
      <c r="H14" s="179">
        <f t="shared" si="3"/>
        <v>0</v>
      </c>
      <c r="I14" s="84"/>
      <c r="J14" s="179"/>
      <c r="K14" s="83"/>
      <c r="L14" s="83"/>
      <c r="M14" s="83"/>
      <c r="N14" s="82"/>
      <c r="O14" s="91">
        <v>2</v>
      </c>
      <c r="P14" s="240">
        <f t="shared" si="5"/>
        <v>0</v>
      </c>
      <c r="Q14" s="81"/>
      <c r="R14" s="82"/>
      <c r="S14" s="369"/>
      <c r="T14" s="369"/>
      <c r="U14" s="242"/>
      <c r="Z14" s="367"/>
      <c r="AA14" s="367"/>
      <c r="AB14" s="367"/>
      <c r="AC14" s="369"/>
      <c r="AD14" s="369"/>
      <c r="AE14" s="369"/>
    </row>
    <row r="15" spans="1:31" ht="13.5" thickBot="1" x14ac:dyDescent="0.25">
      <c r="A15" s="462" t="s">
        <v>49</v>
      </c>
      <c r="B15" s="87" t="s">
        <v>425</v>
      </c>
      <c r="C15" s="86" t="s">
        <v>47</v>
      </c>
      <c r="D15" s="85">
        <v>341.36500000000001</v>
      </c>
      <c r="E15" s="85">
        <v>1000</v>
      </c>
      <c r="F15" s="85">
        <v>414.50749999999999</v>
      </c>
      <c r="G15" s="269">
        <v>2</v>
      </c>
      <c r="H15" s="179">
        <f t="shared" si="3"/>
        <v>829.01499999999999</v>
      </c>
      <c r="I15" s="84">
        <f t="shared" ref="I15:I24" si="7">E15-F15</f>
        <v>585.49250000000006</v>
      </c>
      <c r="J15" s="85">
        <f>H15/E15*100</f>
        <v>82.901499999999999</v>
      </c>
      <c r="K15" s="83" t="s">
        <v>424</v>
      </c>
      <c r="L15" s="83">
        <v>527.53499999999997</v>
      </c>
      <c r="M15" s="83">
        <v>1000</v>
      </c>
      <c r="N15" s="82">
        <f t="shared" ref="N15:N24" si="8">F15</f>
        <v>414.50749999999999</v>
      </c>
      <c r="O15" s="273">
        <v>2</v>
      </c>
      <c r="P15" s="240">
        <f t="shared" si="5"/>
        <v>829.01499999999999</v>
      </c>
      <c r="Q15" s="199">
        <f>M15-P15</f>
        <v>170.98500000000001</v>
      </c>
      <c r="R15" s="82" t="str">
        <f t="shared" ref="R15:R24" si="9">IF(Q15&gt;=0,"No","Yes")</f>
        <v>No</v>
      </c>
      <c r="S15" s="369"/>
      <c r="T15" s="369"/>
      <c r="U15" s="242"/>
      <c r="Z15" s="369"/>
      <c r="AA15" s="369"/>
      <c r="AB15" s="367"/>
      <c r="AC15" s="367"/>
      <c r="AD15" s="367"/>
      <c r="AE15" s="367"/>
    </row>
    <row r="16" spans="1:31" ht="14.25" customHeight="1" thickBot="1" x14ac:dyDescent="0.25">
      <c r="A16" s="464"/>
      <c r="B16" s="97" t="s">
        <v>9</v>
      </c>
      <c r="C16" s="96" t="s">
        <v>423</v>
      </c>
      <c r="D16" s="110">
        <v>72.555000000000007</v>
      </c>
      <c r="E16" s="110">
        <v>600</v>
      </c>
      <c r="F16" s="110">
        <v>249.06020000000001</v>
      </c>
      <c r="G16" s="271">
        <v>2</v>
      </c>
      <c r="H16" s="179">
        <f t="shared" si="3"/>
        <v>498.12040000000002</v>
      </c>
      <c r="I16" s="109">
        <f t="shared" si="7"/>
        <v>350.93979999999999</v>
      </c>
      <c r="J16" s="85">
        <f t="shared" ref="J16:J24" si="10">H16/E16*100</f>
        <v>83.020066666666665</v>
      </c>
      <c r="K16" s="108" t="s">
        <v>422</v>
      </c>
      <c r="L16" s="108">
        <v>258.625</v>
      </c>
      <c r="M16" s="108">
        <v>500</v>
      </c>
      <c r="N16" s="107">
        <f t="shared" si="8"/>
        <v>249.06020000000001</v>
      </c>
      <c r="O16" s="274">
        <v>2</v>
      </c>
      <c r="P16" s="240">
        <f t="shared" si="5"/>
        <v>498.12040000000002</v>
      </c>
      <c r="Q16" s="199">
        <f t="shared" ref="Q16:Q24" si="11">M16-P16</f>
        <v>1.8795999999999822</v>
      </c>
      <c r="R16" s="82" t="str">
        <f t="shared" si="9"/>
        <v>No</v>
      </c>
      <c r="S16" s="369"/>
      <c r="T16" s="369"/>
      <c r="U16" s="242"/>
      <c r="Z16" s="367"/>
      <c r="AA16" s="367"/>
      <c r="AB16" s="367"/>
      <c r="AC16" s="367"/>
      <c r="AD16" s="367"/>
      <c r="AE16" s="367"/>
    </row>
    <row r="17" spans="1:37" ht="14.25" customHeight="1" thickBot="1" x14ac:dyDescent="0.25">
      <c r="A17" s="464"/>
      <c r="B17" s="97" t="s">
        <v>10</v>
      </c>
      <c r="C17" s="96" t="s">
        <v>386</v>
      </c>
      <c r="D17" s="110">
        <v>894.93</v>
      </c>
      <c r="E17" s="110">
        <v>450</v>
      </c>
      <c r="F17" s="110">
        <v>185.4342</v>
      </c>
      <c r="G17" s="271">
        <v>2</v>
      </c>
      <c r="H17" s="179">
        <f t="shared" si="3"/>
        <v>370.86840000000001</v>
      </c>
      <c r="I17" s="109">
        <f t="shared" si="7"/>
        <v>264.56579999999997</v>
      </c>
      <c r="J17" s="85">
        <f t="shared" si="10"/>
        <v>82.415199999999999</v>
      </c>
      <c r="K17" s="108" t="s">
        <v>385</v>
      </c>
      <c r="L17" s="108">
        <v>975.03499999999997</v>
      </c>
      <c r="M17" s="108">
        <v>450</v>
      </c>
      <c r="N17" s="107">
        <f t="shared" si="8"/>
        <v>185.4342</v>
      </c>
      <c r="O17" s="274">
        <v>2</v>
      </c>
      <c r="P17" s="240">
        <f t="shared" si="5"/>
        <v>370.86840000000001</v>
      </c>
      <c r="Q17" s="199">
        <f t="shared" si="11"/>
        <v>79.131599999999992</v>
      </c>
      <c r="R17" s="82" t="str">
        <f t="shared" si="9"/>
        <v>No</v>
      </c>
      <c r="S17" s="369"/>
      <c r="T17" s="369"/>
      <c r="U17" s="242"/>
      <c r="Z17" s="369"/>
      <c r="AA17" s="369"/>
      <c r="AB17" s="369"/>
      <c r="AC17" s="369"/>
      <c r="AD17" s="369"/>
      <c r="AE17" s="369"/>
      <c r="AI17" s="528"/>
      <c r="AJ17" s="548"/>
    </row>
    <row r="18" spans="1:37" ht="14.25" customHeight="1" thickBot="1" x14ac:dyDescent="0.25">
      <c r="A18" s="464"/>
      <c r="B18" s="97" t="s">
        <v>11</v>
      </c>
      <c r="C18" s="96" t="s">
        <v>378</v>
      </c>
      <c r="D18" s="110">
        <v>839.23</v>
      </c>
      <c r="E18" s="110">
        <v>600</v>
      </c>
      <c r="F18" s="110">
        <v>213.84829999999999</v>
      </c>
      <c r="G18" s="271">
        <v>2</v>
      </c>
      <c r="H18" s="179">
        <f t="shared" si="3"/>
        <v>427.69659999999999</v>
      </c>
      <c r="I18" s="109">
        <f t="shared" si="7"/>
        <v>386.15170000000001</v>
      </c>
      <c r="J18" s="85">
        <f t="shared" si="10"/>
        <v>71.28276666666666</v>
      </c>
      <c r="K18" s="108" t="s">
        <v>421</v>
      </c>
      <c r="L18" s="108">
        <v>1025.3</v>
      </c>
      <c r="M18" s="108">
        <v>600</v>
      </c>
      <c r="N18" s="107">
        <f t="shared" si="8"/>
        <v>213.84829999999999</v>
      </c>
      <c r="O18" s="274">
        <v>2</v>
      </c>
      <c r="P18" s="240">
        <f t="shared" si="5"/>
        <v>427.69659999999999</v>
      </c>
      <c r="Q18" s="199">
        <f t="shared" si="11"/>
        <v>172.30340000000001</v>
      </c>
      <c r="R18" s="82" t="str">
        <f t="shared" si="9"/>
        <v>No</v>
      </c>
      <c r="S18" s="369"/>
      <c r="T18" s="369"/>
      <c r="U18" s="242"/>
      <c r="Z18" s="369"/>
      <c r="AA18" s="369"/>
      <c r="AB18" s="369"/>
      <c r="AC18" s="369"/>
      <c r="AD18" s="369"/>
      <c r="AE18" s="369"/>
      <c r="AF18" s="369"/>
      <c r="AG18" s="369"/>
      <c r="AI18" s="193"/>
      <c r="AJ18" s="193"/>
      <c r="AK18" s="304"/>
    </row>
    <row r="19" spans="1:37" ht="14.25" customHeight="1" thickBot="1" x14ac:dyDescent="0.25">
      <c r="A19" s="464"/>
      <c r="B19" s="97" t="s">
        <v>12</v>
      </c>
      <c r="C19" s="96" t="s">
        <v>52</v>
      </c>
      <c r="D19" s="110">
        <v>428.91</v>
      </c>
      <c r="E19" s="110">
        <v>800</v>
      </c>
      <c r="F19" s="110">
        <v>320.7817</v>
      </c>
      <c r="G19" s="271">
        <v>2</v>
      </c>
      <c r="H19" s="179">
        <f t="shared" si="3"/>
        <v>641.5634</v>
      </c>
      <c r="I19" s="109">
        <f t="shared" si="7"/>
        <v>479.2183</v>
      </c>
      <c r="J19" s="85">
        <f t="shared" si="10"/>
        <v>80.195425</v>
      </c>
      <c r="K19" s="108" t="s">
        <v>420</v>
      </c>
      <c r="L19" s="108">
        <v>440.09</v>
      </c>
      <c r="M19" s="108">
        <v>800</v>
      </c>
      <c r="N19" s="107">
        <f t="shared" si="8"/>
        <v>320.7817</v>
      </c>
      <c r="O19" s="274">
        <v>2</v>
      </c>
      <c r="P19" s="240">
        <f t="shared" si="5"/>
        <v>641.5634</v>
      </c>
      <c r="Q19" s="199">
        <f t="shared" si="11"/>
        <v>158.4366</v>
      </c>
      <c r="R19" s="82" t="str">
        <f t="shared" si="9"/>
        <v>No</v>
      </c>
      <c r="S19" s="369"/>
      <c r="T19" s="369"/>
      <c r="U19" s="242"/>
      <c r="Z19" s="461"/>
      <c r="AA19" s="461"/>
      <c r="AB19" s="461"/>
      <c r="AC19" s="369"/>
      <c r="AD19" s="369"/>
      <c r="AE19" s="369"/>
      <c r="AF19" s="369"/>
      <c r="AG19" s="369"/>
      <c r="AI19" s="304"/>
      <c r="AJ19" s="304"/>
      <c r="AK19" s="304"/>
    </row>
    <row r="20" spans="1:37" ht="14.25" customHeight="1" thickBot="1" x14ac:dyDescent="0.25">
      <c r="A20" s="464"/>
      <c r="B20" s="97" t="s">
        <v>419</v>
      </c>
      <c r="C20" s="96" t="s">
        <v>411</v>
      </c>
      <c r="D20" s="95">
        <v>530.30999999999995</v>
      </c>
      <c r="E20" s="95">
        <f>E13</f>
        <v>200</v>
      </c>
      <c r="F20" s="95">
        <v>22.35</v>
      </c>
      <c r="G20" s="271">
        <v>2</v>
      </c>
      <c r="H20" s="179">
        <f t="shared" si="3"/>
        <v>44.7</v>
      </c>
      <c r="I20" s="94">
        <f t="shared" si="7"/>
        <v>177.65</v>
      </c>
      <c r="J20" s="85">
        <f t="shared" si="10"/>
        <v>22.35</v>
      </c>
      <c r="K20" s="93" t="s">
        <v>418</v>
      </c>
      <c r="L20" s="93">
        <v>541.49</v>
      </c>
      <c r="M20" s="93">
        <v>200</v>
      </c>
      <c r="N20" s="92">
        <f t="shared" si="8"/>
        <v>22.35</v>
      </c>
      <c r="O20" s="274">
        <v>2</v>
      </c>
      <c r="P20" s="240">
        <f t="shared" si="5"/>
        <v>44.7</v>
      </c>
      <c r="Q20" s="199">
        <f t="shared" si="11"/>
        <v>155.30000000000001</v>
      </c>
      <c r="R20" s="82" t="str">
        <f t="shared" si="9"/>
        <v>No</v>
      </c>
      <c r="S20" s="369"/>
      <c r="T20" s="369"/>
      <c r="U20" s="242"/>
      <c r="Z20" s="369"/>
      <c r="AA20" s="369"/>
      <c r="AB20" s="461"/>
      <c r="AC20" s="461"/>
      <c r="AD20" s="461"/>
      <c r="AE20" s="461"/>
      <c r="AF20" s="369"/>
      <c r="AG20" s="369"/>
      <c r="AI20" s="345"/>
      <c r="AJ20" s="345"/>
      <c r="AK20" s="304"/>
    </row>
    <row r="21" spans="1:37" ht="13.5" thickBot="1" x14ac:dyDescent="0.25">
      <c r="A21" s="462" t="s">
        <v>413</v>
      </c>
      <c r="B21" s="87" t="s">
        <v>7</v>
      </c>
      <c r="C21" s="86" t="s">
        <v>48</v>
      </c>
      <c r="D21" s="85">
        <v>457.755</v>
      </c>
      <c r="E21" s="85">
        <f>E10</f>
        <v>600</v>
      </c>
      <c r="F21" s="85">
        <v>200.1122</v>
      </c>
      <c r="G21" s="269">
        <v>2</v>
      </c>
      <c r="H21" s="179">
        <f t="shared" si="3"/>
        <v>400.2244</v>
      </c>
      <c r="I21" s="84">
        <f t="shared" si="7"/>
        <v>399.88779999999997</v>
      </c>
      <c r="J21" s="85">
        <f t="shared" si="10"/>
        <v>66.704066666666677</v>
      </c>
      <c r="K21" s="83" t="s">
        <v>416</v>
      </c>
      <c r="L21" s="83">
        <v>733.18499999999995</v>
      </c>
      <c r="M21" s="83">
        <v>600</v>
      </c>
      <c r="N21" s="82">
        <f t="shared" si="8"/>
        <v>200.1122</v>
      </c>
      <c r="O21" s="273">
        <v>2</v>
      </c>
      <c r="P21" s="240">
        <f t="shared" si="5"/>
        <v>400.2244</v>
      </c>
      <c r="Q21" s="199">
        <f t="shared" si="11"/>
        <v>199.7756</v>
      </c>
      <c r="R21" s="197" t="str">
        <f t="shared" si="9"/>
        <v>No</v>
      </c>
      <c r="S21" s="369"/>
      <c r="T21" s="369"/>
      <c r="U21" s="242"/>
      <c r="Z21" s="367"/>
      <c r="AA21" s="367"/>
      <c r="AB21" s="367"/>
      <c r="AC21" s="367"/>
      <c r="AD21" s="367"/>
      <c r="AE21" s="367"/>
      <c r="AF21" s="369"/>
      <c r="AG21" s="369"/>
      <c r="AI21" s="304"/>
      <c r="AJ21" s="304"/>
      <c r="AK21" s="304"/>
    </row>
    <row r="22" spans="1:37" ht="14.25" customHeight="1" thickBot="1" x14ac:dyDescent="0.25">
      <c r="A22" s="464"/>
      <c r="B22" s="97" t="s">
        <v>415</v>
      </c>
      <c r="C22" s="96" t="s">
        <v>74</v>
      </c>
      <c r="D22" s="110">
        <v>632.29</v>
      </c>
      <c r="E22" s="110">
        <f>E11</f>
        <v>1050</v>
      </c>
      <c r="F22" s="110">
        <v>416.14780000000002</v>
      </c>
      <c r="G22" s="271">
        <v>2</v>
      </c>
      <c r="H22" s="179">
        <f t="shared" si="3"/>
        <v>832.29560000000004</v>
      </c>
      <c r="I22" s="109">
        <f t="shared" si="7"/>
        <v>633.85220000000004</v>
      </c>
      <c r="J22" s="85">
        <f t="shared" si="10"/>
        <v>79.266247619047618</v>
      </c>
      <c r="K22" s="108" t="s">
        <v>361</v>
      </c>
      <c r="L22" s="108">
        <v>692.19500000000005</v>
      </c>
      <c r="M22" s="108">
        <v>1050</v>
      </c>
      <c r="N22" s="107">
        <f t="shared" si="8"/>
        <v>416.14780000000002</v>
      </c>
      <c r="O22" s="274">
        <v>2</v>
      </c>
      <c r="P22" s="240">
        <f t="shared" si="5"/>
        <v>832.29560000000004</v>
      </c>
      <c r="Q22" s="199">
        <f t="shared" si="11"/>
        <v>217.70439999999996</v>
      </c>
      <c r="R22" s="82" t="str">
        <f t="shared" si="9"/>
        <v>No</v>
      </c>
      <c r="S22" s="369"/>
      <c r="T22" s="369"/>
      <c r="U22" s="242"/>
      <c r="Z22" s="369"/>
      <c r="AA22" s="369"/>
      <c r="AB22" s="369"/>
      <c r="AC22" s="369"/>
      <c r="AD22" s="369"/>
      <c r="AE22" s="369"/>
      <c r="AF22" s="369"/>
      <c r="AG22" s="369"/>
      <c r="AI22" s="304"/>
      <c r="AJ22" s="304"/>
      <c r="AK22" s="304"/>
    </row>
    <row r="23" spans="1:37" ht="14.25" customHeight="1" thickBot="1" x14ac:dyDescent="0.25">
      <c r="A23" s="464"/>
      <c r="B23" s="97" t="s">
        <v>414</v>
      </c>
      <c r="C23" s="96" t="s">
        <v>413</v>
      </c>
      <c r="D23" s="110">
        <v>370.31</v>
      </c>
      <c r="E23" s="110">
        <v>200</v>
      </c>
      <c r="F23" s="110">
        <v>24.103000000000002</v>
      </c>
      <c r="G23" s="271">
        <v>2</v>
      </c>
      <c r="H23" s="179">
        <f t="shared" si="3"/>
        <v>48.206000000000003</v>
      </c>
      <c r="I23" s="109">
        <f t="shared" si="7"/>
        <v>175.89699999999999</v>
      </c>
      <c r="J23" s="85">
        <f t="shared" si="10"/>
        <v>24.103000000000002</v>
      </c>
      <c r="K23" s="108" t="s">
        <v>412</v>
      </c>
      <c r="L23" s="108">
        <v>820.63</v>
      </c>
      <c r="M23" s="108">
        <v>200</v>
      </c>
      <c r="N23" s="107">
        <f t="shared" si="8"/>
        <v>24.103000000000002</v>
      </c>
      <c r="O23" s="274">
        <v>2</v>
      </c>
      <c r="P23" s="240">
        <f t="shared" si="5"/>
        <v>48.206000000000003</v>
      </c>
      <c r="Q23" s="199">
        <f t="shared" si="11"/>
        <v>151.79399999999998</v>
      </c>
      <c r="R23" s="82" t="str">
        <f t="shared" si="9"/>
        <v>No</v>
      </c>
      <c r="S23" s="369"/>
      <c r="T23" s="369"/>
      <c r="U23" s="242"/>
      <c r="V23" s="304"/>
      <c r="W23" s="58"/>
      <c r="Z23" s="369"/>
      <c r="AA23" s="369"/>
      <c r="AB23" s="369"/>
      <c r="AC23" s="369"/>
      <c r="AD23" s="369"/>
      <c r="AE23" s="369"/>
      <c r="AF23" s="369"/>
      <c r="AG23" s="369"/>
      <c r="AI23" s="304"/>
      <c r="AJ23" s="304"/>
      <c r="AK23" s="304"/>
    </row>
    <row r="24" spans="1:37" ht="14.25" customHeight="1" thickBot="1" x14ac:dyDescent="0.25">
      <c r="A24" s="464"/>
      <c r="B24" s="97" t="s">
        <v>396</v>
      </c>
      <c r="C24" s="96" t="s">
        <v>411</v>
      </c>
      <c r="D24" s="95">
        <v>530.30999999999995</v>
      </c>
      <c r="E24" s="95">
        <f>E13</f>
        <v>200</v>
      </c>
      <c r="F24" s="95">
        <v>22.35</v>
      </c>
      <c r="G24" s="270">
        <v>2</v>
      </c>
      <c r="H24" s="179">
        <f t="shared" si="3"/>
        <v>44.7</v>
      </c>
      <c r="I24" s="94">
        <f t="shared" si="7"/>
        <v>177.65</v>
      </c>
      <c r="J24" s="85">
        <f t="shared" si="10"/>
        <v>22.35</v>
      </c>
      <c r="K24" s="93" t="s">
        <v>410</v>
      </c>
      <c r="L24" s="93">
        <v>660.63</v>
      </c>
      <c r="M24" s="93">
        <v>200</v>
      </c>
      <c r="N24" s="92">
        <f t="shared" si="8"/>
        <v>22.35</v>
      </c>
      <c r="O24" s="275">
        <v>2</v>
      </c>
      <c r="P24" s="240">
        <f t="shared" si="5"/>
        <v>44.7</v>
      </c>
      <c r="Q24" s="199">
        <f t="shared" si="11"/>
        <v>155.30000000000001</v>
      </c>
      <c r="R24" s="82" t="str">
        <f t="shared" si="9"/>
        <v>No</v>
      </c>
      <c r="S24" s="369"/>
      <c r="T24" s="369"/>
      <c r="V24" s="528" t="s">
        <v>454</v>
      </c>
      <c r="W24" s="529"/>
      <c r="X24" s="368"/>
      <c r="Z24" s="369"/>
      <c r="AA24" s="369"/>
      <c r="AB24" s="369"/>
      <c r="AC24" s="369"/>
      <c r="AD24" s="369"/>
      <c r="AE24" s="369"/>
      <c r="AF24" s="369"/>
      <c r="AG24" s="369"/>
      <c r="AI24" s="304"/>
      <c r="AJ24" s="304"/>
      <c r="AK24" s="304"/>
    </row>
    <row r="25" spans="1:37" ht="13.5" thickBot="1" x14ac:dyDescent="0.25">
      <c r="A25" s="158" t="s">
        <v>409</v>
      </c>
      <c r="B25" s="87" t="s">
        <v>408</v>
      </c>
      <c r="C25" s="157"/>
      <c r="D25" s="85"/>
      <c r="E25" s="85"/>
      <c r="F25" s="85"/>
      <c r="G25" s="95">
        <v>2</v>
      </c>
      <c r="H25" s="179">
        <f t="shared" si="3"/>
        <v>0</v>
      </c>
      <c r="I25" s="84"/>
      <c r="J25" s="179"/>
      <c r="K25" s="83"/>
      <c r="L25" s="83"/>
      <c r="M25" s="83"/>
      <c r="N25" s="82"/>
      <c r="O25" s="91">
        <v>2</v>
      </c>
      <c r="P25" s="240">
        <f t="shared" si="5"/>
        <v>0</v>
      </c>
      <c r="Q25" s="81"/>
      <c r="R25" s="82"/>
      <c r="S25" s="367" t="s">
        <v>440</v>
      </c>
      <c r="T25" s="367" t="s">
        <v>456</v>
      </c>
      <c r="V25" s="90"/>
      <c r="W25" s="304"/>
      <c r="X25" s="100"/>
      <c r="Z25" s="369"/>
      <c r="AA25" s="369"/>
      <c r="AB25" s="369"/>
      <c r="AC25" s="369"/>
      <c r="AD25" s="369"/>
      <c r="AE25" s="369"/>
      <c r="AF25" s="369"/>
      <c r="AG25" s="369"/>
      <c r="AI25" s="304"/>
      <c r="AJ25" s="304"/>
      <c r="AK25" s="304"/>
    </row>
    <row r="26" spans="1:37" ht="15" customHeight="1" thickBot="1" x14ac:dyDescent="0.25">
      <c r="A26" s="480" t="s">
        <v>407</v>
      </c>
      <c r="B26" s="155" t="s">
        <v>14</v>
      </c>
      <c r="C26" s="86" t="s">
        <v>406</v>
      </c>
      <c r="D26" s="85">
        <v>391.72</v>
      </c>
      <c r="E26" s="84">
        <v>1600</v>
      </c>
      <c r="F26" s="85">
        <v>664.51419999999996</v>
      </c>
      <c r="G26" s="269">
        <v>2</v>
      </c>
      <c r="H26" s="179">
        <f t="shared" si="3"/>
        <v>1329.0283999999999</v>
      </c>
      <c r="I26" s="84">
        <f t="shared" ref="I26:I56" si="12">E26-F26</f>
        <v>935.48580000000004</v>
      </c>
      <c r="J26" s="84">
        <f>H26/E26*100</f>
        <v>83.064274999999995</v>
      </c>
      <c r="K26" s="83" t="s">
        <v>405</v>
      </c>
      <c r="L26" s="83">
        <v>799.22</v>
      </c>
      <c r="M26" s="83">
        <v>1200</v>
      </c>
      <c r="N26" s="82">
        <f t="shared" ref="N26:N56" si="13">F26</f>
        <v>664.51419999999996</v>
      </c>
      <c r="O26" s="273">
        <v>2</v>
      </c>
      <c r="P26" s="240">
        <f t="shared" si="5"/>
        <v>1329.0283999999999</v>
      </c>
      <c r="Q26" s="81">
        <f>M26-P26</f>
        <v>-129.02839999999992</v>
      </c>
      <c r="R26" s="214" t="str">
        <f t="shared" ref="R26:R56" si="14">IF(Q26&gt;=0,"No","Yes")</f>
        <v>Yes</v>
      </c>
      <c r="S26" s="532" t="s">
        <v>351</v>
      </c>
      <c r="T26" s="530" t="s">
        <v>351</v>
      </c>
      <c r="V26" s="292" t="s">
        <v>390</v>
      </c>
      <c r="W26" s="193" t="s">
        <v>389</v>
      </c>
      <c r="X26" s="293" t="s">
        <v>388</v>
      </c>
      <c r="Z26" s="369"/>
      <c r="AA26" s="369"/>
      <c r="AB26" s="369"/>
      <c r="AC26" s="369"/>
      <c r="AD26" s="369"/>
      <c r="AE26" s="369"/>
      <c r="AF26" s="369"/>
      <c r="AG26" s="369"/>
      <c r="AI26" s="304"/>
      <c r="AJ26" s="304"/>
      <c r="AK26" s="304"/>
    </row>
    <row r="27" spans="1:37" ht="14.25" customHeight="1" thickBot="1" x14ac:dyDescent="0.25">
      <c r="A27" s="481"/>
      <c r="B27" s="76" t="s">
        <v>360</v>
      </c>
      <c r="C27" s="75" t="s">
        <v>55</v>
      </c>
      <c r="D27" s="152">
        <v>566.26</v>
      </c>
      <c r="E27" s="152">
        <v>1050</v>
      </c>
      <c r="F27" s="152">
        <v>424.66829999999999</v>
      </c>
      <c r="G27" s="271">
        <v>2</v>
      </c>
      <c r="H27" s="179">
        <f t="shared" si="3"/>
        <v>849.33659999999998</v>
      </c>
      <c r="I27" s="151">
        <f t="shared" si="12"/>
        <v>625.33169999999996</v>
      </c>
      <c r="J27" s="84">
        <f t="shared" ref="J27:J56" si="15">H27/E27*100</f>
        <v>80.889199999999988</v>
      </c>
      <c r="K27" s="150" t="s">
        <v>404</v>
      </c>
      <c r="L27" s="150">
        <v>973.76</v>
      </c>
      <c r="M27" s="150">
        <v>1050</v>
      </c>
      <c r="N27" s="71">
        <f t="shared" si="13"/>
        <v>424.66829999999999</v>
      </c>
      <c r="O27" s="274">
        <v>2</v>
      </c>
      <c r="P27" s="240">
        <f t="shared" si="5"/>
        <v>849.33659999999998</v>
      </c>
      <c r="Q27" s="81">
        <f t="shared" ref="Q27:Q56" si="16">M27-P27</f>
        <v>200.66340000000002</v>
      </c>
      <c r="R27" s="197" t="str">
        <f t="shared" si="14"/>
        <v>No</v>
      </c>
      <c r="S27" s="533"/>
      <c r="T27" s="531"/>
      <c r="V27" s="133"/>
      <c r="W27" s="132"/>
      <c r="X27" s="100">
        <f>(W27/200)*100</f>
        <v>0</v>
      </c>
      <c r="Z27" s="369"/>
      <c r="AA27" s="369"/>
      <c r="AB27" s="369"/>
      <c r="AC27" s="369"/>
      <c r="AD27" s="369"/>
      <c r="AE27" s="369"/>
      <c r="AF27" s="369"/>
      <c r="AG27" s="369"/>
      <c r="AI27" s="304"/>
      <c r="AJ27" s="304"/>
      <c r="AK27" s="304"/>
    </row>
    <row r="28" spans="1:37" ht="15" customHeight="1" thickBot="1" x14ac:dyDescent="0.25">
      <c r="A28" s="464" t="s">
        <v>403</v>
      </c>
      <c r="B28" s="63" t="s">
        <v>6</v>
      </c>
      <c r="C28" s="116" t="s">
        <v>47</v>
      </c>
      <c r="D28" s="95">
        <v>341.46499999999997</v>
      </c>
      <c r="E28" s="94">
        <f>E15</f>
        <v>1000</v>
      </c>
      <c r="F28" s="95">
        <v>414.50749999999999</v>
      </c>
      <c r="G28" s="269">
        <v>2</v>
      </c>
      <c r="H28" s="179">
        <f t="shared" si="3"/>
        <v>829.01499999999999</v>
      </c>
      <c r="I28" s="94">
        <f t="shared" si="12"/>
        <v>585.49250000000006</v>
      </c>
      <c r="J28" s="84">
        <f t="shared" si="15"/>
        <v>82.901499999999999</v>
      </c>
      <c r="K28" s="93" t="s">
        <v>402</v>
      </c>
      <c r="L28" s="93">
        <v>849.47500000000002</v>
      </c>
      <c r="M28" s="93">
        <v>750</v>
      </c>
      <c r="N28" s="92">
        <f t="shared" si="13"/>
        <v>414.50749999999999</v>
      </c>
      <c r="O28" s="273">
        <v>2</v>
      </c>
      <c r="P28" s="240">
        <f t="shared" si="5"/>
        <v>829.01499999999999</v>
      </c>
      <c r="Q28" s="81">
        <f t="shared" si="16"/>
        <v>-79.014999999999986</v>
      </c>
      <c r="R28" s="197" t="str">
        <f t="shared" si="14"/>
        <v>Yes</v>
      </c>
      <c r="S28" s="532" t="s">
        <v>351</v>
      </c>
      <c r="T28" s="535" t="s">
        <v>351</v>
      </c>
      <c r="V28" s="133"/>
      <c r="W28" s="132"/>
      <c r="X28" s="100">
        <f>(W28/150)*100</f>
        <v>0</v>
      </c>
      <c r="Z28" s="369"/>
      <c r="AA28" s="369"/>
      <c r="AB28" s="369"/>
      <c r="AC28" s="369"/>
      <c r="AD28" s="369"/>
      <c r="AE28" s="369"/>
      <c r="AF28" s="369"/>
      <c r="AG28" s="369"/>
      <c r="AI28" s="304"/>
      <c r="AJ28" s="304"/>
      <c r="AK28" s="304"/>
    </row>
    <row r="29" spans="1:37" ht="14.25" customHeight="1" thickBot="1" x14ac:dyDescent="0.25">
      <c r="A29" s="464"/>
      <c r="B29" s="63" t="s">
        <v>401</v>
      </c>
      <c r="C29" s="116" t="s">
        <v>386</v>
      </c>
      <c r="D29" s="95">
        <v>894.93</v>
      </c>
      <c r="E29" s="94">
        <f>E17</f>
        <v>450</v>
      </c>
      <c r="F29" s="95">
        <v>185.4342</v>
      </c>
      <c r="G29" s="271">
        <v>2</v>
      </c>
      <c r="H29" s="179">
        <f t="shared" si="3"/>
        <v>370.86840000000001</v>
      </c>
      <c r="I29" s="94">
        <f t="shared" si="12"/>
        <v>264.56579999999997</v>
      </c>
      <c r="J29" s="84">
        <f t="shared" si="15"/>
        <v>82.415199999999999</v>
      </c>
      <c r="K29" s="93" t="s">
        <v>385</v>
      </c>
      <c r="L29" s="93">
        <v>975.03499999999997</v>
      </c>
      <c r="M29" s="93">
        <v>450</v>
      </c>
      <c r="N29" s="92">
        <f t="shared" si="13"/>
        <v>185.4342</v>
      </c>
      <c r="O29" s="274">
        <v>2</v>
      </c>
      <c r="P29" s="240">
        <f t="shared" si="5"/>
        <v>370.86840000000001</v>
      </c>
      <c r="Q29" s="81">
        <f t="shared" si="16"/>
        <v>79.131599999999992</v>
      </c>
      <c r="R29" s="197" t="str">
        <f t="shared" si="14"/>
        <v>No</v>
      </c>
      <c r="S29" s="534"/>
      <c r="T29" s="536"/>
      <c r="V29" s="133" t="s">
        <v>19</v>
      </c>
      <c r="W29" s="132">
        <v>56</v>
      </c>
      <c r="X29" s="100"/>
      <c r="Z29" s="369"/>
      <c r="AA29" s="369"/>
      <c r="AB29" s="369"/>
      <c r="AC29" s="369"/>
      <c r="AD29" s="369"/>
      <c r="AE29" s="369"/>
      <c r="AF29" s="369"/>
      <c r="AG29" s="369"/>
      <c r="AI29" s="304"/>
      <c r="AJ29" s="304"/>
      <c r="AK29" s="304"/>
    </row>
    <row r="30" spans="1:37" ht="14.25" customHeight="1" thickBot="1" x14ac:dyDescent="0.25">
      <c r="A30" s="464"/>
      <c r="B30" s="97" t="s">
        <v>400</v>
      </c>
      <c r="C30" s="96" t="s">
        <v>378</v>
      </c>
      <c r="D30" s="110">
        <v>839.23</v>
      </c>
      <c r="E30" s="110">
        <f>E18</f>
        <v>600</v>
      </c>
      <c r="F30" s="110">
        <v>213.84829999999999</v>
      </c>
      <c r="G30" s="271">
        <v>2</v>
      </c>
      <c r="H30" s="179">
        <f t="shared" si="3"/>
        <v>427.69659999999999</v>
      </c>
      <c r="I30" s="109">
        <f t="shared" si="12"/>
        <v>386.15170000000001</v>
      </c>
      <c r="J30" s="84">
        <f t="shared" si="15"/>
        <v>71.28276666666666</v>
      </c>
      <c r="K30" s="108" t="s">
        <v>399</v>
      </c>
      <c r="L30" s="108">
        <v>1347.24</v>
      </c>
      <c r="M30" s="108">
        <v>400</v>
      </c>
      <c r="N30" s="107">
        <f t="shared" si="13"/>
        <v>213.84829999999999</v>
      </c>
      <c r="O30" s="274">
        <v>2</v>
      </c>
      <c r="P30" s="240">
        <f t="shared" si="5"/>
        <v>427.69659999999999</v>
      </c>
      <c r="Q30" s="81">
        <f t="shared" si="16"/>
        <v>-27.696599999999989</v>
      </c>
      <c r="R30" s="214" t="str">
        <f t="shared" si="14"/>
        <v>Yes</v>
      </c>
      <c r="S30" s="534"/>
      <c r="T30" s="536"/>
      <c r="V30" s="90" t="s">
        <v>20</v>
      </c>
      <c r="W30" s="304">
        <v>40</v>
      </c>
      <c r="X30" s="100"/>
      <c r="Z30" s="18"/>
      <c r="AA30" s="18"/>
      <c r="AB30" s="369"/>
      <c r="AC30" s="18"/>
      <c r="AD30" s="369"/>
      <c r="AE30" s="369"/>
      <c r="AF30" s="340"/>
      <c r="AG30" s="369"/>
      <c r="AI30" s="304"/>
      <c r="AJ30" s="304"/>
      <c r="AK30" s="304"/>
    </row>
    <row r="31" spans="1:37" ht="14.25" customHeight="1" thickBot="1" x14ac:dyDescent="0.25">
      <c r="A31" s="464"/>
      <c r="B31" s="97" t="s">
        <v>398</v>
      </c>
      <c r="C31" s="96" t="s">
        <v>52</v>
      </c>
      <c r="D31" s="95">
        <v>428.91</v>
      </c>
      <c r="E31" s="94">
        <f>E12</f>
        <v>800</v>
      </c>
      <c r="F31" s="95">
        <v>320.7817</v>
      </c>
      <c r="G31" s="271">
        <v>2</v>
      </c>
      <c r="H31" s="179">
        <f t="shared" si="3"/>
        <v>641.5634</v>
      </c>
      <c r="I31" s="94">
        <f t="shared" si="12"/>
        <v>479.2183</v>
      </c>
      <c r="J31" s="84">
        <f t="shared" si="15"/>
        <v>80.195425</v>
      </c>
      <c r="K31" s="93" t="s">
        <v>397</v>
      </c>
      <c r="L31" s="93">
        <v>762.03</v>
      </c>
      <c r="M31" s="93">
        <v>600</v>
      </c>
      <c r="N31" s="92">
        <f t="shared" si="13"/>
        <v>320.7817</v>
      </c>
      <c r="O31" s="274">
        <v>2</v>
      </c>
      <c r="P31" s="240">
        <f t="shared" si="5"/>
        <v>641.5634</v>
      </c>
      <c r="Q31" s="81">
        <f t="shared" si="16"/>
        <v>-41.563400000000001</v>
      </c>
      <c r="R31" s="214" t="str">
        <f t="shared" si="14"/>
        <v>Yes</v>
      </c>
      <c r="S31" s="534"/>
      <c r="T31" s="536"/>
      <c r="V31" s="294"/>
      <c r="W31" s="230"/>
      <c r="X31" s="89"/>
      <c r="Y31" s="304"/>
      <c r="Z31" s="18"/>
      <c r="AA31" s="18"/>
      <c r="AB31" s="369"/>
      <c r="AC31" s="18"/>
      <c r="AD31" s="369"/>
      <c r="AE31" s="369"/>
      <c r="AF31" s="340"/>
      <c r="AG31" s="369"/>
      <c r="AI31" s="304"/>
      <c r="AJ31" s="304"/>
      <c r="AK31" s="304"/>
    </row>
    <row r="32" spans="1:37" ht="14.25" customHeight="1" thickBot="1" x14ac:dyDescent="0.25">
      <c r="A32" s="464"/>
      <c r="B32" s="97" t="s">
        <v>395</v>
      </c>
      <c r="C32" s="96" t="s">
        <v>56</v>
      </c>
      <c r="D32" s="95">
        <v>268.91000000000003</v>
      </c>
      <c r="E32" s="95">
        <v>750</v>
      </c>
      <c r="F32" s="95">
        <v>277.57420000000002</v>
      </c>
      <c r="G32" s="271">
        <v>2</v>
      </c>
      <c r="H32" s="179">
        <f t="shared" si="3"/>
        <v>555.14840000000004</v>
      </c>
      <c r="I32" s="94">
        <f t="shared" si="12"/>
        <v>472.42579999999998</v>
      </c>
      <c r="J32" s="84">
        <f t="shared" si="15"/>
        <v>74.019786666666676</v>
      </c>
      <c r="K32" s="93" t="s">
        <v>394</v>
      </c>
      <c r="L32" s="93">
        <v>922.03</v>
      </c>
      <c r="M32" s="93">
        <v>450</v>
      </c>
      <c r="N32" s="107">
        <f t="shared" si="13"/>
        <v>277.57420000000002</v>
      </c>
      <c r="O32" s="274">
        <v>2</v>
      </c>
      <c r="P32" s="240">
        <f t="shared" si="5"/>
        <v>555.14840000000004</v>
      </c>
      <c r="Q32" s="81">
        <f t="shared" si="16"/>
        <v>-105.14840000000004</v>
      </c>
      <c r="R32" s="197" t="str">
        <f t="shared" si="14"/>
        <v>Yes</v>
      </c>
      <c r="S32" s="533"/>
      <c r="T32" s="537"/>
      <c r="V32" s="160" t="s">
        <v>369</v>
      </c>
      <c r="W32" s="247">
        <f>SUM(W27:W31)</f>
        <v>96</v>
      </c>
      <c r="Y32" s="304"/>
      <c r="Z32" s="369"/>
      <c r="AA32" s="369"/>
      <c r="AB32" s="369"/>
      <c r="AC32" s="369"/>
      <c r="AD32" s="369"/>
      <c r="AE32" s="369"/>
    </row>
    <row r="33" spans="1:44" ht="13.5" thickBot="1" x14ac:dyDescent="0.25">
      <c r="A33" s="462" t="s">
        <v>382</v>
      </c>
      <c r="B33" s="87" t="s">
        <v>393</v>
      </c>
      <c r="C33" s="86" t="s">
        <v>392</v>
      </c>
      <c r="D33" s="85">
        <v>774.56</v>
      </c>
      <c r="E33" s="85">
        <f>E6</f>
        <v>1500</v>
      </c>
      <c r="F33" s="85">
        <v>593.39</v>
      </c>
      <c r="G33" s="269">
        <v>2</v>
      </c>
      <c r="H33" s="179">
        <f t="shared" si="3"/>
        <v>1186.78</v>
      </c>
      <c r="I33" s="84">
        <f t="shared" si="12"/>
        <v>906.61</v>
      </c>
      <c r="J33" s="84">
        <f t="shared" si="15"/>
        <v>79.118666666666655</v>
      </c>
      <c r="K33" s="83" t="s">
        <v>391</v>
      </c>
      <c r="L33" s="83">
        <v>778.62</v>
      </c>
      <c r="M33" s="83">
        <v>1500</v>
      </c>
      <c r="N33" s="82">
        <f t="shared" si="13"/>
        <v>593.39</v>
      </c>
      <c r="O33" s="273">
        <v>2</v>
      </c>
      <c r="P33" s="240">
        <f t="shared" si="5"/>
        <v>1186.78</v>
      </c>
      <c r="Q33" s="81">
        <f t="shared" si="16"/>
        <v>313.22000000000003</v>
      </c>
      <c r="R33" s="197" t="str">
        <f t="shared" si="14"/>
        <v>No</v>
      </c>
      <c r="S33" s="229"/>
      <c r="T33" s="229"/>
      <c r="U33" s="242"/>
      <c r="V33" s="246" t="s">
        <v>365</v>
      </c>
      <c r="W33" s="245">
        <f>W32/E57</f>
        <v>2.6229508196721311E-3</v>
      </c>
    </row>
    <row r="34" spans="1:44" ht="14.25" customHeight="1" thickBot="1" x14ac:dyDescent="0.25">
      <c r="A34" s="464"/>
      <c r="B34" s="97" t="s">
        <v>387</v>
      </c>
      <c r="C34" s="96" t="s">
        <v>386</v>
      </c>
      <c r="D34" s="110">
        <v>894.93</v>
      </c>
      <c r="E34" s="109">
        <f>E17</f>
        <v>450</v>
      </c>
      <c r="F34" s="110">
        <v>185.4342</v>
      </c>
      <c r="G34" s="271">
        <v>2</v>
      </c>
      <c r="H34" s="179">
        <f t="shared" si="3"/>
        <v>370.86840000000001</v>
      </c>
      <c r="I34" s="109">
        <f t="shared" si="12"/>
        <v>264.56579999999997</v>
      </c>
      <c r="J34" s="84">
        <f t="shared" si="15"/>
        <v>82.415199999999999</v>
      </c>
      <c r="K34" s="108" t="s">
        <v>385</v>
      </c>
      <c r="L34" s="108">
        <v>975.03499999999997</v>
      </c>
      <c r="M34" s="108">
        <v>450</v>
      </c>
      <c r="N34" s="107">
        <f t="shared" si="13"/>
        <v>185.4342</v>
      </c>
      <c r="O34" s="274">
        <v>2</v>
      </c>
      <c r="P34" s="240">
        <f t="shared" si="5"/>
        <v>370.86840000000001</v>
      </c>
      <c r="Q34" s="81">
        <f t="shared" si="16"/>
        <v>79.131599999999992</v>
      </c>
      <c r="R34" s="197" t="str">
        <f t="shared" si="14"/>
        <v>No</v>
      </c>
      <c r="S34" s="369"/>
      <c r="T34" s="369"/>
      <c r="U34" s="242"/>
      <c r="X34" s="304"/>
    </row>
    <row r="35" spans="1:44" ht="14.25" customHeight="1" thickBot="1" x14ac:dyDescent="0.25">
      <c r="A35" s="464"/>
      <c r="B35" s="97" t="s">
        <v>383</v>
      </c>
      <c r="C35" s="96" t="s">
        <v>382</v>
      </c>
      <c r="D35" s="95">
        <v>553.46500000000003</v>
      </c>
      <c r="E35" s="94">
        <v>1200</v>
      </c>
      <c r="F35" s="95">
        <v>491.47570000000002</v>
      </c>
      <c r="G35" s="271">
        <v>2</v>
      </c>
      <c r="H35" s="179">
        <f t="shared" si="3"/>
        <v>982.95140000000004</v>
      </c>
      <c r="I35" s="94">
        <f t="shared" si="12"/>
        <v>708.52430000000004</v>
      </c>
      <c r="J35" s="84">
        <f t="shared" si="15"/>
        <v>81.912616666666665</v>
      </c>
      <c r="K35" s="93" t="s">
        <v>381</v>
      </c>
      <c r="L35" s="93">
        <v>660.12</v>
      </c>
      <c r="M35" s="93">
        <v>1200</v>
      </c>
      <c r="N35" s="92">
        <f t="shared" si="13"/>
        <v>491.47570000000002</v>
      </c>
      <c r="O35" s="274">
        <v>2</v>
      </c>
      <c r="P35" s="240">
        <f t="shared" si="5"/>
        <v>982.95140000000004</v>
      </c>
      <c r="Q35" s="81">
        <f t="shared" si="16"/>
        <v>217.04859999999996</v>
      </c>
      <c r="R35" s="197" t="str">
        <f t="shared" si="14"/>
        <v>No</v>
      </c>
      <c r="S35" s="369"/>
      <c r="T35" s="369"/>
      <c r="U35" s="242"/>
      <c r="X35" s="304"/>
      <c r="Y35" s="304"/>
    </row>
    <row r="36" spans="1:44" ht="13.5" thickBot="1" x14ac:dyDescent="0.25">
      <c r="A36" s="462" t="s">
        <v>375</v>
      </c>
      <c r="B36" s="87" t="s">
        <v>379</v>
      </c>
      <c r="C36" s="86" t="s">
        <v>378</v>
      </c>
      <c r="D36" s="85">
        <v>839.23</v>
      </c>
      <c r="E36" s="84">
        <f>E18</f>
        <v>600</v>
      </c>
      <c r="F36" s="85">
        <v>213.84829999999999</v>
      </c>
      <c r="G36" s="269">
        <v>2</v>
      </c>
      <c r="H36" s="179">
        <f t="shared" si="3"/>
        <v>427.69659999999999</v>
      </c>
      <c r="I36" s="84">
        <f t="shared" si="12"/>
        <v>386.15170000000001</v>
      </c>
      <c r="J36" s="84">
        <f t="shared" si="15"/>
        <v>71.28276666666666</v>
      </c>
      <c r="K36" s="83" t="s">
        <v>377</v>
      </c>
      <c r="L36" s="83">
        <v>844.89</v>
      </c>
      <c r="M36" s="83">
        <v>600</v>
      </c>
      <c r="N36" s="82">
        <f t="shared" si="13"/>
        <v>213.84829999999999</v>
      </c>
      <c r="O36" s="273">
        <v>2</v>
      </c>
      <c r="P36" s="240">
        <f t="shared" si="5"/>
        <v>427.69659999999999</v>
      </c>
      <c r="Q36" s="81">
        <f t="shared" si="16"/>
        <v>172.30340000000001</v>
      </c>
      <c r="R36" s="197" t="str">
        <f t="shared" si="14"/>
        <v>No</v>
      </c>
      <c r="S36" s="369"/>
      <c r="T36" s="369"/>
      <c r="U36" s="242"/>
    </row>
    <row r="37" spans="1:44" ht="14.25" customHeight="1" thickBot="1" x14ac:dyDescent="0.25">
      <c r="A37" s="464"/>
      <c r="B37" s="97" t="s">
        <v>376</v>
      </c>
      <c r="C37" s="96" t="s">
        <v>375</v>
      </c>
      <c r="D37" s="95">
        <v>497.76499999999999</v>
      </c>
      <c r="E37" s="95">
        <v>2800</v>
      </c>
      <c r="F37" s="95">
        <v>1151.328</v>
      </c>
      <c r="G37" s="270">
        <v>2</v>
      </c>
      <c r="H37" s="179">
        <f t="shared" si="3"/>
        <v>2302.6559999999999</v>
      </c>
      <c r="I37" s="94">
        <f t="shared" si="12"/>
        <v>1648.672</v>
      </c>
      <c r="J37" s="84">
        <f t="shared" si="15"/>
        <v>82.237714285714276</v>
      </c>
      <c r="K37" s="93" t="s">
        <v>374</v>
      </c>
      <c r="L37" s="93">
        <v>503.42500000000001</v>
      </c>
      <c r="M37" s="93">
        <v>2800</v>
      </c>
      <c r="N37" s="92">
        <f t="shared" si="13"/>
        <v>1151.328</v>
      </c>
      <c r="O37" s="275">
        <v>2</v>
      </c>
      <c r="P37" s="240">
        <f t="shared" si="5"/>
        <v>2302.6559999999999</v>
      </c>
      <c r="Q37" s="81">
        <f t="shared" si="16"/>
        <v>497.34400000000005</v>
      </c>
      <c r="R37" s="197" t="str">
        <f t="shared" si="14"/>
        <v>No</v>
      </c>
      <c r="S37" s="244"/>
      <c r="T37" s="244"/>
      <c r="U37" s="242"/>
      <c r="AD37" s="491" t="s">
        <v>618</v>
      </c>
      <c r="AE37" s="492"/>
      <c r="AF37" s="492"/>
      <c r="AG37" s="492"/>
      <c r="AH37" s="492"/>
      <c r="AI37" s="493"/>
      <c r="AJ37" s="161"/>
      <c r="AO37" s="459"/>
      <c r="AP37" s="459"/>
      <c r="AQ37" s="459"/>
      <c r="AR37" s="459"/>
    </row>
    <row r="38" spans="1:44" ht="13.5" thickBot="1" x14ac:dyDescent="0.25">
      <c r="A38" s="365" t="s">
        <v>372</v>
      </c>
      <c r="B38" s="87" t="s">
        <v>373</v>
      </c>
      <c r="C38" s="86" t="s">
        <v>372</v>
      </c>
      <c r="D38" s="85">
        <v>285.27999999999997</v>
      </c>
      <c r="E38" s="85">
        <v>2000</v>
      </c>
      <c r="F38" s="85">
        <v>779.52329999999995</v>
      </c>
      <c r="G38" s="95">
        <v>2</v>
      </c>
      <c r="H38" s="179">
        <f t="shared" si="3"/>
        <v>1559.0465999999999</v>
      </c>
      <c r="I38" s="84">
        <f t="shared" si="12"/>
        <v>1220.4767000000002</v>
      </c>
      <c r="J38" s="84">
        <f t="shared" si="15"/>
        <v>77.952329999999989</v>
      </c>
      <c r="K38" s="83" t="s">
        <v>371</v>
      </c>
      <c r="L38" s="83">
        <v>539.80499999999995</v>
      </c>
      <c r="M38" s="83">
        <v>1200</v>
      </c>
      <c r="N38" s="82">
        <f t="shared" si="13"/>
        <v>779.52329999999995</v>
      </c>
      <c r="O38" s="91">
        <v>2</v>
      </c>
      <c r="P38" s="240">
        <f t="shared" si="5"/>
        <v>1559.0465999999999</v>
      </c>
      <c r="Q38" s="81">
        <f t="shared" si="16"/>
        <v>-359.0465999999999</v>
      </c>
      <c r="R38" s="214" t="str">
        <f t="shared" si="14"/>
        <v>Yes</v>
      </c>
      <c r="S38" s="216" t="s">
        <v>19</v>
      </c>
      <c r="T38" s="215">
        <v>56</v>
      </c>
      <c r="AD38" s="346" t="s">
        <v>528</v>
      </c>
      <c r="AE38" s="348" t="s">
        <v>529</v>
      </c>
      <c r="AF38" s="348" t="s">
        <v>530</v>
      </c>
      <c r="AG38" s="348" t="s">
        <v>531</v>
      </c>
      <c r="AH38" s="348" t="s">
        <v>532</v>
      </c>
      <c r="AI38" s="349" t="s">
        <v>582</v>
      </c>
      <c r="AJ38" s="328" t="s">
        <v>417</v>
      </c>
      <c r="AO38" s="459"/>
      <c r="AP38" s="459"/>
      <c r="AQ38" s="459"/>
      <c r="AR38" s="342"/>
    </row>
    <row r="39" spans="1:44" ht="13.5" thickBot="1" x14ac:dyDescent="0.25">
      <c r="A39" s="462" t="s">
        <v>60</v>
      </c>
      <c r="B39" s="87" t="s">
        <v>368</v>
      </c>
      <c r="C39" s="86" t="s">
        <v>367</v>
      </c>
      <c r="D39" s="85">
        <v>239.47</v>
      </c>
      <c r="E39" s="84">
        <v>2250</v>
      </c>
      <c r="F39" s="85">
        <v>886.15449999999998</v>
      </c>
      <c r="G39" s="269">
        <v>2</v>
      </c>
      <c r="H39" s="179">
        <f t="shared" si="3"/>
        <v>1772.309</v>
      </c>
      <c r="I39" s="84">
        <f t="shared" si="12"/>
        <v>1363.8454999999999</v>
      </c>
      <c r="J39" s="84">
        <f t="shared" si="15"/>
        <v>78.769288888888894</v>
      </c>
      <c r="K39" s="83" t="s">
        <v>366</v>
      </c>
      <c r="L39" s="83">
        <v>585.61500000000001</v>
      </c>
      <c r="M39" s="83">
        <v>1350</v>
      </c>
      <c r="N39" s="82">
        <f t="shared" si="13"/>
        <v>886.15449999999998</v>
      </c>
      <c r="O39" s="273">
        <v>2</v>
      </c>
      <c r="P39" s="240">
        <f t="shared" si="5"/>
        <v>1772.309</v>
      </c>
      <c r="Q39" s="81">
        <f t="shared" si="16"/>
        <v>-422.30899999999997</v>
      </c>
      <c r="R39" s="214" t="str">
        <f t="shared" si="14"/>
        <v>Yes</v>
      </c>
      <c r="S39" s="213" t="s">
        <v>28</v>
      </c>
      <c r="T39" s="212">
        <v>40</v>
      </c>
      <c r="AD39" s="60" t="s">
        <v>84</v>
      </c>
      <c r="AE39" s="350">
        <v>0</v>
      </c>
      <c r="AF39" s="350">
        <v>0</v>
      </c>
      <c r="AG39" s="351">
        <v>0</v>
      </c>
      <c r="AH39" s="351">
        <v>0</v>
      </c>
      <c r="AI39" s="352">
        <v>0</v>
      </c>
      <c r="AJ39" s="353">
        <f>SUM(AE39:AI39)</f>
        <v>0</v>
      </c>
      <c r="AO39" s="459"/>
      <c r="AP39" s="459"/>
      <c r="AQ39" s="459"/>
      <c r="AR39" s="459"/>
    </row>
    <row r="40" spans="1:44" ht="14.25" customHeight="1" thickBot="1" x14ac:dyDescent="0.25">
      <c r="A40" s="463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271">
        <v>2</v>
      </c>
      <c r="H40" s="179">
        <f t="shared" si="3"/>
        <v>467.61399999999998</v>
      </c>
      <c r="I40" s="73">
        <f t="shared" si="12"/>
        <v>366.19299999999998</v>
      </c>
      <c r="J40" s="84">
        <f t="shared" si="15"/>
        <v>77.935666666666663</v>
      </c>
      <c r="K40" s="72" t="s">
        <v>328</v>
      </c>
      <c r="L40" s="72">
        <v>673.16499999999996</v>
      </c>
      <c r="M40" s="72">
        <v>450</v>
      </c>
      <c r="N40" s="121">
        <f t="shared" si="13"/>
        <v>233.80699999999999</v>
      </c>
      <c r="O40" s="274">
        <v>2</v>
      </c>
      <c r="P40" s="240">
        <f t="shared" si="5"/>
        <v>467.61399999999998</v>
      </c>
      <c r="Q40" s="81">
        <f t="shared" si="16"/>
        <v>-17.613999999999976</v>
      </c>
      <c r="R40" s="197" t="str">
        <f t="shared" si="14"/>
        <v>Yes</v>
      </c>
      <c r="S40" s="211"/>
      <c r="T40" s="210"/>
      <c r="AD40" s="60" t="s">
        <v>85</v>
      </c>
      <c r="AE40" s="350">
        <v>0</v>
      </c>
      <c r="AF40" s="350">
        <v>0</v>
      </c>
      <c r="AG40" s="350">
        <v>0</v>
      </c>
      <c r="AH40" s="350">
        <v>0</v>
      </c>
      <c r="AI40" s="352">
        <v>0</v>
      </c>
      <c r="AJ40" s="60">
        <f t="shared" ref="AJ40:AJ50" si="17">SUM(AE40:AI40)</f>
        <v>0</v>
      </c>
      <c r="AO40" s="459"/>
      <c r="AP40" s="459"/>
      <c r="AQ40" s="459"/>
      <c r="AR40" s="459"/>
    </row>
    <row r="41" spans="1:44" ht="13.5" thickBot="1" x14ac:dyDescent="0.25">
      <c r="A41" s="464" t="s">
        <v>363</v>
      </c>
      <c r="B41" s="63" t="s">
        <v>362</v>
      </c>
      <c r="C41" s="116" t="s">
        <v>74</v>
      </c>
      <c r="D41" s="95">
        <v>632.29499999999996</v>
      </c>
      <c r="E41" s="95">
        <f>E22</f>
        <v>1050</v>
      </c>
      <c r="F41" s="95">
        <v>416.14780000000002</v>
      </c>
      <c r="G41" s="269">
        <v>2</v>
      </c>
      <c r="H41" s="179">
        <f t="shared" si="3"/>
        <v>832.29560000000004</v>
      </c>
      <c r="I41" s="94">
        <f t="shared" si="12"/>
        <v>633.85220000000004</v>
      </c>
      <c r="J41" s="84">
        <f t="shared" si="15"/>
        <v>79.266247619047618</v>
      </c>
      <c r="K41" s="93" t="s">
        <v>361</v>
      </c>
      <c r="L41" s="93">
        <v>692.19500000000005</v>
      </c>
      <c r="M41" s="93">
        <v>1050</v>
      </c>
      <c r="N41" s="92">
        <f t="shared" si="13"/>
        <v>416.14780000000002</v>
      </c>
      <c r="O41" s="273">
        <v>2</v>
      </c>
      <c r="P41" s="240">
        <f t="shared" si="5"/>
        <v>832.29560000000004</v>
      </c>
      <c r="Q41" s="81">
        <f t="shared" si="16"/>
        <v>217.70439999999996</v>
      </c>
      <c r="R41" s="197" t="str">
        <f t="shared" si="14"/>
        <v>No</v>
      </c>
      <c r="S41" s="229"/>
      <c r="T41" s="229"/>
      <c r="AD41" s="60" t="s">
        <v>86</v>
      </c>
      <c r="AE41" s="350">
        <v>0</v>
      </c>
      <c r="AF41" s="350">
        <v>0</v>
      </c>
      <c r="AG41" s="350">
        <v>0</v>
      </c>
      <c r="AH41" s="350">
        <v>0</v>
      </c>
      <c r="AI41" s="352">
        <v>0</v>
      </c>
      <c r="AJ41" s="60">
        <f t="shared" si="17"/>
        <v>0</v>
      </c>
      <c r="AL41" s="457" t="s">
        <v>534</v>
      </c>
      <c r="AM41" s="457" t="s">
        <v>535</v>
      </c>
      <c r="AN41" s="355" t="s">
        <v>536</v>
      </c>
      <c r="AO41" s="459"/>
      <c r="AP41" s="459"/>
    </row>
    <row r="42" spans="1:44" ht="14.25" customHeight="1" thickBot="1" x14ac:dyDescent="0.25">
      <c r="A42" s="464"/>
      <c r="B42" s="97" t="s">
        <v>360</v>
      </c>
      <c r="C42" s="96" t="s">
        <v>55</v>
      </c>
      <c r="D42" s="110">
        <v>566.26</v>
      </c>
      <c r="E42" s="110">
        <f>E27</f>
        <v>1050</v>
      </c>
      <c r="F42" s="110">
        <v>424.66829999999999</v>
      </c>
      <c r="G42" s="271">
        <v>2</v>
      </c>
      <c r="H42" s="179">
        <f t="shared" si="3"/>
        <v>849.33659999999998</v>
      </c>
      <c r="I42" s="109">
        <f t="shared" si="12"/>
        <v>625.33169999999996</v>
      </c>
      <c r="J42" s="84">
        <f t="shared" si="15"/>
        <v>80.889199999999988</v>
      </c>
      <c r="K42" s="108" t="s">
        <v>359</v>
      </c>
      <c r="L42" s="108">
        <v>1033.6600000000001</v>
      </c>
      <c r="M42" s="108">
        <v>1050</v>
      </c>
      <c r="N42" s="107">
        <f t="shared" si="13"/>
        <v>424.66829999999999</v>
      </c>
      <c r="O42" s="274">
        <v>2</v>
      </c>
      <c r="P42" s="240">
        <f t="shared" si="5"/>
        <v>849.33659999999998</v>
      </c>
      <c r="Q42" s="81">
        <f t="shared" si="16"/>
        <v>200.66340000000002</v>
      </c>
      <c r="R42" s="197" t="str">
        <f t="shared" si="14"/>
        <v>No</v>
      </c>
      <c r="S42" s="369"/>
      <c r="T42" s="369"/>
      <c r="U42" s="242"/>
      <c r="AD42" s="60" t="s">
        <v>87</v>
      </c>
      <c r="AE42" s="350">
        <v>1</v>
      </c>
      <c r="AF42" s="350">
        <v>0</v>
      </c>
      <c r="AG42" s="350">
        <v>0</v>
      </c>
      <c r="AH42" s="350">
        <v>0</v>
      </c>
      <c r="AI42" s="352">
        <v>0</v>
      </c>
      <c r="AJ42" s="60">
        <f t="shared" si="17"/>
        <v>1</v>
      </c>
      <c r="AL42" s="61" t="s">
        <v>529</v>
      </c>
      <c r="AM42" s="61">
        <v>100</v>
      </c>
      <c r="AN42" s="454">
        <v>15</v>
      </c>
      <c r="AO42" s="459"/>
      <c r="AP42" s="459"/>
    </row>
    <row r="43" spans="1:44" ht="14.25" customHeight="1" thickBot="1" x14ac:dyDescent="0.25">
      <c r="A43" s="464"/>
      <c r="B43" s="97" t="s">
        <v>358</v>
      </c>
      <c r="C43" s="96" t="s">
        <v>62</v>
      </c>
      <c r="D43" s="95">
        <v>174.54</v>
      </c>
      <c r="E43" s="95">
        <v>250</v>
      </c>
      <c r="F43" s="95">
        <v>80.336669999999998</v>
      </c>
      <c r="G43" s="270">
        <v>2</v>
      </c>
      <c r="H43" s="179">
        <f t="shared" si="3"/>
        <v>160.67334</v>
      </c>
      <c r="I43" s="94">
        <f t="shared" si="12"/>
        <v>169.66333</v>
      </c>
      <c r="J43" s="84">
        <f t="shared" si="15"/>
        <v>64.269335999999996</v>
      </c>
      <c r="K43" s="93" t="s">
        <v>357</v>
      </c>
      <c r="L43" s="93">
        <v>811.21</v>
      </c>
      <c r="M43" s="93">
        <v>150</v>
      </c>
      <c r="N43" s="107">
        <f t="shared" si="13"/>
        <v>80.336669999999998</v>
      </c>
      <c r="O43" s="275">
        <v>2</v>
      </c>
      <c r="P43" s="240">
        <f t="shared" si="5"/>
        <v>160.67334</v>
      </c>
      <c r="Q43" s="81">
        <f t="shared" si="16"/>
        <v>-10.673339999999996</v>
      </c>
      <c r="R43" s="197" t="str">
        <f t="shared" si="14"/>
        <v>Yes</v>
      </c>
      <c r="S43" s="369"/>
      <c r="T43" s="369"/>
      <c r="U43" s="242"/>
      <c r="AD43" s="60" t="s">
        <v>88</v>
      </c>
      <c r="AE43" s="350">
        <v>0</v>
      </c>
      <c r="AF43" s="350">
        <v>0</v>
      </c>
      <c r="AG43" s="350">
        <v>0</v>
      </c>
      <c r="AH43" s="350">
        <v>0</v>
      </c>
      <c r="AI43" s="352">
        <v>0</v>
      </c>
      <c r="AJ43" s="60">
        <f t="shared" si="17"/>
        <v>0</v>
      </c>
      <c r="AK43" s="369"/>
      <c r="AL43" s="356" t="s">
        <v>530</v>
      </c>
      <c r="AM43" s="356">
        <v>150</v>
      </c>
      <c r="AN43" s="455">
        <v>16.3689</v>
      </c>
      <c r="AO43" s="459"/>
      <c r="AP43" s="459"/>
      <c r="AR43" s="459"/>
    </row>
    <row r="44" spans="1:44" ht="13.5" thickBot="1" x14ac:dyDescent="0.25">
      <c r="A44" s="365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95">
        <v>2</v>
      </c>
      <c r="H44" s="179">
        <f t="shared" si="3"/>
        <v>134.48365999999999</v>
      </c>
      <c r="I44" s="84">
        <f t="shared" si="12"/>
        <v>132.75817000000001</v>
      </c>
      <c r="J44" s="84">
        <f t="shared" si="15"/>
        <v>67.241829999999993</v>
      </c>
      <c r="K44" s="83" t="s">
        <v>354</v>
      </c>
      <c r="L44" s="83">
        <v>607.995</v>
      </c>
      <c r="M44" s="83">
        <v>150</v>
      </c>
      <c r="N44" s="82">
        <f t="shared" si="13"/>
        <v>67.241829999999993</v>
      </c>
      <c r="O44" s="91">
        <v>2</v>
      </c>
      <c r="P44" s="240">
        <f t="shared" si="5"/>
        <v>134.48365999999999</v>
      </c>
      <c r="Q44" s="81">
        <f t="shared" si="16"/>
        <v>15.516340000000014</v>
      </c>
      <c r="R44" s="197" t="str">
        <f t="shared" si="14"/>
        <v>No</v>
      </c>
      <c r="S44" s="369"/>
      <c r="T44" s="369"/>
      <c r="U44" s="242"/>
      <c r="AD44" s="60" t="s">
        <v>89</v>
      </c>
      <c r="AE44" s="350">
        <v>0</v>
      </c>
      <c r="AF44" s="350">
        <v>0</v>
      </c>
      <c r="AG44" s="350">
        <v>0</v>
      </c>
      <c r="AH44" s="350">
        <v>0</v>
      </c>
      <c r="AI44" s="352">
        <v>0</v>
      </c>
      <c r="AJ44" s="60">
        <f t="shared" si="17"/>
        <v>0</v>
      </c>
      <c r="AK44" s="367"/>
      <c r="AL44" s="356" t="s">
        <v>531</v>
      </c>
      <c r="AM44" s="356">
        <v>200</v>
      </c>
      <c r="AN44" s="455">
        <v>16.746700000000001</v>
      </c>
      <c r="AO44" s="459"/>
      <c r="AP44" s="459"/>
      <c r="AR44" s="459"/>
    </row>
    <row r="45" spans="1:44" ht="13.5" thickBot="1" x14ac:dyDescent="0.25">
      <c r="A45" s="462" t="s">
        <v>349</v>
      </c>
      <c r="B45" s="87" t="s">
        <v>353</v>
      </c>
      <c r="C45" s="86" t="s">
        <v>342</v>
      </c>
      <c r="D45" s="85">
        <v>592.98500000000001</v>
      </c>
      <c r="E45" s="85">
        <v>450</v>
      </c>
      <c r="F45" s="85">
        <v>175.91919999999999</v>
      </c>
      <c r="G45" s="269">
        <v>2</v>
      </c>
      <c r="H45" s="179">
        <f t="shared" si="3"/>
        <v>351.83839999999998</v>
      </c>
      <c r="I45" s="84">
        <f t="shared" si="12"/>
        <v>274.08080000000001</v>
      </c>
      <c r="J45" s="84">
        <f t="shared" si="15"/>
        <v>78.18631111111111</v>
      </c>
      <c r="K45" s="83" t="s">
        <v>352</v>
      </c>
      <c r="L45" s="83">
        <v>1051.23</v>
      </c>
      <c r="M45" s="83">
        <v>450</v>
      </c>
      <c r="N45" s="82">
        <f t="shared" si="13"/>
        <v>175.91919999999999</v>
      </c>
      <c r="O45" s="273">
        <v>2</v>
      </c>
      <c r="P45" s="240">
        <f t="shared" si="5"/>
        <v>351.83839999999998</v>
      </c>
      <c r="Q45" s="81">
        <f t="shared" si="16"/>
        <v>98.161600000000021</v>
      </c>
      <c r="R45" s="197" t="str">
        <f t="shared" si="14"/>
        <v>No</v>
      </c>
      <c r="S45" s="369"/>
      <c r="T45" s="369"/>
      <c r="U45" s="242"/>
      <c r="AD45" s="60" t="s">
        <v>90</v>
      </c>
      <c r="AE45" s="350">
        <v>0</v>
      </c>
      <c r="AF45" s="350">
        <v>0</v>
      </c>
      <c r="AG45" s="350">
        <v>0</v>
      </c>
      <c r="AH45" s="350">
        <v>0</v>
      </c>
      <c r="AI45" s="352">
        <v>0</v>
      </c>
      <c r="AJ45" s="60">
        <f t="shared" si="17"/>
        <v>0</v>
      </c>
      <c r="AK45" s="367"/>
      <c r="AL45" s="356" t="s">
        <v>532</v>
      </c>
      <c r="AM45" s="356">
        <v>250</v>
      </c>
      <c r="AN45" s="455">
        <v>16.886600000000001</v>
      </c>
      <c r="AO45" s="459"/>
      <c r="AP45" s="459"/>
      <c r="AR45" s="459"/>
    </row>
    <row r="46" spans="1:44" ht="14.25" customHeight="1" thickBot="1" x14ac:dyDescent="0.25">
      <c r="A46" s="464"/>
      <c r="B46" s="97" t="s">
        <v>350</v>
      </c>
      <c r="C46" s="96" t="s">
        <v>349</v>
      </c>
      <c r="D46" s="110">
        <v>374.84</v>
      </c>
      <c r="E46" s="110">
        <v>400</v>
      </c>
      <c r="F46" s="110">
        <v>115.1143</v>
      </c>
      <c r="G46" s="271">
        <v>2</v>
      </c>
      <c r="H46" s="179">
        <f t="shared" si="3"/>
        <v>230.2286</v>
      </c>
      <c r="I46" s="109">
        <f t="shared" si="12"/>
        <v>284.88569999999999</v>
      </c>
      <c r="J46" s="84">
        <f t="shared" si="15"/>
        <v>57.55715</v>
      </c>
      <c r="K46" s="108" t="s">
        <v>348</v>
      </c>
      <c r="L46" s="108">
        <v>838.745</v>
      </c>
      <c r="M46" s="108">
        <v>300</v>
      </c>
      <c r="N46" s="107">
        <f t="shared" si="13"/>
        <v>115.1143</v>
      </c>
      <c r="O46" s="274">
        <v>2</v>
      </c>
      <c r="P46" s="240">
        <f t="shared" si="5"/>
        <v>230.2286</v>
      </c>
      <c r="Q46" s="81">
        <f t="shared" si="16"/>
        <v>69.7714</v>
      </c>
      <c r="R46" s="197" t="str">
        <f t="shared" si="14"/>
        <v>No</v>
      </c>
      <c r="S46" s="369"/>
      <c r="T46" s="369"/>
      <c r="U46" s="242"/>
      <c r="AD46" s="60" t="s">
        <v>91</v>
      </c>
      <c r="AE46" s="350">
        <v>1</v>
      </c>
      <c r="AF46" s="350">
        <v>0</v>
      </c>
      <c r="AG46" s="352">
        <v>0</v>
      </c>
      <c r="AH46" s="352">
        <v>0</v>
      </c>
      <c r="AI46" s="352">
        <v>0</v>
      </c>
      <c r="AJ46" s="60">
        <f t="shared" si="17"/>
        <v>1</v>
      </c>
      <c r="AK46" s="369"/>
      <c r="AL46" s="357" t="s">
        <v>582</v>
      </c>
      <c r="AM46" s="357">
        <v>300</v>
      </c>
      <c r="AN46" s="456">
        <v>17</v>
      </c>
      <c r="AO46" s="459"/>
      <c r="AP46" s="459"/>
      <c r="AR46" s="459"/>
    </row>
    <row r="47" spans="1:44" ht="14.25" customHeight="1" thickBot="1" x14ac:dyDescent="0.25">
      <c r="A47" s="464"/>
      <c r="B47" s="97" t="s">
        <v>347</v>
      </c>
      <c r="C47" s="96" t="s">
        <v>335</v>
      </c>
      <c r="D47" s="110">
        <v>675.17499999999995</v>
      </c>
      <c r="E47" s="110">
        <v>300</v>
      </c>
      <c r="F47" s="110">
        <v>87.5685</v>
      </c>
      <c r="G47" s="271">
        <v>2</v>
      </c>
      <c r="H47" s="179">
        <f t="shared" si="3"/>
        <v>175.137</v>
      </c>
      <c r="I47" s="109">
        <f t="shared" si="12"/>
        <v>212.4315</v>
      </c>
      <c r="J47" s="84">
        <f t="shared" si="15"/>
        <v>58.379000000000005</v>
      </c>
      <c r="K47" s="108" t="s">
        <v>346</v>
      </c>
      <c r="L47" s="108">
        <v>792.93499999999995</v>
      </c>
      <c r="M47" s="108">
        <v>300</v>
      </c>
      <c r="N47" s="107">
        <f t="shared" si="13"/>
        <v>87.5685</v>
      </c>
      <c r="O47" s="274">
        <v>2</v>
      </c>
      <c r="P47" s="240">
        <f t="shared" si="5"/>
        <v>175.137</v>
      </c>
      <c r="Q47" s="81">
        <f t="shared" si="16"/>
        <v>124.863</v>
      </c>
      <c r="R47" s="197" t="str">
        <f t="shared" si="14"/>
        <v>No</v>
      </c>
      <c r="S47" s="369"/>
      <c r="T47" s="369"/>
      <c r="U47" s="242"/>
      <c r="AD47" s="60" t="s">
        <v>92</v>
      </c>
      <c r="AE47" s="352">
        <v>0</v>
      </c>
      <c r="AF47" s="352">
        <v>0</v>
      </c>
      <c r="AG47" s="352">
        <v>0</v>
      </c>
      <c r="AH47" s="352">
        <v>0</v>
      </c>
      <c r="AI47" s="352">
        <v>0</v>
      </c>
      <c r="AJ47" s="60">
        <f t="shared" si="17"/>
        <v>0</v>
      </c>
      <c r="AK47" s="369"/>
      <c r="AL47" s="459"/>
      <c r="AM47" s="459"/>
      <c r="AO47" s="459"/>
      <c r="AP47" s="459"/>
      <c r="AR47" s="459"/>
    </row>
    <row r="48" spans="1:44" ht="14.25" customHeight="1" thickBot="1" x14ac:dyDescent="0.25">
      <c r="A48" s="464"/>
      <c r="B48" s="97" t="s">
        <v>339</v>
      </c>
      <c r="C48" s="96" t="s">
        <v>338</v>
      </c>
      <c r="D48" s="95">
        <v>768.38499999999999</v>
      </c>
      <c r="E48" s="95">
        <v>150</v>
      </c>
      <c r="F48" s="95">
        <v>46.164000000000001</v>
      </c>
      <c r="G48" s="271">
        <v>2</v>
      </c>
      <c r="H48" s="179">
        <f t="shared" si="3"/>
        <v>92.328000000000003</v>
      </c>
      <c r="I48" s="94">
        <f t="shared" si="12"/>
        <v>103.836</v>
      </c>
      <c r="J48" s="84">
        <f t="shared" si="15"/>
        <v>61.552000000000007</v>
      </c>
      <c r="K48" s="93" t="s">
        <v>345</v>
      </c>
      <c r="L48" s="93">
        <v>934.80499999999995</v>
      </c>
      <c r="M48" s="93">
        <v>150</v>
      </c>
      <c r="N48" s="92">
        <f t="shared" si="13"/>
        <v>46.164000000000001</v>
      </c>
      <c r="O48" s="274">
        <v>2</v>
      </c>
      <c r="P48" s="240">
        <f t="shared" si="5"/>
        <v>92.328000000000003</v>
      </c>
      <c r="Q48" s="81">
        <f t="shared" si="16"/>
        <v>57.671999999999997</v>
      </c>
      <c r="R48" s="197" t="str">
        <f t="shared" si="14"/>
        <v>No</v>
      </c>
      <c r="S48" s="369"/>
      <c r="T48" s="369"/>
      <c r="U48" s="242"/>
      <c r="AD48" s="60" t="s">
        <v>93</v>
      </c>
      <c r="AE48" s="352">
        <v>1</v>
      </c>
      <c r="AF48" s="350">
        <v>0</v>
      </c>
      <c r="AG48" s="352">
        <v>0</v>
      </c>
      <c r="AH48" s="352">
        <v>0</v>
      </c>
      <c r="AI48" s="352">
        <v>0</v>
      </c>
      <c r="AJ48" s="60">
        <f t="shared" si="17"/>
        <v>1</v>
      </c>
      <c r="AK48" s="369"/>
      <c r="AL48" s="459"/>
      <c r="AM48" s="459"/>
      <c r="AO48" s="459"/>
      <c r="AP48" s="459"/>
      <c r="AQ48" s="341"/>
      <c r="AR48" s="459"/>
    </row>
    <row r="49" spans="1:44" ht="13.5" thickBot="1" x14ac:dyDescent="0.25">
      <c r="A49" s="462" t="s">
        <v>344</v>
      </c>
      <c r="B49" s="87" t="s">
        <v>343</v>
      </c>
      <c r="C49" s="86" t="s">
        <v>342</v>
      </c>
      <c r="D49" s="85">
        <v>592.98500000000001</v>
      </c>
      <c r="E49" s="85">
        <f>E45</f>
        <v>450</v>
      </c>
      <c r="F49" s="85">
        <v>175.91919999999999</v>
      </c>
      <c r="G49" s="269">
        <v>2</v>
      </c>
      <c r="H49" s="179">
        <f t="shared" si="3"/>
        <v>351.83839999999998</v>
      </c>
      <c r="I49" s="84">
        <f t="shared" si="12"/>
        <v>274.08080000000001</v>
      </c>
      <c r="J49" s="84">
        <f t="shared" si="15"/>
        <v>78.18631111111111</v>
      </c>
      <c r="K49" s="83" t="s">
        <v>341</v>
      </c>
      <c r="L49" s="83">
        <v>992.44500000000005</v>
      </c>
      <c r="M49" s="83">
        <v>450</v>
      </c>
      <c r="N49" s="82">
        <f t="shared" si="13"/>
        <v>175.91919999999999</v>
      </c>
      <c r="O49" s="273">
        <v>2</v>
      </c>
      <c r="P49" s="240">
        <f t="shared" si="5"/>
        <v>351.83839999999998</v>
      </c>
      <c r="Q49" s="81">
        <f t="shared" si="16"/>
        <v>98.161600000000021</v>
      </c>
      <c r="R49" s="197" t="str">
        <f t="shared" si="14"/>
        <v>No</v>
      </c>
      <c r="S49" s="369"/>
      <c r="T49" s="369"/>
      <c r="U49" s="242"/>
      <c r="AD49" s="60" t="s">
        <v>94</v>
      </c>
      <c r="AE49" s="352">
        <v>1</v>
      </c>
      <c r="AF49" s="350">
        <v>0</v>
      </c>
      <c r="AG49" s="352">
        <v>0</v>
      </c>
      <c r="AH49" s="352">
        <v>0</v>
      </c>
      <c r="AI49" s="352">
        <v>0</v>
      </c>
      <c r="AJ49" s="60">
        <f t="shared" si="17"/>
        <v>1</v>
      </c>
      <c r="AK49" s="18"/>
      <c r="AL49" s="18"/>
      <c r="AM49" s="459"/>
      <c r="AO49" s="459"/>
      <c r="AP49" s="459"/>
      <c r="AR49" s="459"/>
    </row>
    <row r="50" spans="1:44" ht="14.25" customHeight="1" thickBot="1" x14ac:dyDescent="0.25">
      <c r="A50" s="464"/>
      <c r="B50" s="97" t="s">
        <v>339</v>
      </c>
      <c r="C50" s="96" t="s">
        <v>338</v>
      </c>
      <c r="D50" s="95">
        <v>768.38499999999999</v>
      </c>
      <c r="E50" s="95">
        <f>E48</f>
        <v>150</v>
      </c>
      <c r="F50" s="95">
        <v>46.164000000000001</v>
      </c>
      <c r="G50" s="271">
        <v>2</v>
      </c>
      <c r="H50" s="179">
        <f t="shared" si="3"/>
        <v>92.328000000000003</v>
      </c>
      <c r="I50" s="94">
        <f t="shared" si="12"/>
        <v>103.836</v>
      </c>
      <c r="J50" s="84">
        <f t="shared" si="15"/>
        <v>61.552000000000007</v>
      </c>
      <c r="K50" s="93" t="s">
        <v>337</v>
      </c>
      <c r="L50" s="93">
        <v>817.04499999999996</v>
      </c>
      <c r="M50" s="93">
        <v>150</v>
      </c>
      <c r="N50" s="92">
        <f t="shared" si="13"/>
        <v>46.164000000000001</v>
      </c>
      <c r="O50" s="274">
        <v>2</v>
      </c>
      <c r="P50" s="240">
        <f t="shared" si="5"/>
        <v>92.328000000000003</v>
      </c>
      <c r="Q50" s="81">
        <f t="shared" si="16"/>
        <v>57.671999999999997</v>
      </c>
      <c r="R50" s="197" t="str">
        <f t="shared" si="14"/>
        <v>No</v>
      </c>
      <c r="S50" s="369"/>
      <c r="T50" s="369"/>
      <c r="U50" s="242"/>
      <c r="AD50" s="358" t="s">
        <v>508</v>
      </c>
      <c r="AE50" s="359">
        <v>0</v>
      </c>
      <c r="AF50" s="359">
        <v>0</v>
      </c>
      <c r="AG50" s="359">
        <v>0</v>
      </c>
      <c r="AH50" s="359">
        <v>0</v>
      </c>
      <c r="AI50" s="359">
        <v>0</v>
      </c>
      <c r="AJ50" s="358">
        <f t="shared" si="17"/>
        <v>0</v>
      </c>
      <c r="AK50" s="369"/>
      <c r="AL50" s="491" t="s">
        <v>620</v>
      </c>
      <c r="AM50" s="492"/>
      <c r="AN50" s="492"/>
      <c r="AO50" s="492"/>
      <c r="AP50" s="492"/>
      <c r="AQ50" s="493"/>
      <c r="AR50" s="161"/>
    </row>
    <row r="51" spans="1:44" ht="13.5" thickBot="1" x14ac:dyDescent="0.25">
      <c r="A51" s="462" t="s">
        <v>340</v>
      </c>
      <c r="B51" s="87" t="s">
        <v>339</v>
      </c>
      <c r="C51" s="86" t="s">
        <v>338</v>
      </c>
      <c r="D51" s="85">
        <v>768.38499999999999</v>
      </c>
      <c r="E51" s="85">
        <f>E50</f>
        <v>150</v>
      </c>
      <c r="F51" s="85">
        <v>46.164000000000001</v>
      </c>
      <c r="G51" s="269">
        <v>2</v>
      </c>
      <c r="H51" s="179">
        <f t="shared" si="3"/>
        <v>92.328000000000003</v>
      </c>
      <c r="I51" s="84">
        <f t="shared" si="12"/>
        <v>103.836</v>
      </c>
      <c r="J51" s="84">
        <f t="shared" si="15"/>
        <v>61.552000000000007</v>
      </c>
      <c r="K51" s="83" t="s">
        <v>337</v>
      </c>
      <c r="L51" s="83">
        <v>817.04499999999996</v>
      </c>
      <c r="M51" s="83">
        <v>150</v>
      </c>
      <c r="N51" s="82">
        <f t="shared" si="13"/>
        <v>46.164000000000001</v>
      </c>
      <c r="O51" s="273">
        <v>2</v>
      </c>
      <c r="P51" s="240">
        <f t="shared" si="5"/>
        <v>92.328000000000003</v>
      </c>
      <c r="Q51" s="81">
        <f t="shared" si="16"/>
        <v>57.671999999999997</v>
      </c>
      <c r="R51" s="197" t="str">
        <f t="shared" si="14"/>
        <v>No</v>
      </c>
      <c r="S51" s="369"/>
      <c r="T51" s="369"/>
      <c r="U51" s="242"/>
      <c r="AD51" s="328" t="s">
        <v>537</v>
      </c>
      <c r="AE51" s="360">
        <f t="shared" ref="AE51:AJ51" si="18">SUM(AE39:AE50)</f>
        <v>4</v>
      </c>
      <c r="AF51" s="360">
        <f t="shared" si="18"/>
        <v>0</v>
      </c>
      <c r="AG51" s="360">
        <f t="shared" si="18"/>
        <v>0</v>
      </c>
      <c r="AH51" s="360">
        <f t="shared" si="18"/>
        <v>0</v>
      </c>
      <c r="AI51" s="360">
        <f t="shared" si="18"/>
        <v>0</v>
      </c>
      <c r="AJ51" s="361">
        <f t="shared" si="18"/>
        <v>4</v>
      </c>
      <c r="AK51" s="369"/>
      <c r="AL51" s="346" t="s">
        <v>528</v>
      </c>
      <c r="AM51" s="348" t="s">
        <v>529</v>
      </c>
      <c r="AN51" s="348" t="s">
        <v>530</v>
      </c>
      <c r="AO51" s="348" t="s">
        <v>531</v>
      </c>
      <c r="AP51" s="348" t="s">
        <v>532</v>
      </c>
      <c r="AQ51" s="349" t="s">
        <v>582</v>
      </c>
      <c r="AR51" s="328" t="s">
        <v>417</v>
      </c>
    </row>
    <row r="52" spans="1:44" ht="14.25" customHeight="1" thickBot="1" x14ac:dyDescent="0.25">
      <c r="A52" s="464"/>
      <c r="B52" s="97" t="s">
        <v>30</v>
      </c>
      <c r="C52" s="96" t="s">
        <v>326</v>
      </c>
      <c r="D52" s="95">
        <v>317.27</v>
      </c>
      <c r="E52" s="95">
        <v>400</v>
      </c>
      <c r="F52" s="95">
        <v>136.87530000000001</v>
      </c>
      <c r="G52" s="271">
        <v>2</v>
      </c>
      <c r="H52" s="179">
        <f t="shared" si="3"/>
        <v>273.75060000000002</v>
      </c>
      <c r="I52" s="94">
        <f t="shared" si="12"/>
        <v>263.12469999999996</v>
      </c>
      <c r="J52" s="84">
        <f t="shared" si="15"/>
        <v>68.437650000000005</v>
      </c>
      <c r="K52" s="93" t="s">
        <v>325</v>
      </c>
      <c r="L52" s="93">
        <v>518.48</v>
      </c>
      <c r="M52" s="93">
        <v>400</v>
      </c>
      <c r="N52" s="92">
        <f t="shared" si="13"/>
        <v>136.87530000000001</v>
      </c>
      <c r="O52" s="274">
        <v>2</v>
      </c>
      <c r="P52" s="240">
        <f t="shared" si="5"/>
        <v>273.75060000000002</v>
      </c>
      <c r="Q52" s="81">
        <f t="shared" si="16"/>
        <v>126.24939999999998</v>
      </c>
      <c r="R52" s="197" t="str">
        <f t="shared" si="14"/>
        <v>No</v>
      </c>
      <c r="S52" s="369"/>
      <c r="T52" s="369"/>
      <c r="U52" s="242"/>
      <c r="AD52" s="328" t="s">
        <v>536</v>
      </c>
      <c r="AE52" s="362">
        <f>PRODUCT(AE51*AN42)</f>
        <v>60</v>
      </c>
      <c r="AF52" s="362">
        <f>PRODUCT(AF51*AN43)</f>
        <v>0</v>
      </c>
      <c r="AG52" s="362">
        <f>PRODUCT(AG51*AN44)</f>
        <v>0</v>
      </c>
      <c r="AH52" s="362">
        <f>PRODUCT(AH51*AN45)</f>
        <v>0</v>
      </c>
      <c r="AI52" s="362">
        <f>PRODUCT(AI51*AN46)</f>
        <v>0</v>
      </c>
      <c r="AJ52" s="328">
        <f>SUM(AE52:AI52)</f>
        <v>60</v>
      </c>
      <c r="AK52" s="369"/>
      <c r="AL52" s="60" t="s">
        <v>84</v>
      </c>
      <c r="AM52" s="352">
        <f>AE39+AE59</f>
        <v>0</v>
      </c>
      <c r="AN52" s="352">
        <f t="shared" ref="AN52:AQ63" si="19">AF39+AF59</f>
        <v>10</v>
      </c>
      <c r="AO52" s="352">
        <f t="shared" si="19"/>
        <v>3</v>
      </c>
      <c r="AP52" s="352">
        <f t="shared" si="19"/>
        <v>2</v>
      </c>
      <c r="AQ52" s="352">
        <f t="shared" si="19"/>
        <v>0</v>
      </c>
      <c r="AR52" s="353">
        <f>SUM(AM52:AQ52)</f>
        <v>15</v>
      </c>
    </row>
    <row r="53" spans="1:44" ht="13.5" thickBot="1" x14ac:dyDescent="0.25">
      <c r="A53" s="462" t="s">
        <v>336</v>
      </c>
      <c r="B53" s="87" t="s">
        <v>28</v>
      </c>
      <c r="C53" s="86" t="s">
        <v>335</v>
      </c>
      <c r="D53" s="85">
        <v>675.17499999999995</v>
      </c>
      <c r="E53" s="85">
        <f>E47</f>
        <v>300</v>
      </c>
      <c r="F53" s="85">
        <v>87.5685</v>
      </c>
      <c r="G53" s="269">
        <v>2</v>
      </c>
      <c r="H53" s="179">
        <f t="shared" si="3"/>
        <v>175.137</v>
      </c>
      <c r="I53" s="84">
        <f t="shared" si="12"/>
        <v>212.4315</v>
      </c>
      <c r="J53" s="84">
        <f t="shared" si="15"/>
        <v>58.379000000000005</v>
      </c>
      <c r="K53" s="83" t="s">
        <v>334</v>
      </c>
      <c r="L53" s="83">
        <v>792.93499999999995</v>
      </c>
      <c r="M53" s="83">
        <v>300</v>
      </c>
      <c r="N53" s="82">
        <f t="shared" si="13"/>
        <v>87.5685</v>
      </c>
      <c r="O53" s="273">
        <v>2</v>
      </c>
      <c r="P53" s="240">
        <f t="shared" si="5"/>
        <v>175.137</v>
      </c>
      <c r="Q53" s="81">
        <f t="shared" si="16"/>
        <v>124.863</v>
      </c>
      <c r="R53" s="197" t="str">
        <f t="shared" si="14"/>
        <v>No</v>
      </c>
      <c r="S53" s="369"/>
      <c r="T53" s="369"/>
      <c r="U53" s="242"/>
      <c r="AD53" s="328" t="s">
        <v>535</v>
      </c>
      <c r="AE53" s="362">
        <f>AE51*AM42</f>
        <v>400</v>
      </c>
      <c r="AF53" s="362">
        <f>AF51*AM43</f>
        <v>0</v>
      </c>
      <c r="AG53" s="362">
        <f>AG51*AM44</f>
        <v>0</v>
      </c>
      <c r="AH53" s="362">
        <f>AH51*AM45</f>
        <v>0</v>
      </c>
      <c r="AI53" s="362">
        <f>AI51*AM46</f>
        <v>0</v>
      </c>
      <c r="AJ53" s="328">
        <f>SUM(AE53:AI53)</f>
        <v>400</v>
      </c>
      <c r="AK53" s="369"/>
      <c r="AL53" s="60" t="s">
        <v>85</v>
      </c>
      <c r="AM53" s="352">
        <f t="shared" ref="AM53:AM63" si="20">AE40+AE60</f>
        <v>0</v>
      </c>
      <c r="AN53" s="352">
        <f t="shared" si="19"/>
        <v>14</v>
      </c>
      <c r="AO53" s="352">
        <f t="shared" si="19"/>
        <v>8</v>
      </c>
      <c r="AP53" s="352">
        <f t="shared" si="19"/>
        <v>0</v>
      </c>
      <c r="AQ53" s="352">
        <f t="shared" si="19"/>
        <v>5</v>
      </c>
      <c r="AR53" s="60">
        <f t="shared" ref="AR53:AR63" si="21">SUM(AM53:AQ53)</f>
        <v>27</v>
      </c>
    </row>
    <row r="54" spans="1:44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95">
        <v>200</v>
      </c>
      <c r="F54" s="95">
        <v>33.29833</v>
      </c>
      <c r="G54" s="271">
        <v>2</v>
      </c>
      <c r="H54" s="179">
        <f t="shared" si="3"/>
        <v>66.59666</v>
      </c>
      <c r="I54" s="94">
        <f t="shared" si="12"/>
        <v>166.70167000000001</v>
      </c>
      <c r="J54" s="84">
        <f t="shared" si="15"/>
        <v>33.29833</v>
      </c>
      <c r="K54" s="93" t="s">
        <v>331</v>
      </c>
      <c r="L54" s="93">
        <v>524.75</v>
      </c>
      <c r="M54" s="93">
        <v>200</v>
      </c>
      <c r="N54" s="92">
        <f t="shared" si="13"/>
        <v>33.29833</v>
      </c>
      <c r="O54" s="274">
        <v>2</v>
      </c>
      <c r="P54" s="240">
        <f t="shared" si="5"/>
        <v>66.59666</v>
      </c>
      <c r="Q54" s="81">
        <f t="shared" si="16"/>
        <v>133.40334000000001</v>
      </c>
      <c r="R54" s="197" t="str">
        <f t="shared" si="14"/>
        <v>No</v>
      </c>
      <c r="S54" s="369"/>
      <c r="T54" s="369"/>
      <c r="U54" s="242"/>
      <c r="AD54" s="369"/>
      <c r="AE54" s="369"/>
      <c r="AF54" s="369"/>
      <c r="AG54" s="369"/>
      <c r="AH54" s="369"/>
      <c r="AI54" s="369"/>
      <c r="AJ54" s="369"/>
      <c r="AK54" s="369"/>
      <c r="AL54" s="60" t="s">
        <v>86</v>
      </c>
      <c r="AM54" s="352">
        <f t="shared" si="20"/>
        <v>0</v>
      </c>
      <c r="AN54" s="352">
        <f t="shared" si="19"/>
        <v>0</v>
      </c>
      <c r="AO54" s="352">
        <f t="shared" si="19"/>
        <v>5</v>
      </c>
      <c r="AP54" s="352">
        <f t="shared" si="19"/>
        <v>0</v>
      </c>
      <c r="AQ54" s="352">
        <f t="shared" si="19"/>
        <v>3</v>
      </c>
      <c r="AR54" s="60">
        <f t="shared" si="21"/>
        <v>8</v>
      </c>
    </row>
    <row r="55" spans="1:44" ht="13.5" thickBot="1" x14ac:dyDescent="0.25">
      <c r="A55" s="462" t="s">
        <v>330</v>
      </c>
      <c r="B55" s="87" t="s">
        <v>329</v>
      </c>
      <c r="C55" s="86" t="s">
        <v>61</v>
      </c>
      <c r="D55" s="85">
        <v>381.34</v>
      </c>
      <c r="E55" s="85">
        <f>E40</f>
        <v>600</v>
      </c>
      <c r="F55" s="85">
        <v>233.80699999999999</v>
      </c>
      <c r="G55" s="269">
        <v>2</v>
      </c>
      <c r="H55" s="179">
        <f t="shared" si="3"/>
        <v>467.61399999999998</v>
      </c>
      <c r="I55" s="84">
        <f t="shared" si="12"/>
        <v>366.19299999999998</v>
      </c>
      <c r="J55" s="84">
        <f t="shared" si="15"/>
        <v>77.935666666666663</v>
      </c>
      <c r="K55" s="83" t="s">
        <v>328</v>
      </c>
      <c r="L55" s="83">
        <v>673.16499999999996</v>
      </c>
      <c r="M55" s="83">
        <v>450</v>
      </c>
      <c r="N55" s="82">
        <f t="shared" si="13"/>
        <v>233.80699999999999</v>
      </c>
      <c r="O55" s="273">
        <v>2</v>
      </c>
      <c r="P55" s="240">
        <f t="shared" si="5"/>
        <v>467.61399999999998</v>
      </c>
      <c r="Q55" s="81">
        <f t="shared" si="16"/>
        <v>-17.613999999999976</v>
      </c>
      <c r="R55" s="197" t="str">
        <f t="shared" si="14"/>
        <v>Yes</v>
      </c>
      <c r="S55" s="369"/>
      <c r="T55" s="369"/>
      <c r="U55" s="242"/>
      <c r="AD55" s="369"/>
      <c r="AE55" s="369"/>
      <c r="AF55" s="369"/>
      <c r="AG55" s="369"/>
      <c r="AH55" s="369"/>
      <c r="AI55" s="369"/>
      <c r="AJ55" s="369"/>
      <c r="AK55" s="369"/>
      <c r="AL55" s="60" t="s">
        <v>87</v>
      </c>
      <c r="AM55" s="352">
        <f t="shared" si="20"/>
        <v>1</v>
      </c>
      <c r="AN55" s="352">
        <f t="shared" si="19"/>
        <v>25</v>
      </c>
      <c r="AO55" s="352">
        <f t="shared" si="19"/>
        <v>34</v>
      </c>
      <c r="AP55" s="352">
        <f t="shared" si="19"/>
        <v>20</v>
      </c>
      <c r="AQ55" s="352">
        <f t="shared" si="19"/>
        <v>0</v>
      </c>
      <c r="AR55" s="60">
        <f t="shared" si="21"/>
        <v>80</v>
      </c>
    </row>
    <row r="56" spans="1:44" ht="14.25" customHeight="1" thickBot="1" x14ac:dyDescent="0.25">
      <c r="A56" s="463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270">
        <v>2</v>
      </c>
      <c r="H56" s="179">
        <f t="shared" si="3"/>
        <v>273.75060000000002</v>
      </c>
      <c r="I56" s="73">
        <f t="shared" si="12"/>
        <v>263.12469999999996</v>
      </c>
      <c r="J56" s="84">
        <f t="shared" si="15"/>
        <v>68.437650000000005</v>
      </c>
      <c r="K56" s="72" t="s">
        <v>325</v>
      </c>
      <c r="L56" s="72">
        <v>518.48</v>
      </c>
      <c r="M56" s="72">
        <v>400</v>
      </c>
      <c r="N56" s="71">
        <f t="shared" si="13"/>
        <v>136.87530000000001</v>
      </c>
      <c r="O56" s="275">
        <v>2</v>
      </c>
      <c r="P56" s="240">
        <f t="shared" si="5"/>
        <v>273.75060000000002</v>
      </c>
      <c r="Q56" s="81">
        <f t="shared" si="16"/>
        <v>126.24939999999998</v>
      </c>
      <c r="R56" s="243" t="str">
        <f t="shared" si="14"/>
        <v>No</v>
      </c>
      <c r="S56" s="369"/>
      <c r="T56" s="369"/>
      <c r="U56" s="242"/>
      <c r="AD56" s="369"/>
      <c r="AE56" s="369"/>
      <c r="AF56" s="369"/>
      <c r="AG56" s="369"/>
      <c r="AH56" s="369"/>
      <c r="AI56" s="369"/>
      <c r="AJ56" s="369"/>
      <c r="AK56" s="369"/>
      <c r="AL56" s="60" t="s">
        <v>88</v>
      </c>
      <c r="AM56" s="352">
        <f t="shared" si="20"/>
        <v>0</v>
      </c>
      <c r="AN56" s="352">
        <f t="shared" si="19"/>
        <v>0</v>
      </c>
      <c r="AO56" s="352">
        <f t="shared" si="19"/>
        <v>16</v>
      </c>
      <c r="AP56" s="352">
        <f t="shared" si="19"/>
        <v>1</v>
      </c>
      <c r="AQ56" s="352">
        <f t="shared" si="19"/>
        <v>0</v>
      </c>
      <c r="AR56" s="60">
        <f t="shared" si="21"/>
        <v>17</v>
      </c>
    </row>
    <row r="57" spans="1:44" x14ac:dyDescent="0.2">
      <c r="A57" s="304"/>
      <c r="B57" s="64"/>
      <c r="C57" s="304"/>
      <c r="D57" s="304" t="s">
        <v>369</v>
      </c>
      <c r="E57" s="304">
        <f>SUM(E3:E56)</f>
        <v>36600</v>
      </c>
      <c r="F57" s="64"/>
      <c r="G57" s="64"/>
      <c r="H57" s="6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69"/>
      <c r="T57" s="369"/>
      <c r="AD57" s="491" t="s">
        <v>619</v>
      </c>
      <c r="AE57" s="492"/>
      <c r="AF57" s="492"/>
      <c r="AG57" s="492"/>
      <c r="AH57" s="492"/>
      <c r="AI57" s="493"/>
      <c r="AJ57" s="161"/>
      <c r="AL57" s="60" t="s">
        <v>89</v>
      </c>
      <c r="AM57" s="352">
        <f t="shared" si="20"/>
        <v>0</v>
      </c>
      <c r="AN57" s="352">
        <f t="shared" si="19"/>
        <v>16</v>
      </c>
      <c r="AO57" s="352">
        <f t="shared" si="19"/>
        <v>1</v>
      </c>
      <c r="AP57" s="352">
        <f t="shared" si="19"/>
        <v>1</v>
      </c>
      <c r="AQ57" s="352">
        <f t="shared" si="19"/>
        <v>0</v>
      </c>
      <c r="AR57" s="60">
        <f t="shared" si="21"/>
        <v>18</v>
      </c>
    </row>
    <row r="58" spans="1:44" x14ac:dyDescent="0.2">
      <c r="A58" s="304"/>
      <c r="B58" s="64"/>
      <c r="C58" s="304"/>
      <c r="D58" s="304"/>
      <c r="E58" s="304"/>
      <c r="F58" s="64"/>
      <c r="G58" s="64"/>
      <c r="H58" s="64"/>
      <c r="I58" s="304"/>
      <c r="J58" s="304"/>
      <c r="K58" s="304"/>
      <c r="L58" s="304"/>
      <c r="M58" s="304"/>
      <c r="N58" s="304"/>
      <c r="O58" s="304"/>
      <c r="P58" s="304"/>
      <c r="Q58" s="304"/>
      <c r="R58" s="304"/>
      <c r="S58" s="369"/>
      <c r="T58" s="369"/>
      <c r="AD58" s="346" t="s">
        <v>528</v>
      </c>
      <c r="AE58" s="348" t="s">
        <v>529</v>
      </c>
      <c r="AF58" s="348" t="s">
        <v>530</v>
      </c>
      <c r="AG58" s="348" t="s">
        <v>531</v>
      </c>
      <c r="AH58" s="348" t="s">
        <v>532</v>
      </c>
      <c r="AI58" s="349" t="s">
        <v>582</v>
      </c>
      <c r="AJ58" s="328" t="s">
        <v>417</v>
      </c>
      <c r="AL58" s="60" t="s">
        <v>90</v>
      </c>
      <c r="AM58" s="352">
        <f t="shared" si="20"/>
        <v>0</v>
      </c>
      <c r="AN58" s="352">
        <f t="shared" si="19"/>
        <v>0</v>
      </c>
      <c r="AO58" s="352">
        <f t="shared" si="19"/>
        <v>1</v>
      </c>
      <c r="AP58" s="352">
        <f t="shared" si="19"/>
        <v>3</v>
      </c>
      <c r="AQ58" s="352">
        <f t="shared" si="19"/>
        <v>2</v>
      </c>
      <c r="AR58" s="60">
        <f t="shared" si="21"/>
        <v>6</v>
      </c>
    </row>
    <row r="59" spans="1:44" x14ac:dyDescent="0.2">
      <c r="A59" s="304"/>
      <c r="B59" s="64"/>
      <c r="C59" s="304"/>
      <c r="D59" s="304"/>
      <c r="E59" s="304"/>
      <c r="F59" s="64"/>
      <c r="G59" s="64"/>
      <c r="H59" s="6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69"/>
      <c r="T59" s="304"/>
      <c r="AD59" s="60" t="s">
        <v>84</v>
      </c>
      <c r="AE59" s="352">
        <v>0</v>
      </c>
      <c r="AF59" s="352">
        <f>10</f>
        <v>10</v>
      </c>
      <c r="AG59" s="450">
        <f>2+1</f>
        <v>3</v>
      </c>
      <c r="AH59" s="450">
        <f>2</f>
        <v>2</v>
      </c>
      <c r="AI59" s="352">
        <v>0</v>
      </c>
      <c r="AJ59" s="353">
        <f>SUM(AE59:AI59)</f>
        <v>15</v>
      </c>
      <c r="AL59" s="60" t="s">
        <v>91</v>
      </c>
      <c r="AM59" s="352">
        <f t="shared" si="20"/>
        <v>1</v>
      </c>
      <c r="AN59" s="352">
        <f t="shared" si="19"/>
        <v>19</v>
      </c>
      <c r="AO59" s="352">
        <f t="shared" si="19"/>
        <v>3</v>
      </c>
      <c r="AP59" s="352">
        <f t="shared" si="19"/>
        <v>2</v>
      </c>
      <c r="AQ59" s="352">
        <f t="shared" si="19"/>
        <v>0</v>
      </c>
      <c r="AR59" s="60">
        <f t="shared" si="21"/>
        <v>25</v>
      </c>
    </row>
    <row r="60" spans="1:44" x14ac:dyDescent="0.2">
      <c r="A60" s="304"/>
      <c r="B60" s="64"/>
      <c r="C60" s="304"/>
      <c r="D60" s="304"/>
      <c r="E60" s="304"/>
      <c r="F60" s="64"/>
      <c r="G60" s="64"/>
      <c r="H60" s="6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69"/>
      <c r="T60" s="304"/>
      <c r="AD60" s="60" t="s">
        <v>85</v>
      </c>
      <c r="AE60" s="352">
        <v>0</v>
      </c>
      <c r="AF60" s="352">
        <f>7+3+4</f>
        <v>14</v>
      </c>
      <c r="AG60" s="352">
        <f>5+3</f>
        <v>8</v>
      </c>
      <c r="AH60" s="352">
        <v>0</v>
      </c>
      <c r="AI60" s="352">
        <f>3+2</f>
        <v>5</v>
      </c>
      <c r="AJ60" s="60">
        <f t="shared" ref="AJ60:AJ70" si="22">SUM(AE60:AI60)</f>
        <v>27</v>
      </c>
      <c r="AL60" s="60" t="s">
        <v>92</v>
      </c>
      <c r="AM60" s="352">
        <f t="shared" si="20"/>
        <v>0</v>
      </c>
      <c r="AN60" s="352">
        <f t="shared" si="19"/>
        <v>7</v>
      </c>
      <c r="AO60" s="352">
        <f t="shared" si="19"/>
        <v>16</v>
      </c>
      <c r="AP60" s="352">
        <f t="shared" si="19"/>
        <v>0</v>
      </c>
      <c r="AQ60" s="352">
        <f t="shared" si="19"/>
        <v>0</v>
      </c>
      <c r="AR60" s="60">
        <f t="shared" si="21"/>
        <v>23</v>
      </c>
    </row>
    <row r="61" spans="1:44" x14ac:dyDescent="0.2">
      <c r="A61" s="304"/>
      <c r="B61" s="64"/>
      <c r="C61" s="304"/>
      <c r="D61" s="304"/>
      <c r="E61" s="304"/>
      <c r="F61" s="64"/>
      <c r="G61" s="64"/>
      <c r="H61" s="6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69"/>
      <c r="T61" s="304"/>
      <c r="AD61" s="60" t="s">
        <v>86</v>
      </c>
      <c r="AE61" s="352">
        <v>0</v>
      </c>
      <c r="AF61" s="352">
        <v>0</v>
      </c>
      <c r="AG61" s="350">
        <f>4+1</f>
        <v>5</v>
      </c>
      <c r="AH61" s="352">
        <v>0</v>
      </c>
      <c r="AI61" s="352">
        <f>3</f>
        <v>3</v>
      </c>
      <c r="AJ61" s="60">
        <f t="shared" si="22"/>
        <v>8</v>
      </c>
      <c r="AL61" s="60" t="s">
        <v>93</v>
      </c>
      <c r="AM61" s="352">
        <f t="shared" si="20"/>
        <v>1</v>
      </c>
      <c r="AN61" s="352">
        <f t="shared" si="19"/>
        <v>0</v>
      </c>
      <c r="AO61" s="352">
        <f t="shared" si="19"/>
        <v>3</v>
      </c>
      <c r="AP61" s="352">
        <f t="shared" si="19"/>
        <v>8</v>
      </c>
      <c r="AQ61" s="352">
        <f t="shared" si="19"/>
        <v>0</v>
      </c>
      <c r="AR61" s="60">
        <f t="shared" si="21"/>
        <v>12</v>
      </c>
    </row>
    <row r="62" spans="1:44" x14ac:dyDescent="0.2">
      <c r="A62" s="304"/>
      <c r="B62" s="65"/>
      <c r="C62" s="304"/>
      <c r="D62" s="304"/>
      <c r="E62" s="304"/>
      <c r="F62" s="64"/>
      <c r="G62" s="64"/>
      <c r="H62" s="6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69"/>
      <c r="T62" s="304"/>
      <c r="AD62" s="60" t="s">
        <v>87</v>
      </c>
      <c r="AE62" s="352">
        <v>0</v>
      </c>
      <c r="AF62" s="451">
        <f>10+7+8</f>
        <v>25</v>
      </c>
      <c r="AG62" s="352">
        <f>5+4+8+14+3</f>
        <v>34</v>
      </c>
      <c r="AH62" s="352">
        <f>3+8+9</f>
        <v>20</v>
      </c>
      <c r="AI62" s="352">
        <v>0</v>
      </c>
      <c r="AJ62" s="60">
        <f t="shared" si="22"/>
        <v>79</v>
      </c>
      <c r="AL62" s="60" t="s">
        <v>94</v>
      </c>
      <c r="AM62" s="352">
        <f t="shared" si="20"/>
        <v>1</v>
      </c>
      <c r="AN62" s="352">
        <f t="shared" si="19"/>
        <v>2</v>
      </c>
      <c r="AO62" s="352">
        <f t="shared" si="19"/>
        <v>3</v>
      </c>
      <c r="AP62" s="352">
        <f t="shared" si="19"/>
        <v>9</v>
      </c>
      <c r="AQ62" s="352">
        <f t="shared" si="19"/>
        <v>0</v>
      </c>
      <c r="AR62" s="60">
        <f t="shared" si="21"/>
        <v>15</v>
      </c>
    </row>
    <row r="63" spans="1:44" x14ac:dyDescent="0.2">
      <c r="A63" s="304"/>
      <c r="B63" s="65"/>
      <c r="C63" s="304"/>
      <c r="D63" s="304"/>
      <c r="E63" s="304"/>
      <c r="F63" s="64"/>
      <c r="G63" s="64"/>
      <c r="H63" s="6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69"/>
      <c r="T63" s="304"/>
      <c r="AD63" s="60" t="s">
        <v>88</v>
      </c>
      <c r="AE63" s="352">
        <v>0</v>
      </c>
      <c r="AF63" s="352">
        <v>0</v>
      </c>
      <c r="AG63" s="352">
        <f>2+3+1+8+1+1</f>
        <v>16</v>
      </c>
      <c r="AH63" s="352">
        <f>1</f>
        <v>1</v>
      </c>
      <c r="AI63" s="352">
        <v>0</v>
      </c>
      <c r="AJ63" s="60">
        <f t="shared" si="22"/>
        <v>17</v>
      </c>
      <c r="AL63" s="358" t="s">
        <v>508</v>
      </c>
      <c r="AM63" s="352">
        <f t="shared" si="20"/>
        <v>0</v>
      </c>
      <c r="AN63" s="352">
        <f t="shared" si="19"/>
        <v>1</v>
      </c>
      <c r="AO63" s="352">
        <f t="shared" si="19"/>
        <v>3</v>
      </c>
      <c r="AP63" s="352">
        <f t="shared" si="19"/>
        <v>0</v>
      </c>
      <c r="AQ63" s="352">
        <f t="shared" si="19"/>
        <v>0</v>
      </c>
      <c r="AR63" s="358">
        <f t="shared" si="21"/>
        <v>4</v>
      </c>
    </row>
    <row r="64" spans="1:44" x14ac:dyDescent="0.2">
      <c r="A64" s="304"/>
      <c r="B64" s="65"/>
      <c r="C64" s="304"/>
      <c r="D64" s="304"/>
      <c r="E64" s="304"/>
      <c r="F64" s="64"/>
      <c r="G64" s="64"/>
      <c r="H64" s="64"/>
      <c r="I64" s="304"/>
      <c r="J64" s="304"/>
      <c r="K64" s="304"/>
      <c r="L64" s="304"/>
      <c r="M64" s="304"/>
      <c r="N64" s="304"/>
      <c r="O64" s="304"/>
      <c r="P64" s="304"/>
      <c r="Q64" s="304"/>
      <c r="R64" s="304"/>
      <c r="S64" s="369"/>
      <c r="T64" s="304"/>
      <c r="AD64" s="60" t="s">
        <v>89</v>
      </c>
      <c r="AE64" s="352">
        <v>0</v>
      </c>
      <c r="AF64" s="352">
        <f>7+7+2</f>
        <v>16</v>
      </c>
      <c r="AG64" s="352">
        <f>1</f>
        <v>1</v>
      </c>
      <c r="AH64" s="352">
        <f>1</f>
        <v>1</v>
      </c>
      <c r="AI64" s="352">
        <v>0</v>
      </c>
      <c r="AJ64" s="60">
        <f t="shared" si="22"/>
        <v>18</v>
      </c>
      <c r="AL64" s="328" t="s">
        <v>537</v>
      </c>
      <c r="AM64" s="360">
        <f t="shared" ref="AM64:AR64" si="23">SUM(AM52:AM63)</f>
        <v>4</v>
      </c>
      <c r="AN64" s="360">
        <f t="shared" si="23"/>
        <v>94</v>
      </c>
      <c r="AO64" s="360">
        <f t="shared" si="23"/>
        <v>96</v>
      </c>
      <c r="AP64" s="360">
        <f t="shared" si="23"/>
        <v>46</v>
      </c>
      <c r="AQ64" s="360">
        <f t="shared" si="23"/>
        <v>10</v>
      </c>
      <c r="AR64" s="361">
        <f t="shared" si="23"/>
        <v>250</v>
      </c>
    </row>
    <row r="65" spans="1:44" x14ac:dyDescent="0.2">
      <c r="A65" s="304"/>
      <c r="B65" s="64"/>
      <c r="C65" s="304"/>
      <c r="D65" s="304"/>
      <c r="M65" s="304"/>
      <c r="N65" s="304"/>
      <c r="O65" s="304"/>
      <c r="P65" s="304"/>
      <c r="R65" s="304"/>
      <c r="S65" s="369"/>
      <c r="T65" s="304"/>
      <c r="AD65" s="60" t="s">
        <v>90</v>
      </c>
      <c r="AE65" s="352">
        <v>0</v>
      </c>
      <c r="AF65" s="350">
        <v>0</v>
      </c>
      <c r="AG65" s="350">
        <f>1</f>
        <v>1</v>
      </c>
      <c r="AH65" s="352">
        <f>3</f>
        <v>3</v>
      </c>
      <c r="AI65" s="352">
        <f>2</f>
        <v>2</v>
      </c>
      <c r="AJ65" s="60">
        <f t="shared" si="22"/>
        <v>6</v>
      </c>
      <c r="AL65" s="328" t="s">
        <v>536</v>
      </c>
      <c r="AM65" s="362">
        <f>PRODUCT(AM64*AN42)</f>
        <v>60</v>
      </c>
      <c r="AN65" s="452">
        <f>PRODUCT(AN64*AN43)</f>
        <v>1538.6766</v>
      </c>
      <c r="AO65" s="452">
        <f>PRODUCT(AO64*AN44)</f>
        <v>1607.6831999999999</v>
      </c>
      <c r="AP65" s="452">
        <f>PRODUCT(AP64*AN45)</f>
        <v>776.78360000000009</v>
      </c>
      <c r="AQ65" s="452">
        <f>PRODUCT(AQ64*AN46)</f>
        <v>170</v>
      </c>
      <c r="AR65" s="453">
        <f>SUM(AM65:AQ65)</f>
        <v>4153.1434000000008</v>
      </c>
    </row>
    <row r="66" spans="1:44" x14ac:dyDescent="0.2">
      <c r="A66" s="304"/>
      <c r="B66" s="64"/>
      <c r="C66" s="304"/>
      <c r="D66" s="304"/>
      <c r="M66" s="304"/>
      <c r="N66" s="304"/>
      <c r="O66" s="304"/>
      <c r="P66" s="304"/>
      <c r="R66" s="304"/>
      <c r="S66" s="369"/>
      <c r="T66" s="304"/>
      <c r="AD66" s="60" t="s">
        <v>91</v>
      </c>
      <c r="AE66" s="352">
        <v>0</v>
      </c>
      <c r="AF66" s="350">
        <f>3+8+2+3+2+1</f>
        <v>19</v>
      </c>
      <c r="AG66" s="352">
        <f>1+2</f>
        <v>3</v>
      </c>
      <c r="AH66" s="352">
        <f>2</f>
        <v>2</v>
      </c>
      <c r="AI66" s="352">
        <v>0</v>
      </c>
      <c r="AJ66" s="60">
        <f t="shared" si="22"/>
        <v>24</v>
      </c>
      <c r="AL66" s="328" t="s">
        <v>583</v>
      </c>
      <c r="AM66" s="362">
        <f>AM64*AM42</f>
        <v>400</v>
      </c>
      <c r="AN66" s="362">
        <f>AN64*AM43</f>
        <v>14100</v>
      </c>
      <c r="AO66" s="362">
        <f>AO64*AM44</f>
        <v>19200</v>
      </c>
      <c r="AP66" s="362">
        <f>AP64*AM45</f>
        <v>11500</v>
      </c>
      <c r="AQ66" s="362">
        <f>AQ64*AM46</f>
        <v>3000</v>
      </c>
      <c r="AR66" s="328">
        <f>SUM(AM66:AQ66)</f>
        <v>48200</v>
      </c>
    </row>
    <row r="67" spans="1:44" x14ac:dyDescent="0.2">
      <c r="A67" s="304"/>
      <c r="B67" s="64"/>
      <c r="C67" s="304"/>
      <c r="D67" s="304"/>
      <c r="M67" s="304"/>
      <c r="N67" s="304"/>
      <c r="O67" s="304"/>
      <c r="P67" s="304"/>
      <c r="R67" s="304"/>
      <c r="S67" s="369"/>
      <c r="T67" s="304"/>
      <c r="AD67" s="60" t="s">
        <v>92</v>
      </c>
      <c r="AE67" s="352">
        <v>0</v>
      </c>
      <c r="AF67" s="350">
        <f>4+3</f>
        <v>7</v>
      </c>
      <c r="AG67" s="352">
        <f>14+2</f>
        <v>16</v>
      </c>
      <c r="AH67" s="352">
        <v>0</v>
      </c>
      <c r="AI67" s="352">
        <v>0</v>
      </c>
      <c r="AJ67" s="60">
        <f t="shared" si="22"/>
        <v>23</v>
      </c>
      <c r="AM67" s="459"/>
      <c r="AN67" s="350"/>
      <c r="AO67" s="350"/>
      <c r="AP67" s="352"/>
      <c r="AQ67" s="352"/>
      <c r="AR67" s="352"/>
    </row>
    <row r="68" spans="1:44" x14ac:dyDescent="0.2">
      <c r="A68" s="304"/>
      <c r="B68" s="64"/>
      <c r="C68" s="304"/>
      <c r="D68" s="304"/>
      <c r="E68" s="304"/>
      <c r="F68" s="64"/>
      <c r="G68" s="64"/>
      <c r="H68" s="6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69"/>
      <c r="T68" s="304"/>
      <c r="AD68" s="60" t="s">
        <v>93</v>
      </c>
      <c r="AE68" s="352">
        <v>0</v>
      </c>
      <c r="AF68" s="350">
        <v>0</v>
      </c>
      <c r="AG68" s="352">
        <f>2+1</f>
        <v>3</v>
      </c>
      <c r="AH68" s="352">
        <f>8</f>
        <v>8</v>
      </c>
      <c r="AI68" s="352">
        <v>0</v>
      </c>
      <c r="AJ68" s="60">
        <f t="shared" si="22"/>
        <v>11</v>
      </c>
      <c r="AM68" s="459"/>
      <c r="AN68" s="352"/>
      <c r="AO68" s="352"/>
      <c r="AP68" s="352"/>
      <c r="AQ68" s="352"/>
      <c r="AR68" s="352"/>
    </row>
    <row r="69" spans="1:44" ht="15" x14ac:dyDescent="0.25">
      <c r="B69" s="64"/>
      <c r="C69" s="304"/>
      <c r="D69" s="304"/>
      <c r="E69" s="304"/>
      <c r="F69" s="64"/>
      <c r="G69" s="64"/>
      <c r="H69" s="6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69"/>
      <c r="T69" s="304"/>
      <c r="V69" s="58"/>
      <c r="W69" s="58"/>
      <c r="AD69" s="60" t="s">
        <v>94</v>
      </c>
      <c r="AE69" s="352">
        <v>0</v>
      </c>
      <c r="AF69" s="451">
        <f>2</f>
        <v>2</v>
      </c>
      <c r="AG69" s="352">
        <f>2+1</f>
        <v>3</v>
      </c>
      <c r="AH69" s="352">
        <f>9</f>
        <v>9</v>
      </c>
      <c r="AI69" s="352"/>
      <c r="AJ69" s="60">
        <f t="shared" si="22"/>
        <v>14</v>
      </c>
      <c r="AL69" s="438">
        <f>AJ51+AJ71</f>
        <v>250</v>
      </c>
      <c r="AM69" s="459"/>
      <c r="AN69" s="352"/>
      <c r="AO69" s="350"/>
      <c r="AP69" s="352"/>
      <c r="AQ69" s="352"/>
      <c r="AR69" s="352"/>
    </row>
    <row r="70" spans="1:44" ht="15" x14ac:dyDescent="0.25">
      <c r="B70" s="64"/>
      <c r="C70" s="304"/>
      <c r="D70" s="304"/>
      <c r="E70" s="304"/>
      <c r="F70" s="64"/>
      <c r="G70" s="64"/>
      <c r="H70" s="64"/>
      <c r="I70" s="304"/>
      <c r="J70" s="304"/>
      <c r="K70" s="304"/>
      <c r="L70" s="304"/>
      <c r="M70" s="304"/>
      <c r="N70" s="304"/>
      <c r="O70" s="304"/>
      <c r="P70" s="304"/>
      <c r="Q70" s="304"/>
      <c r="R70" s="304"/>
      <c r="S70" s="369"/>
      <c r="T70" s="304"/>
      <c r="V70" s="58"/>
      <c r="W70" s="58"/>
      <c r="AD70" s="358" t="s">
        <v>508</v>
      </c>
      <c r="AE70" s="352">
        <v>0</v>
      </c>
      <c r="AF70" s="359">
        <f>1</f>
        <v>1</v>
      </c>
      <c r="AG70" s="359">
        <f>3</f>
        <v>3</v>
      </c>
      <c r="AH70" s="359">
        <v>0</v>
      </c>
      <c r="AI70" s="352">
        <v>0</v>
      </c>
      <c r="AJ70" s="358">
        <f t="shared" si="22"/>
        <v>4</v>
      </c>
      <c r="AL70" s="550">
        <f>AJ52+AJ72</f>
        <v>4153.1434000000008</v>
      </c>
      <c r="AM70" s="459"/>
      <c r="AN70" s="352"/>
      <c r="AO70" s="350"/>
      <c r="AP70" s="352"/>
      <c r="AQ70" s="352"/>
      <c r="AR70" s="352"/>
    </row>
    <row r="71" spans="1:44" x14ac:dyDescent="0.2">
      <c r="B71" s="64"/>
      <c r="C71" s="304"/>
      <c r="D71" s="304"/>
      <c r="E71" s="304"/>
      <c r="F71" s="64"/>
      <c r="G71" s="64"/>
      <c r="H71" s="6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69"/>
      <c r="T71" s="304"/>
      <c r="V71" s="58"/>
      <c r="W71" s="58"/>
      <c r="AD71" s="328" t="s">
        <v>537</v>
      </c>
      <c r="AE71" s="360">
        <f t="shared" ref="AE71:AJ71" si="24">SUM(AE59:AE70)</f>
        <v>0</v>
      </c>
      <c r="AF71" s="360">
        <f t="shared" si="24"/>
        <v>94</v>
      </c>
      <c r="AG71" s="360">
        <f t="shared" si="24"/>
        <v>96</v>
      </c>
      <c r="AH71" s="360">
        <f t="shared" si="24"/>
        <v>46</v>
      </c>
      <c r="AI71" s="360">
        <f t="shared" si="24"/>
        <v>10</v>
      </c>
      <c r="AJ71" s="361">
        <f t="shared" si="24"/>
        <v>246</v>
      </c>
      <c r="AL71" s="352">
        <f>AJ53+AJ73</f>
        <v>48200</v>
      </c>
      <c r="AM71" s="459"/>
      <c r="AN71" s="352"/>
      <c r="AO71" s="352"/>
      <c r="AP71" s="352"/>
      <c r="AQ71" s="352"/>
      <c r="AR71" s="352"/>
    </row>
    <row r="72" spans="1:44" x14ac:dyDescent="0.2">
      <c r="B72" s="64"/>
      <c r="C72" s="304"/>
      <c r="D72" s="304"/>
      <c r="E72" s="304"/>
      <c r="F72" s="64"/>
      <c r="G72" s="64"/>
      <c r="H72" s="6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69"/>
      <c r="T72" s="304"/>
      <c r="V72" s="58"/>
      <c r="W72" s="58"/>
      <c r="AD72" s="328" t="s">
        <v>536</v>
      </c>
      <c r="AE72" s="452">
        <f>PRODUCT(AE71*AN42)</f>
        <v>0</v>
      </c>
      <c r="AF72" s="452">
        <f>PRODUCT(AF71*AN43)</f>
        <v>1538.6766</v>
      </c>
      <c r="AG72" s="452">
        <f>PRODUCT(AG71*AN44)</f>
        <v>1607.6831999999999</v>
      </c>
      <c r="AH72" s="452">
        <f>PRODUCT(AH71*AN45)</f>
        <v>776.78360000000009</v>
      </c>
      <c r="AI72" s="452">
        <f>PRODUCT(AI71*AN46)</f>
        <v>170</v>
      </c>
      <c r="AJ72" s="453">
        <f>SUM(AE72:AI72)</f>
        <v>4093.1434000000004</v>
      </c>
    </row>
    <row r="73" spans="1:44" x14ac:dyDescent="0.2">
      <c r="B73" s="64"/>
      <c r="C73" s="304"/>
      <c r="D73" s="304"/>
      <c r="E73" s="304"/>
      <c r="F73" s="64"/>
      <c r="G73" s="64"/>
      <c r="H73" s="6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69"/>
      <c r="T73" s="304"/>
      <c r="V73" s="58"/>
      <c r="AD73" s="328" t="s">
        <v>583</v>
      </c>
      <c r="AE73" s="362">
        <f>AE71*AM42</f>
        <v>0</v>
      </c>
      <c r="AF73" s="362">
        <f>AF71*AM43</f>
        <v>14100</v>
      </c>
      <c r="AG73" s="362">
        <f>AG71*AM44</f>
        <v>19200</v>
      </c>
      <c r="AH73" s="362">
        <f>AH71*AM45</f>
        <v>11500</v>
      </c>
      <c r="AI73" s="362">
        <f>AI71*AM46</f>
        <v>3000</v>
      </c>
      <c r="AJ73" s="328">
        <f>SUM(AE73:AI73)</f>
        <v>47800</v>
      </c>
    </row>
    <row r="74" spans="1:44" x14ac:dyDescent="0.2">
      <c r="B74" s="64"/>
      <c r="C74" s="304"/>
      <c r="D74" s="304"/>
      <c r="E74" s="304"/>
      <c r="F74" s="64"/>
      <c r="G74" s="64"/>
      <c r="H74" s="6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69"/>
      <c r="T74" s="304"/>
      <c r="V74" s="58"/>
    </row>
    <row r="75" spans="1:44" x14ac:dyDescent="0.2">
      <c r="B75" s="64"/>
      <c r="C75" s="304"/>
      <c r="D75" s="304"/>
      <c r="E75" s="304"/>
      <c r="F75" s="64"/>
      <c r="G75" s="64"/>
      <c r="H75" s="6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69"/>
      <c r="T75" s="304"/>
    </row>
    <row r="76" spans="1:44" x14ac:dyDescent="0.2">
      <c r="B76" s="64"/>
      <c r="C76" s="304"/>
      <c r="D76" s="304"/>
      <c r="E76" s="304"/>
      <c r="F76" s="64"/>
      <c r="G76" s="64"/>
      <c r="H76" s="6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69"/>
      <c r="T76" s="304"/>
    </row>
    <row r="77" spans="1:44" x14ac:dyDescent="0.2">
      <c r="B77" s="64"/>
      <c r="C77" s="304"/>
      <c r="D77" s="304"/>
      <c r="E77" s="304"/>
      <c r="F77" s="64"/>
      <c r="G77" s="64"/>
      <c r="H77" s="6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69"/>
      <c r="T77" s="304"/>
    </row>
    <row r="78" spans="1:44" x14ac:dyDescent="0.2">
      <c r="B78" s="64"/>
      <c r="C78" s="304"/>
      <c r="D78" s="304"/>
      <c r="E78" s="304"/>
      <c r="F78" s="64"/>
      <c r="G78" s="64"/>
      <c r="H78" s="6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69"/>
      <c r="T78" s="304"/>
    </row>
    <row r="79" spans="1:44" x14ac:dyDescent="0.2">
      <c r="B79" s="64"/>
      <c r="C79" s="304"/>
      <c r="D79" s="304"/>
      <c r="E79" s="304"/>
      <c r="F79" s="64"/>
      <c r="G79" s="64"/>
      <c r="H79" s="6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69"/>
      <c r="T79" s="304"/>
    </row>
    <row r="80" spans="1:44" x14ac:dyDescent="0.2">
      <c r="B80" s="64"/>
      <c r="C80" s="304"/>
      <c r="D80" s="304"/>
      <c r="E80" s="304"/>
      <c r="F80" s="64"/>
      <c r="G80" s="64"/>
      <c r="H80" s="6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69"/>
      <c r="T80" s="304"/>
    </row>
    <row r="81" spans="2:20" x14ac:dyDescent="0.2">
      <c r="B81" s="64"/>
      <c r="C81" s="304"/>
      <c r="D81" s="304"/>
      <c r="E81" s="304"/>
      <c r="F81" s="64"/>
      <c r="G81" s="64"/>
      <c r="H81" s="6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69"/>
      <c r="T81" s="304"/>
    </row>
    <row r="82" spans="2:20" x14ac:dyDescent="0.2">
      <c r="B82" s="64"/>
      <c r="C82" s="304"/>
      <c r="D82" s="304"/>
      <c r="E82" s="304"/>
      <c r="F82" s="64"/>
      <c r="G82" s="64"/>
      <c r="H82" s="6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69"/>
      <c r="T82" s="304"/>
    </row>
    <row r="83" spans="2:20" x14ac:dyDescent="0.2">
      <c r="B83" s="64"/>
      <c r="C83" s="304"/>
      <c r="D83" s="304"/>
      <c r="E83" s="304"/>
      <c r="F83" s="64"/>
      <c r="G83" s="64"/>
      <c r="H83" s="6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69"/>
      <c r="T83" s="304"/>
    </row>
    <row r="84" spans="2:20" x14ac:dyDescent="0.2">
      <c r="B84" s="64"/>
      <c r="C84" s="304"/>
      <c r="D84" s="304"/>
      <c r="E84" s="304"/>
      <c r="F84" s="64"/>
      <c r="G84" s="64"/>
      <c r="H84" s="6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69"/>
      <c r="T84" s="304"/>
    </row>
    <row r="85" spans="2:20" x14ac:dyDescent="0.2">
      <c r="B85" s="64"/>
      <c r="C85" s="304"/>
      <c r="D85" s="304"/>
      <c r="E85" s="304"/>
      <c r="F85" s="64"/>
      <c r="G85" s="64"/>
      <c r="H85" s="6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69"/>
      <c r="T85" s="304"/>
    </row>
    <row r="86" spans="2:20" x14ac:dyDescent="0.2">
      <c r="B86" s="64"/>
      <c r="C86" s="304"/>
      <c r="D86" s="304"/>
      <c r="E86" s="304"/>
      <c r="F86" s="64"/>
      <c r="G86" s="64"/>
      <c r="H86" s="6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69"/>
      <c r="T86" s="304"/>
    </row>
    <row r="87" spans="2:20" x14ac:dyDescent="0.2">
      <c r="B87" s="64"/>
      <c r="C87" s="304"/>
      <c r="D87" s="304"/>
      <c r="E87" s="304"/>
      <c r="F87" s="64"/>
      <c r="G87" s="64"/>
      <c r="H87" s="6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69"/>
      <c r="T87" s="304"/>
    </row>
    <row r="88" spans="2:20" x14ac:dyDescent="0.2">
      <c r="B88" s="64"/>
      <c r="C88" s="304"/>
      <c r="D88" s="304"/>
      <c r="E88" s="304"/>
      <c r="F88" s="64"/>
      <c r="G88" s="64"/>
      <c r="H88" s="6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69"/>
      <c r="T88" s="304"/>
    </row>
    <row r="89" spans="2:20" x14ac:dyDescent="0.2">
      <c r="B89" s="64"/>
      <c r="C89" s="304"/>
      <c r="D89" s="304"/>
      <c r="E89" s="304"/>
      <c r="F89" s="64"/>
      <c r="G89" s="64"/>
      <c r="H89" s="6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69"/>
      <c r="T89" s="304"/>
    </row>
    <row r="90" spans="2:20" x14ac:dyDescent="0.2">
      <c r="B90" s="64"/>
      <c r="C90" s="304"/>
      <c r="D90" s="304"/>
      <c r="E90" s="304"/>
      <c r="F90" s="64"/>
      <c r="G90" s="64"/>
      <c r="H90" s="6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69"/>
      <c r="T90" s="304"/>
    </row>
    <row r="91" spans="2:20" x14ac:dyDescent="0.2">
      <c r="B91" s="64"/>
      <c r="C91" s="304"/>
      <c r="D91" s="304"/>
      <c r="E91" s="304"/>
      <c r="F91" s="64"/>
      <c r="G91" s="64"/>
      <c r="H91" s="6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69"/>
      <c r="T91" s="304"/>
    </row>
    <row r="92" spans="2:20" x14ac:dyDescent="0.2">
      <c r="B92" s="64"/>
      <c r="C92" s="304"/>
      <c r="D92" s="304"/>
      <c r="E92" s="304"/>
      <c r="F92" s="64"/>
      <c r="G92" s="64"/>
      <c r="H92" s="6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69"/>
      <c r="T92" s="304"/>
    </row>
    <row r="93" spans="2:20" x14ac:dyDescent="0.2">
      <c r="B93" s="64"/>
      <c r="C93" s="304"/>
      <c r="D93" s="304"/>
      <c r="E93" s="304"/>
      <c r="F93" s="64"/>
      <c r="G93" s="64"/>
      <c r="H93" s="6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69"/>
      <c r="T93" s="304"/>
    </row>
    <row r="94" spans="2:20" x14ac:dyDescent="0.2">
      <c r="B94" s="64"/>
      <c r="C94" s="304"/>
      <c r="D94" s="304"/>
      <c r="E94" s="304"/>
      <c r="F94" s="64"/>
      <c r="G94" s="64"/>
      <c r="H94" s="6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69"/>
      <c r="T94" s="304"/>
    </row>
    <row r="95" spans="2:20" x14ac:dyDescent="0.2">
      <c r="B95" s="64"/>
      <c r="C95" s="304"/>
      <c r="D95" s="304"/>
      <c r="E95" s="304"/>
      <c r="F95" s="64"/>
      <c r="G95" s="64"/>
      <c r="H95" s="6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69"/>
      <c r="T95" s="304"/>
    </row>
    <row r="96" spans="2:20" x14ac:dyDescent="0.2">
      <c r="B96" s="64"/>
      <c r="C96" s="304"/>
      <c r="D96" s="304"/>
      <c r="E96" s="304"/>
      <c r="F96" s="64"/>
      <c r="G96" s="64"/>
      <c r="H96" s="6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69"/>
      <c r="T96" s="304"/>
    </row>
    <row r="97" spans="2:20" x14ac:dyDescent="0.2">
      <c r="B97" s="64"/>
      <c r="C97" s="304"/>
      <c r="D97" s="304"/>
      <c r="E97" s="304"/>
      <c r="F97" s="64"/>
      <c r="G97" s="64"/>
      <c r="H97" s="64"/>
      <c r="I97" s="304"/>
      <c r="J97" s="304"/>
      <c r="K97" s="304"/>
      <c r="L97" s="304"/>
      <c r="M97" s="304"/>
      <c r="N97" s="304"/>
      <c r="O97" s="304"/>
      <c r="P97" s="304"/>
      <c r="Q97" s="304"/>
      <c r="R97" s="304"/>
      <c r="S97" s="369"/>
      <c r="T97" s="304"/>
    </row>
    <row r="98" spans="2:20" x14ac:dyDescent="0.2">
      <c r="B98" s="64"/>
      <c r="C98" s="304"/>
      <c r="D98" s="304"/>
      <c r="E98" s="304"/>
      <c r="F98" s="64"/>
      <c r="G98" s="64"/>
      <c r="H98" s="64"/>
      <c r="I98" s="304"/>
      <c r="J98" s="304"/>
      <c r="K98" s="304"/>
      <c r="L98" s="304"/>
      <c r="M98" s="304"/>
      <c r="N98" s="304"/>
      <c r="O98" s="304"/>
      <c r="P98" s="304"/>
      <c r="Q98" s="304"/>
      <c r="R98" s="304"/>
      <c r="S98" s="369"/>
      <c r="T98" s="304"/>
    </row>
    <row r="99" spans="2:20" x14ac:dyDescent="0.2">
      <c r="B99" s="64"/>
      <c r="C99" s="304"/>
      <c r="D99" s="304"/>
      <c r="E99" s="304"/>
      <c r="F99" s="64"/>
      <c r="G99" s="64"/>
      <c r="H99" s="6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69"/>
      <c r="T99" s="304"/>
    </row>
    <row r="100" spans="2:20" x14ac:dyDescent="0.2">
      <c r="B100" s="64"/>
      <c r="C100" s="304"/>
      <c r="D100" s="304"/>
      <c r="E100" s="304"/>
      <c r="F100" s="64"/>
      <c r="G100" s="64"/>
      <c r="H100" s="6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69"/>
      <c r="T100" s="304"/>
    </row>
    <row r="101" spans="2:20" x14ac:dyDescent="0.2">
      <c r="B101" s="64"/>
      <c r="C101" s="304"/>
      <c r="D101" s="304"/>
      <c r="E101" s="304"/>
      <c r="F101" s="64"/>
      <c r="G101" s="64"/>
      <c r="H101" s="6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69"/>
      <c r="T101" s="304"/>
    </row>
    <row r="102" spans="2:20" x14ac:dyDescent="0.2">
      <c r="B102" s="64"/>
      <c r="C102" s="304"/>
      <c r="D102" s="304"/>
      <c r="E102" s="304"/>
      <c r="F102" s="64"/>
      <c r="G102" s="64"/>
      <c r="H102" s="6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69"/>
      <c r="T102" s="304"/>
    </row>
    <row r="103" spans="2:20" x14ac:dyDescent="0.2">
      <c r="B103" s="64"/>
      <c r="C103" s="304"/>
      <c r="D103" s="304"/>
      <c r="E103" s="304"/>
      <c r="F103" s="64"/>
      <c r="G103" s="64"/>
      <c r="H103" s="64"/>
      <c r="I103" s="304"/>
      <c r="J103" s="304"/>
      <c r="K103" s="304"/>
      <c r="L103" s="304"/>
      <c r="M103" s="304"/>
      <c r="N103" s="304"/>
      <c r="O103" s="304"/>
      <c r="P103" s="304"/>
      <c r="Q103" s="304"/>
      <c r="R103" s="304"/>
      <c r="S103" s="369"/>
      <c r="T103" s="304"/>
    </row>
    <row r="104" spans="2:20" x14ac:dyDescent="0.2">
      <c r="B104" s="64"/>
      <c r="C104" s="304"/>
      <c r="D104" s="304"/>
      <c r="E104" s="304"/>
      <c r="F104" s="64"/>
      <c r="G104" s="64"/>
      <c r="H104" s="6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69"/>
      <c r="T104" s="304"/>
    </row>
    <row r="105" spans="2:20" x14ac:dyDescent="0.2">
      <c r="B105" s="64"/>
      <c r="C105" s="304"/>
      <c r="D105" s="304"/>
      <c r="E105" s="304"/>
      <c r="F105" s="64"/>
      <c r="G105" s="64"/>
      <c r="H105" s="6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69"/>
      <c r="T105" s="304"/>
    </row>
    <row r="106" spans="2:20" x14ac:dyDescent="0.2">
      <c r="B106" s="64"/>
      <c r="C106" s="304"/>
      <c r="D106" s="304"/>
      <c r="E106" s="304"/>
      <c r="F106" s="64"/>
      <c r="G106" s="64"/>
      <c r="H106" s="6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69"/>
      <c r="T106" s="304"/>
    </row>
    <row r="107" spans="2:20" x14ac:dyDescent="0.2">
      <c r="B107" s="64"/>
      <c r="C107" s="304"/>
      <c r="D107" s="304"/>
      <c r="E107" s="304"/>
      <c r="F107" s="64"/>
      <c r="G107" s="64"/>
      <c r="H107" s="6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69"/>
      <c r="T107" s="304"/>
    </row>
    <row r="108" spans="2:20" x14ac:dyDescent="0.2">
      <c r="B108" s="64"/>
      <c r="C108" s="304"/>
      <c r="D108" s="304"/>
      <c r="E108" s="304"/>
      <c r="F108" s="64"/>
      <c r="G108" s="64"/>
      <c r="H108" s="6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69"/>
      <c r="T108" s="304"/>
    </row>
    <row r="109" spans="2:20" x14ac:dyDescent="0.2">
      <c r="B109" s="64"/>
      <c r="C109" s="304"/>
      <c r="D109" s="304"/>
      <c r="E109" s="304"/>
      <c r="F109" s="64"/>
      <c r="G109" s="64"/>
      <c r="H109" s="6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69"/>
      <c r="T109" s="304"/>
    </row>
    <row r="110" spans="2:20" x14ac:dyDescent="0.2">
      <c r="B110" s="64"/>
      <c r="C110" s="304"/>
      <c r="D110" s="304"/>
      <c r="E110" s="304"/>
      <c r="F110" s="64"/>
      <c r="G110" s="64"/>
      <c r="H110" s="6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69"/>
      <c r="T110" s="304"/>
    </row>
    <row r="111" spans="2:20" x14ac:dyDescent="0.2">
      <c r="B111" s="64"/>
      <c r="C111" s="304"/>
      <c r="D111" s="304"/>
      <c r="E111" s="304"/>
      <c r="F111" s="64"/>
      <c r="G111" s="64"/>
      <c r="H111" s="6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69"/>
      <c r="T111" s="304"/>
    </row>
    <row r="112" spans="2:20" x14ac:dyDescent="0.2">
      <c r="B112" s="64"/>
      <c r="C112" s="304"/>
      <c r="D112" s="304"/>
      <c r="E112" s="304"/>
      <c r="F112" s="64"/>
      <c r="G112" s="64"/>
      <c r="H112" s="6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69"/>
      <c r="T112" s="304"/>
    </row>
    <row r="113" spans="1:20" x14ac:dyDescent="0.2">
      <c r="B113" s="64"/>
      <c r="C113" s="304"/>
      <c r="D113" s="304"/>
      <c r="E113" s="304"/>
      <c r="F113" s="64"/>
      <c r="G113" s="64"/>
      <c r="H113" s="64"/>
      <c r="I113" s="304"/>
      <c r="J113" s="304"/>
      <c r="K113" s="304"/>
      <c r="L113" s="304"/>
      <c r="M113" s="304"/>
      <c r="N113" s="304"/>
      <c r="O113" s="304"/>
      <c r="P113" s="304"/>
      <c r="Q113" s="304"/>
      <c r="R113" s="304"/>
      <c r="S113" s="369"/>
      <c r="T113" s="304"/>
    </row>
    <row r="114" spans="1:20" x14ac:dyDescent="0.2">
      <c r="B114" s="64"/>
      <c r="C114" s="304"/>
      <c r="D114" s="304"/>
      <c r="E114" s="304"/>
      <c r="F114" s="64"/>
      <c r="G114" s="64"/>
      <c r="H114" s="6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69"/>
      <c r="T114" s="304"/>
    </row>
    <row r="115" spans="1:20" x14ac:dyDescent="0.2">
      <c r="B115" s="64"/>
      <c r="C115" s="304"/>
      <c r="D115" s="304"/>
      <c r="E115" s="304"/>
      <c r="F115" s="64"/>
      <c r="G115" s="64"/>
      <c r="H115" s="6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69"/>
      <c r="T115" s="304"/>
    </row>
    <row r="116" spans="1:20" x14ac:dyDescent="0.2">
      <c r="B116" s="64"/>
      <c r="C116" s="304"/>
      <c r="D116" s="304"/>
      <c r="E116" s="304"/>
      <c r="F116" s="64"/>
      <c r="G116" s="64"/>
      <c r="H116" s="64"/>
      <c r="I116" s="304"/>
      <c r="J116" s="304"/>
      <c r="K116" s="304"/>
      <c r="L116" s="304"/>
      <c r="M116" s="304"/>
      <c r="N116" s="304"/>
      <c r="O116" s="304"/>
      <c r="P116" s="304"/>
      <c r="Q116" s="304"/>
      <c r="R116" s="304"/>
      <c r="S116" s="369"/>
      <c r="T116" s="304"/>
    </row>
    <row r="117" spans="1:20" x14ac:dyDescent="0.2">
      <c r="B117" s="64"/>
      <c r="C117" s="304"/>
      <c r="D117" s="304"/>
      <c r="E117" s="304"/>
      <c r="F117" s="64"/>
      <c r="G117" s="64"/>
      <c r="H117" s="64"/>
      <c r="I117" s="304"/>
      <c r="J117" s="304"/>
      <c r="K117" s="304"/>
      <c r="L117" s="304"/>
      <c r="M117" s="304"/>
      <c r="N117" s="304"/>
      <c r="O117" s="304"/>
      <c r="P117" s="304"/>
      <c r="Q117" s="304"/>
      <c r="R117" s="304"/>
      <c r="S117" s="369"/>
      <c r="T117" s="304"/>
    </row>
    <row r="118" spans="1:20" x14ac:dyDescent="0.2">
      <c r="B118" s="64"/>
      <c r="C118" s="304"/>
      <c r="D118" s="304"/>
      <c r="E118" s="304"/>
      <c r="F118" s="64"/>
      <c r="G118" s="64"/>
      <c r="H118" s="6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69"/>
      <c r="T118" s="304"/>
    </row>
    <row r="119" spans="1:20" x14ac:dyDescent="0.2">
      <c r="B119" s="64"/>
      <c r="C119" s="304"/>
      <c r="D119" s="304"/>
      <c r="E119" s="304"/>
      <c r="F119" s="64"/>
      <c r="G119" s="64"/>
      <c r="H119" s="6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69"/>
      <c r="T119" s="304"/>
    </row>
    <row r="120" spans="1:20" x14ac:dyDescent="0.2">
      <c r="B120" s="64"/>
      <c r="C120" s="304"/>
      <c r="D120" s="304"/>
      <c r="E120" s="304"/>
      <c r="F120" s="64"/>
      <c r="G120" s="64"/>
      <c r="H120" s="6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69"/>
      <c r="T120" s="304"/>
    </row>
    <row r="121" spans="1:20" x14ac:dyDescent="0.2">
      <c r="B121" s="64"/>
      <c r="C121" s="304"/>
      <c r="D121" s="304"/>
      <c r="E121" s="304"/>
      <c r="F121" s="64"/>
      <c r="G121" s="64"/>
      <c r="H121" s="6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69"/>
      <c r="T121" s="304"/>
    </row>
    <row r="122" spans="1:20" x14ac:dyDescent="0.2">
      <c r="B122" s="64"/>
      <c r="C122" s="304"/>
      <c r="D122" s="304"/>
      <c r="E122" s="304"/>
      <c r="F122" s="64"/>
      <c r="G122" s="64"/>
      <c r="H122" s="6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69"/>
      <c r="T122" s="304"/>
    </row>
    <row r="123" spans="1:20" x14ac:dyDescent="0.2">
      <c r="B123" s="64"/>
      <c r="C123" s="304"/>
      <c r="D123" s="304"/>
      <c r="E123" s="304"/>
      <c r="F123" s="64"/>
      <c r="G123" s="64"/>
      <c r="H123" s="6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69"/>
      <c r="T123" s="304"/>
    </row>
    <row r="124" spans="1:20" x14ac:dyDescent="0.2">
      <c r="A124" s="304"/>
      <c r="B124" s="64"/>
      <c r="C124" s="304"/>
      <c r="D124" s="304"/>
      <c r="E124" s="304"/>
      <c r="F124" s="64"/>
      <c r="G124" s="64"/>
      <c r="H124" s="6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69"/>
      <c r="T124" s="304"/>
    </row>
    <row r="125" spans="1:20" x14ac:dyDescent="0.2">
      <c r="A125" s="304"/>
      <c r="B125" s="64"/>
      <c r="C125" s="304"/>
      <c r="D125" s="304"/>
      <c r="E125" s="304"/>
      <c r="F125" s="64"/>
      <c r="G125" s="64"/>
      <c r="H125" s="6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69"/>
      <c r="T125" s="304"/>
    </row>
    <row r="126" spans="1:20" x14ac:dyDescent="0.2">
      <c r="A126" s="304"/>
      <c r="B126" s="64"/>
      <c r="C126" s="304"/>
      <c r="D126" s="304"/>
      <c r="E126" s="304"/>
      <c r="F126" s="64"/>
      <c r="G126" s="64"/>
      <c r="H126" s="6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69"/>
      <c r="T126" s="304"/>
    </row>
    <row r="127" spans="1:20" x14ac:dyDescent="0.2">
      <c r="A127" s="304"/>
      <c r="B127" s="64"/>
      <c r="C127" s="304"/>
      <c r="D127" s="304"/>
      <c r="E127" s="304"/>
      <c r="F127" s="64"/>
      <c r="G127" s="64"/>
      <c r="H127" s="64"/>
      <c r="I127" s="304"/>
      <c r="J127" s="304"/>
      <c r="K127" s="304"/>
      <c r="L127" s="304"/>
      <c r="M127" s="304"/>
      <c r="N127" s="304"/>
      <c r="O127" s="304"/>
      <c r="P127" s="304"/>
      <c r="Q127" s="304"/>
      <c r="R127" s="304"/>
      <c r="S127" s="369"/>
      <c r="T127" s="304"/>
    </row>
    <row r="128" spans="1:20" x14ac:dyDescent="0.2">
      <c r="A128" s="304"/>
      <c r="B128" s="64"/>
      <c r="C128" s="304"/>
      <c r="D128" s="304"/>
      <c r="E128" s="304"/>
      <c r="F128" s="64"/>
      <c r="G128" s="64"/>
      <c r="H128" s="6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69"/>
      <c r="T128" s="304"/>
    </row>
    <row r="129" spans="1:20" x14ac:dyDescent="0.2">
      <c r="A129" s="304"/>
      <c r="B129" s="64"/>
      <c r="C129" s="304"/>
      <c r="D129" s="304"/>
      <c r="E129" s="304"/>
      <c r="F129" s="64"/>
      <c r="G129" s="64"/>
      <c r="H129" s="6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69"/>
      <c r="T129" s="304"/>
    </row>
    <row r="130" spans="1:20" x14ac:dyDescent="0.2">
      <c r="A130" s="304"/>
      <c r="B130" s="64"/>
      <c r="C130" s="304"/>
      <c r="D130" s="304"/>
      <c r="E130" s="304"/>
      <c r="F130" s="64"/>
      <c r="G130" s="64"/>
      <c r="H130" s="6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69"/>
      <c r="T130" s="304"/>
    </row>
    <row r="131" spans="1:20" x14ac:dyDescent="0.2">
      <c r="A131" s="304"/>
      <c r="B131" s="64"/>
      <c r="C131" s="304"/>
      <c r="D131" s="304"/>
      <c r="E131" s="304"/>
      <c r="F131" s="64"/>
      <c r="G131" s="64"/>
      <c r="H131" s="6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69"/>
      <c r="T131" s="304"/>
    </row>
    <row r="132" spans="1:20" x14ac:dyDescent="0.2">
      <c r="A132" s="304"/>
      <c r="B132" s="64"/>
      <c r="C132" s="304"/>
      <c r="D132" s="304"/>
      <c r="E132" s="304"/>
      <c r="F132" s="64"/>
      <c r="G132" s="64"/>
      <c r="H132" s="6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69"/>
      <c r="T132" s="304"/>
    </row>
    <row r="133" spans="1:20" x14ac:dyDescent="0.2">
      <c r="A133" s="304"/>
      <c r="B133" s="64"/>
      <c r="C133" s="304"/>
      <c r="D133" s="304"/>
      <c r="E133" s="304"/>
      <c r="F133" s="64"/>
      <c r="G133" s="64"/>
      <c r="H133" s="64"/>
      <c r="I133" s="304"/>
      <c r="J133" s="304"/>
      <c r="K133" s="304"/>
      <c r="L133" s="304"/>
      <c r="M133" s="304"/>
      <c r="N133" s="304"/>
      <c r="O133" s="304"/>
      <c r="P133" s="304"/>
      <c r="Q133" s="304"/>
      <c r="R133" s="304"/>
      <c r="S133" s="369"/>
      <c r="T133" s="304"/>
    </row>
    <row r="134" spans="1:20" x14ac:dyDescent="0.2">
      <c r="A134" s="304"/>
      <c r="B134" s="64"/>
      <c r="C134" s="304"/>
      <c r="D134" s="304"/>
      <c r="E134" s="304"/>
      <c r="F134" s="64"/>
      <c r="G134" s="64"/>
      <c r="H134" s="6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69"/>
      <c r="T134" s="304"/>
    </row>
    <row r="135" spans="1:20" x14ac:dyDescent="0.2">
      <c r="A135" s="304"/>
      <c r="B135" s="64"/>
      <c r="C135" s="304"/>
      <c r="D135" s="304"/>
      <c r="E135" s="304"/>
      <c r="F135" s="64"/>
      <c r="G135" s="64"/>
      <c r="H135" s="6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69"/>
      <c r="T135" s="304"/>
    </row>
    <row r="136" spans="1:20" x14ac:dyDescent="0.2">
      <c r="A136" s="304"/>
      <c r="B136" s="64"/>
      <c r="C136" s="304"/>
      <c r="D136" s="304"/>
      <c r="E136" s="304"/>
      <c r="F136" s="64"/>
      <c r="G136" s="64"/>
      <c r="H136" s="6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69"/>
      <c r="T136" s="304"/>
    </row>
    <row r="137" spans="1:20" x14ac:dyDescent="0.2">
      <c r="A137" s="304"/>
      <c r="B137" s="64"/>
      <c r="C137" s="304"/>
      <c r="D137" s="304"/>
      <c r="E137" s="304"/>
      <c r="F137" s="64"/>
      <c r="G137" s="64"/>
      <c r="H137" s="64"/>
      <c r="I137" s="304"/>
      <c r="J137" s="304"/>
      <c r="K137" s="304"/>
      <c r="L137" s="304"/>
      <c r="M137" s="304"/>
      <c r="N137" s="304"/>
      <c r="O137" s="304"/>
      <c r="P137" s="304"/>
      <c r="Q137" s="304"/>
      <c r="R137" s="304"/>
      <c r="S137" s="369"/>
      <c r="T137" s="304"/>
    </row>
    <row r="138" spans="1:20" x14ac:dyDescent="0.2">
      <c r="A138" s="304"/>
      <c r="B138" s="64"/>
      <c r="C138" s="304"/>
      <c r="D138" s="304"/>
      <c r="E138" s="304"/>
      <c r="F138" s="64"/>
      <c r="G138" s="64"/>
      <c r="H138" s="64"/>
      <c r="I138" s="304"/>
      <c r="J138" s="304"/>
      <c r="K138" s="304"/>
      <c r="L138" s="304"/>
      <c r="M138" s="304"/>
      <c r="N138" s="304"/>
      <c r="O138" s="304"/>
      <c r="P138" s="304"/>
      <c r="Q138" s="304"/>
      <c r="R138" s="304"/>
      <c r="S138" s="369"/>
      <c r="T138" s="304"/>
    </row>
    <row r="139" spans="1:20" x14ac:dyDescent="0.2">
      <c r="A139" s="304"/>
      <c r="B139" s="64"/>
      <c r="C139" s="304"/>
      <c r="D139" s="304"/>
      <c r="E139" s="304"/>
      <c r="F139" s="64"/>
      <c r="G139" s="64"/>
      <c r="H139" s="64"/>
      <c r="I139" s="304"/>
      <c r="J139" s="304"/>
      <c r="K139" s="304"/>
      <c r="L139" s="304"/>
      <c r="M139" s="304"/>
      <c r="N139" s="304"/>
      <c r="O139" s="304"/>
      <c r="P139" s="304"/>
      <c r="Q139" s="304"/>
      <c r="R139" s="304"/>
      <c r="S139" s="369"/>
      <c r="T139" s="304"/>
    </row>
    <row r="140" spans="1:20" x14ac:dyDescent="0.2">
      <c r="A140" s="304"/>
      <c r="B140" s="64"/>
      <c r="C140" s="304"/>
      <c r="D140" s="304"/>
      <c r="E140" s="304"/>
      <c r="F140" s="64"/>
      <c r="G140" s="64"/>
      <c r="H140" s="6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69"/>
      <c r="T140" s="304"/>
    </row>
    <row r="141" spans="1:20" x14ac:dyDescent="0.2">
      <c r="A141" s="304"/>
      <c r="B141" s="64"/>
      <c r="C141" s="304"/>
      <c r="D141" s="304"/>
      <c r="E141" s="304"/>
      <c r="F141" s="64"/>
      <c r="G141" s="64"/>
      <c r="H141" s="6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69"/>
      <c r="T141" s="304"/>
    </row>
    <row r="142" spans="1:20" x14ac:dyDescent="0.2">
      <c r="A142" s="304"/>
      <c r="B142" s="64"/>
      <c r="C142" s="304"/>
      <c r="D142" s="304"/>
      <c r="E142" s="304"/>
      <c r="F142" s="64"/>
      <c r="G142" s="64"/>
      <c r="H142" s="6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69"/>
      <c r="T142" s="304"/>
    </row>
    <row r="143" spans="1:20" x14ac:dyDescent="0.2">
      <c r="A143" s="304"/>
      <c r="B143" s="64"/>
      <c r="C143" s="304"/>
      <c r="D143" s="304"/>
      <c r="E143" s="304"/>
      <c r="F143" s="64"/>
      <c r="G143" s="64"/>
      <c r="H143" s="64"/>
      <c r="I143" s="304"/>
      <c r="J143" s="304"/>
      <c r="K143" s="304"/>
      <c r="L143" s="304"/>
      <c r="M143" s="304"/>
      <c r="N143" s="304"/>
      <c r="O143" s="304"/>
      <c r="P143" s="304"/>
      <c r="Q143" s="304"/>
      <c r="R143" s="304"/>
      <c r="S143" s="369"/>
      <c r="T143" s="304"/>
    </row>
    <row r="144" spans="1:20" x14ac:dyDescent="0.2">
      <c r="A144" s="304"/>
      <c r="B144" s="64"/>
      <c r="C144" s="304"/>
      <c r="D144" s="304"/>
      <c r="E144" s="304"/>
      <c r="F144" s="64"/>
      <c r="G144" s="64"/>
      <c r="H144" s="64"/>
      <c r="I144" s="304"/>
      <c r="J144" s="304"/>
      <c r="K144" s="304"/>
      <c r="L144" s="304"/>
      <c r="M144" s="304"/>
      <c r="N144" s="304"/>
      <c r="O144" s="304"/>
      <c r="P144" s="304"/>
      <c r="Q144" s="304"/>
      <c r="R144" s="304"/>
      <c r="S144" s="369"/>
      <c r="T144" s="304"/>
    </row>
    <row r="145" spans="1:20" x14ac:dyDescent="0.2">
      <c r="A145" s="304"/>
      <c r="B145" s="64"/>
      <c r="C145" s="304"/>
      <c r="D145" s="304"/>
      <c r="E145" s="304"/>
      <c r="F145" s="64"/>
      <c r="G145" s="64"/>
      <c r="H145" s="6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69"/>
      <c r="T145" s="304"/>
    </row>
    <row r="146" spans="1:20" x14ac:dyDescent="0.2">
      <c r="A146" s="304"/>
      <c r="B146" s="64"/>
      <c r="C146" s="304"/>
      <c r="D146" s="304"/>
      <c r="E146" s="304"/>
      <c r="F146" s="64"/>
      <c r="G146" s="64"/>
      <c r="H146" s="6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69"/>
      <c r="T146" s="304"/>
    </row>
    <row r="147" spans="1:20" x14ac:dyDescent="0.2">
      <c r="A147" s="304"/>
      <c r="B147" s="64"/>
      <c r="C147" s="304"/>
      <c r="D147" s="304"/>
      <c r="E147" s="304"/>
      <c r="F147" s="64"/>
      <c r="G147" s="64"/>
      <c r="H147" s="6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69"/>
      <c r="T147" s="304"/>
    </row>
    <row r="148" spans="1:20" x14ac:dyDescent="0.2">
      <c r="A148" s="304"/>
      <c r="B148" s="64"/>
      <c r="C148" s="304"/>
      <c r="D148" s="304"/>
      <c r="E148" s="304"/>
      <c r="F148" s="64"/>
      <c r="G148" s="64"/>
      <c r="H148" s="6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69"/>
      <c r="T148" s="304"/>
    </row>
    <row r="149" spans="1:20" x14ac:dyDescent="0.2">
      <c r="A149" s="304"/>
      <c r="B149" s="64"/>
      <c r="C149" s="304"/>
      <c r="D149" s="304"/>
      <c r="E149" s="304"/>
      <c r="F149" s="64"/>
      <c r="G149" s="64"/>
      <c r="H149" s="6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69"/>
      <c r="T149" s="304"/>
    </row>
    <row r="150" spans="1:20" x14ac:dyDescent="0.2">
      <c r="A150" s="304"/>
      <c r="B150" s="64"/>
      <c r="C150" s="304"/>
      <c r="D150" s="304"/>
      <c r="E150" s="304"/>
      <c r="F150" s="64"/>
      <c r="G150" s="64"/>
      <c r="H150" s="6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69"/>
      <c r="T150" s="304"/>
    </row>
    <row r="151" spans="1:20" x14ac:dyDescent="0.2">
      <c r="A151" s="304"/>
      <c r="B151" s="64"/>
      <c r="C151" s="304"/>
      <c r="D151" s="304"/>
      <c r="E151" s="304"/>
      <c r="F151" s="64"/>
      <c r="G151" s="64"/>
      <c r="H151" s="6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69"/>
      <c r="T151" s="304"/>
    </row>
    <row r="152" spans="1:20" x14ac:dyDescent="0.2">
      <c r="A152" s="304"/>
      <c r="B152" s="64"/>
      <c r="C152" s="304"/>
      <c r="D152" s="304"/>
      <c r="E152" s="304"/>
      <c r="F152" s="64"/>
      <c r="G152" s="64"/>
      <c r="H152" s="6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69"/>
      <c r="T152" s="304"/>
    </row>
    <row r="153" spans="1:20" x14ac:dyDescent="0.2">
      <c r="A153" s="304"/>
      <c r="B153" s="64"/>
      <c r="C153" s="304"/>
      <c r="D153" s="304"/>
      <c r="E153" s="304"/>
      <c r="F153" s="64"/>
      <c r="G153" s="64"/>
      <c r="H153" s="64"/>
      <c r="I153" s="304"/>
      <c r="J153" s="304"/>
      <c r="K153" s="304"/>
      <c r="L153" s="304"/>
      <c r="M153" s="304"/>
      <c r="N153" s="304"/>
      <c r="O153" s="304"/>
      <c r="P153" s="304"/>
      <c r="Q153" s="304"/>
      <c r="R153" s="304"/>
      <c r="S153" s="369"/>
      <c r="T153" s="304"/>
    </row>
    <row r="154" spans="1:20" x14ac:dyDescent="0.2">
      <c r="A154" s="304"/>
      <c r="B154" s="64"/>
      <c r="C154" s="304"/>
      <c r="D154" s="304"/>
      <c r="E154" s="304"/>
      <c r="F154" s="64"/>
      <c r="G154" s="64"/>
      <c r="H154" s="64"/>
      <c r="I154" s="304"/>
      <c r="J154" s="304"/>
      <c r="K154" s="304"/>
      <c r="L154" s="304"/>
      <c r="M154" s="304"/>
      <c r="N154" s="304"/>
      <c r="O154" s="304"/>
      <c r="P154" s="304"/>
      <c r="Q154" s="304"/>
      <c r="R154" s="304"/>
      <c r="S154" s="369"/>
      <c r="T154" s="304"/>
    </row>
    <row r="155" spans="1:20" x14ac:dyDescent="0.2">
      <c r="A155" s="304"/>
      <c r="B155" s="64"/>
      <c r="C155" s="304"/>
      <c r="D155" s="304"/>
      <c r="E155" s="304"/>
      <c r="F155" s="64"/>
      <c r="G155" s="64"/>
      <c r="H155" s="6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69"/>
      <c r="T155" s="304"/>
    </row>
    <row r="156" spans="1:20" x14ac:dyDescent="0.2">
      <c r="A156" s="304"/>
      <c r="B156" s="64"/>
      <c r="C156" s="304"/>
      <c r="D156" s="304"/>
      <c r="E156" s="304"/>
      <c r="F156" s="64"/>
      <c r="G156" s="64"/>
      <c r="H156" s="6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69"/>
      <c r="T156" s="304"/>
    </row>
    <row r="157" spans="1:20" x14ac:dyDescent="0.2">
      <c r="A157" s="304"/>
      <c r="B157" s="64"/>
      <c r="C157" s="304"/>
      <c r="D157" s="304"/>
      <c r="E157" s="304"/>
      <c r="F157" s="64"/>
      <c r="G157" s="64"/>
      <c r="H157" s="6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69"/>
      <c r="T157" s="304"/>
    </row>
    <row r="158" spans="1:20" x14ac:dyDescent="0.2">
      <c r="A158" s="304"/>
      <c r="B158" s="64"/>
      <c r="C158" s="304"/>
      <c r="D158" s="304"/>
      <c r="E158" s="304"/>
      <c r="F158" s="64"/>
      <c r="G158" s="64"/>
      <c r="H158" s="64"/>
      <c r="I158" s="304"/>
      <c r="J158" s="304"/>
      <c r="K158" s="304"/>
      <c r="L158" s="304"/>
      <c r="M158" s="304"/>
      <c r="N158" s="304"/>
      <c r="O158" s="304"/>
      <c r="P158" s="304"/>
      <c r="Q158" s="304"/>
      <c r="R158" s="304"/>
      <c r="S158" s="369"/>
      <c r="T158" s="304"/>
    </row>
    <row r="159" spans="1:20" x14ac:dyDescent="0.2">
      <c r="A159" s="304"/>
      <c r="B159" s="64"/>
      <c r="C159" s="304"/>
      <c r="D159" s="304"/>
      <c r="E159" s="304"/>
      <c r="F159" s="64"/>
      <c r="G159" s="64"/>
      <c r="H159" s="64"/>
      <c r="I159" s="304"/>
      <c r="J159" s="304"/>
      <c r="K159" s="304"/>
      <c r="L159" s="304"/>
      <c r="M159" s="304"/>
      <c r="N159" s="304"/>
      <c r="O159" s="304"/>
      <c r="P159" s="304"/>
      <c r="Q159" s="304"/>
      <c r="R159" s="304"/>
      <c r="S159" s="369"/>
      <c r="T159" s="304"/>
    </row>
    <row r="160" spans="1:20" x14ac:dyDescent="0.2">
      <c r="A160" s="304"/>
      <c r="B160" s="64"/>
      <c r="C160" s="304"/>
      <c r="D160" s="304"/>
      <c r="E160" s="304"/>
      <c r="F160" s="64"/>
      <c r="G160" s="64"/>
      <c r="H160" s="64"/>
      <c r="I160" s="304"/>
      <c r="J160" s="304"/>
      <c r="K160" s="304"/>
      <c r="L160" s="304"/>
      <c r="M160" s="304"/>
      <c r="N160" s="304"/>
      <c r="O160" s="304"/>
      <c r="P160" s="304"/>
      <c r="Q160" s="304"/>
      <c r="R160" s="304"/>
      <c r="S160" s="369"/>
      <c r="T160" s="304"/>
    </row>
    <row r="161" spans="1:20" x14ac:dyDescent="0.2">
      <c r="A161" s="304"/>
      <c r="B161" s="64"/>
      <c r="C161" s="304"/>
      <c r="D161" s="304"/>
      <c r="E161" s="304"/>
      <c r="F161" s="64"/>
      <c r="G161" s="64"/>
      <c r="H161" s="6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69"/>
      <c r="T161" s="304"/>
    </row>
    <row r="162" spans="1:20" x14ac:dyDescent="0.2">
      <c r="A162" s="304"/>
      <c r="B162" s="64"/>
      <c r="C162" s="304"/>
      <c r="D162" s="304"/>
      <c r="E162" s="304"/>
      <c r="F162" s="64"/>
      <c r="G162" s="64"/>
      <c r="H162" s="6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69"/>
      <c r="T162" s="304"/>
    </row>
    <row r="163" spans="1:20" x14ac:dyDescent="0.2">
      <c r="A163" s="304"/>
      <c r="B163" s="64"/>
      <c r="C163" s="304"/>
      <c r="D163" s="304"/>
      <c r="E163" s="304"/>
      <c r="F163" s="64"/>
      <c r="G163" s="64"/>
      <c r="H163" s="6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69"/>
      <c r="T163" s="304"/>
    </row>
    <row r="164" spans="1:20" x14ac:dyDescent="0.2">
      <c r="A164" s="304"/>
      <c r="B164" s="64"/>
      <c r="C164" s="304"/>
      <c r="D164" s="304"/>
      <c r="E164" s="304"/>
      <c r="F164" s="64"/>
      <c r="G164" s="64"/>
      <c r="H164" s="6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69"/>
      <c r="T164" s="304"/>
    </row>
    <row r="165" spans="1:20" x14ac:dyDescent="0.2">
      <c r="A165" s="304"/>
      <c r="B165" s="64"/>
      <c r="C165" s="304"/>
      <c r="D165" s="304"/>
      <c r="E165" s="304"/>
      <c r="F165" s="64"/>
      <c r="G165" s="64"/>
      <c r="H165" s="64"/>
      <c r="I165" s="304"/>
      <c r="J165" s="304"/>
      <c r="K165" s="304"/>
      <c r="L165" s="304"/>
      <c r="M165" s="304"/>
      <c r="N165" s="304"/>
      <c r="O165" s="304"/>
      <c r="P165" s="304"/>
      <c r="Q165" s="304"/>
      <c r="R165" s="304"/>
      <c r="S165" s="369"/>
      <c r="T165" s="304"/>
    </row>
    <row r="166" spans="1:20" x14ac:dyDescent="0.2">
      <c r="A166" s="304"/>
      <c r="B166" s="64"/>
      <c r="C166" s="304"/>
      <c r="D166" s="304"/>
      <c r="E166" s="304"/>
      <c r="F166" s="64"/>
      <c r="G166" s="64"/>
      <c r="H166" s="64"/>
      <c r="I166" s="304"/>
      <c r="J166" s="304"/>
      <c r="K166" s="304"/>
      <c r="L166" s="304"/>
      <c r="M166" s="304"/>
      <c r="N166" s="304"/>
      <c r="O166" s="304"/>
      <c r="P166" s="304"/>
      <c r="Q166" s="304"/>
      <c r="R166" s="304"/>
      <c r="S166" s="369"/>
      <c r="T166" s="304"/>
    </row>
    <row r="167" spans="1:20" x14ac:dyDescent="0.2">
      <c r="A167" s="304"/>
      <c r="B167" s="64"/>
      <c r="C167" s="304"/>
      <c r="D167" s="304"/>
      <c r="E167" s="304"/>
      <c r="F167" s="64"/>
      <c r="G167" s="64"/>
      <c r="H167" s="6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69"/>
      <c r="T167" s="304"/>
    </row>
    <row r="168" spans="1:20" x14ac:dyDescent="0.2">
      <c r="A168" s="304"/>
      <c r="B168" s="64"/>
      <c r="C168" s="304"/>
      <c r="D168" s="304"/>
      <c r="E168" s="304"/>
      <c r="F168" s="64"/>
      <c r="G168" s="64"/>
      <c r="H168" s="6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69"/>
      <c r="T168" s="304"/>
    </row>
    <row r="169" spans="1:20" x14ac:dyDescent="0.2">
      <c r="A169" s="304"/>
      <c r="B169" s="64"/>
      <c r="C169" s="304"/>
      <c r="D169" s="304"/>
      <c r="E169" s="304"/>
      <c r="F169" s="64"/>
      <c r="G169" s="64"/>
      <c r="H169" s="6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69"/>
      <c r="T169" s="304"/>
    </row>
    <row r="170" spans="1:20" x14ac:dyDescent="0.2">
      <c r="A170" s="304"/>
      <c r="B170" s="64"/>
      <c r="C170" s="304"/>
      <c r="D170" s="304"/>
      <c r="E170" s="304"/>
      <c r="F170" s="64"/>
      <c r="G170" s="64"/>
      <c r="H170" s="6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69"/>
      <c r="T170" s="304"/>
    </row>
    <row r="171" spans="1:20" x14ac:dyDescent="0.2">
      <c r="A171" s="304"/>
      <c r="B171" s="64"/>
      <c r="C171" s="304"/>
      <c r="D171" s="304"/>
      <c r="E171" s="304"/>
      <c r="F171" s="64"/>
      <c r="G171" s="64"/>
      <c r="H171" s="64"/>
      <c r="I171" s="304"/>
      <c r="J171" s="304"/>
      <c r="K171" s="304"/>
      <c r="L171" s="304"/>
      <c r="M171" s="304"/>
      <c r="N171" s="304"/>
      <c r="O171" s="304"/>
      <c r="P171" s="304"/>
      <c r="Q171" s="304"/>
      <c r="R171" s="304"/>
      <c r="S171" s="369"/>
      <c r="T171" s="304"/>
    </row>
    <row r="172" spans="1:20" x14ac:dyDescent="0.2">
      <c r="A172" s="304"/>
      <c r="B172" s="64"/>
      <c r="C172" s="304"/>
      <c r="D172" s="304"/>
      <c r="E172" s="304"/>
      <c r="F172" s="64"/>
      <c r="G172" s="64"/>
      <c r="H172" s="64"/>
      <c r="I172" s="304"/>
      <c r="J172" s="304"/>
      <c r="K172" s="304"/>
      <c r="L172" s="304"/>
      <c r="M172" s="304"/>
      <c r="N172" s="304"/>
      <c r="O172" s="304"/>
      <c r="P172" s="304"/>
      <c r="Q172" s="304"/>
      <c r="R172" s="304"/>
      <c r="S172" s="369"/>
      <c r="T172" s="304"/>
    </row>
    <row r="173" spans="1:20" x14ac:dyDescent="0.2">
      <c r="A173" s="304"/>
      <c r="B173" s="64"/>
      <c r="C173" s="304"/>
      <c r="D173" s="304"/>
      <c r="E173" s="304"/>
      <c r="F173" s="64"/>
      <c r="G173" s="64"/>
      <c r="H173" s="6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69"/>
      <c r="T173" s="304"/>
    </row>
    <row r="174" spans="1:20" x14ac:dyDescent="0.2">
      <c r="A174" s="304"/>
      <c r="B174" s="64"/>
      <c r="C174" s="304"/>
      <c r="D174" s="304"/>
      <c r="E174" s="304"/>
      <c r="F174" s="64"/>
      <c r="G174" s="64"/>
      <c r="H174" s="6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69"/>
      <c r="T174" s="304"/>
    </row>
    <row r="175" spans="1:20" x14ac:dyDescent="0.2">
      <c r="A175" s="304"/>
      <c r="B175" s="64"/>
      <c r="C175" s="304"/>
      <c r="D175" s="304"/>
      <c r="E175" s="304"/>
      <c r="F175" s="64"/>
      <c r="G175" s="64"/>
      <c r="H175" s="64"/>
      <c r="I175" s="304"/>
      <c r="J175" s="304"/>
      <c r="K175" s="304"/>
      <c r="L175" s="304"/>
      <c r="M175" s="304"/>
      <c r="N175" s="304"/>
      <c r="O175" s="304"/>
      <c r="P175" s="304"/>
      <c r="Q175" s="304"/>
      <c r="R175" s="304"/>
      <c r="S175" s="369"/>
      <c r="T175" s="304"/>
    </row>
    <row r="176" spans="1:20" x14ac:dyDescent="0.2">
      <c r="A176" s="304"/>
      <c r="B176" s="64"/>
      <c r="C176" s="304"/>
      <c r="D176" s="304"/>
      <c r="E176" s="304"/>
      <c r="F176" s="64"/>
      <c r="G176" s="64"/>
      <c r="H176" s="6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69"/>
      <c r="T176" s="304"/>
    </row>
    <row r="177" spans="1:20" x14ac:dyDescent="0.2">
      <c r="A177" s="304"/>
      <c r="B177" s="64"/>
      <c r="C177" s="304"/>
      <c r="D177" s="304"/>
      <c r="E177" s="304"/>
      <c r="F177" s="64"/>
      <c r="G177" s="64"/>
      <c r="H177" s="64"/>
      <c r="I177" s="304"/>
      <c r="J177" s="304"/>
      <c r="K177" s="304"/>
      <c r="L177" s="304"/>
      <c r="M177" s="304"/>
      <c r="N177" s="304"/>
      <c r="O177" s="304"/>
      <c r="P177" s="304"/>
      <c r="Q177" s="304"/>
      <c r="R177" s="304"/>
      <c r="S177" s="369"/>
      <c r="T177" s="304"/>
    </row>
    <row r="178" spans="1:20" x14ac:dyDescent="0.2">
      <c r="A178" s="304"/>
      <c r="B178" s="64"/>
      <c r="C178" s="304"/>
      <c r="D178" s="304"/>
      <c r="E178" s="304"/>
      <c r="F178" s="64"/>
      <c r="G178" s="64"/>
      <c r="H178" s="64"/>
      <c r="I178" s="304"/>
      <c r="J178" s="304"/>
      <c r="K178" s="304"/>
      <c r="L178" s="304"/>
      <c r="M178" s="304"/>
      <c r="N178" s="304"/>
      <c r="O178" s="304"/>
      <c r="P178" s="304"/>
      <c r="Q178" s="304"/>
      <c r="R178" s="304"/>
      <c r="S178" s="369"/>
      <c r="T178" s="304"/>
    </row>
    <row r="179" spans="1:20" x14ac:dyDescent="0.2">
      <c r="A179" s="304"/>
      <c r="B179" s="64"/>
      <c r="C179" s="304"/>
      <c r="D179" s="304"/>
      <c r="E179" s="304"/>
      <c r="F179" s="64"/>
      <c r="G179" s="64"/>
      <c r="H179" s="64"/>
      <c r="I179" s="304"/>
      <c r="J179" s="304"/>
      <c r="K179" s="304"/>
      <c r="L179" s="304"/>
      <c r="M179" s="304"/>
      <c r="N179" s="304"/>
      <c r="O179" s="304"/>
      <c r="P179" s="304"/>
      <c r="Q179" s="304"/>
      <c r="R179" s="304"/>
      <c r="S179" s="369"/>
      <c r="T179" s="304"/>
    </row>
  </sheetData>
  <dataConsolidate/>
  <mergeCells count="30">
    <mergeCell ref="AL50:AQ50"/>
    <mergeCell ref="AD57:AI57"/>
    <mergeCell ref="C1:I1"/>
    <mergeCell ref="K1:R1"/>
    <mergeCell ref="A4:A5"/>
    <mergeCell ref="A6:A8"/>
    <mergeCell ref="A9:A13"/>
    <mergeCell ref="AI17:AJ17"/>
    <mergeCell ref="Z19:AB19"/>
    <mergeCell ref="AB20:AC20"/>
    <mergeCell ref="AD20:AE20"/>
    <mergeCell ref="A21:A24"/>
    <mergeCell ref="V24:W24"/>
    <mergeCell ref="A15:A20"/>
    <mergeCell ref="A53:A54"/>
    <mergeCell ref="A55:A56"/>
    <mergeCell ref="S26:S27"/>
    <mergeCell ref="T26:T27"/>
    <mergeCell ref="AD37:AI37"/>
    <mergeCell ref="A39:A40"/>
    <mergeCell ref="A41:A43"/>
    <mergeCell ref="A45:A48"/>
    <mergeCell ref="A49:A50"/>
    <mergeCell ref="A51:A52"/>
    <mergeCell ref="A26:A27"/>
    <mergeCell ref="A28:A32"/>
    <mergeCell ref="S28:S32"/>
    <mergeCell ref="T28:T32"/>
    <mergeCell ref="A33:A35"/>
    <mergeCell ref="A36:A37"/>
  </mergeCells>
  <conditionalFormatting sqref="Q3:Q56">
    <cfRule type="cellIs" dxfId="28" priority="9" operator="lessThan">
      <formula>0</formula>
    </cfRule>
  </conditionalFormatting>
  <conditionalFormatting sqref="R3:R56">
    <cfRule type="containsText" dxfId="27" priority="8" operator="containsText" text="Yes">
      <formula>NOT(ISERROR(SEARCH("Yes",R3)))</formula>
    </cfRule>
  </conditionalFormatting>
  <conditionalFormatting sqref="M3:M56">
    <cfRule type="expression" dxfId="26" priority="7">
      <formula>(M3&lt;F3)</formula>
    </cfRule>
  </conditionalFormatting>
  <conditionalFormatting sqref="AE39:AJ50">
    <cfRule type="cellIs" dxfId="25" priority="6" operator="greaterThan">
      <formula>0</formula>
    </cfRule>
  </conditionalFormatting>
  <conditionalFormatting sqref="AN67:AR71">
    <cfRule type="cellIs" dxfId="24" priority="5" operator="greaterThan">
      <formula>0</formula>
    </cfRule>
  </conditionalFormatting>
  <conditionalFormatting sqref="AM52:AR63">
    <cfRule type="cellIs" dxfId="23" priority="4" operator="greaterThan">
      <formula>0</formula>
    </cfRule>
  </conditionalFormatting>
  <conditionalFormatting sqref="AJ59:AJ70">
    <cfRule type="cellIs" dxfId="22" priority="3" operator="greaterThan">
      <formula>0</formula>
    </cfRule>
  </conditionalFormatting>
  <conditionalFormatting sqref="AF59:AI70">
    <cfRule type="cellIs" dxfId="21" priority="2" operator="greaterThan">
      <formula>0</formula>
    </cfRule>
  </conditionalFormatting>
  <conditionalFormatting sqref="AE59:AE70">
    <cfRule type="cellIs" dxfId="20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zoomScale="90" zoomScaleNormal="90" workbookViewId="0">
      <selection activeCell="J39" sqref="J39"/>
    </sheetView>
  </sheetViews>
  <sheetFormatPr defaultRowHeight="15" x14ac:dyDescent="0.25"/>
  <cols>
    <col min="1" max="1" width="16.7109375" customWidth="1"/>
    <col min="2" max="2" width="40.140625" style="438" customWidth="1"/>
    <col min="3" max="3" width="51.140625" style="438" customWidth="1"/>
    <col min="4" max="4" width="34.42578125" style="438" customWidth="1"/>
    <col min="7" max="7" width="19.5703125" customWidth="1"/>
    <col min="8" max="8" width="21.42578125" customWidth="1"/>
    <col min="9" max="9" width="19.28515625" customWidth="1"/>
  </cols>
  <sheetData>
    <row r="1" spans="1:18" x14ac:dyDescent="0.25">
      <c r="A1" s="551" t="s">
        <v>621</v>
      </c>
      <c r="B1" s="552"/>
      <c r="C1" s="552"/>
      <c r="D1" s="553"/>
    </row>
    <row r="2" spans="1:18" ht="15.75" thickBot="1" x14ac:dyDescent="0.3">
      <c r="A2" s="554"/>
      <c r="B2" s="555"/>
      <c r="C2" s="555"/>
      <c r="D2" s="556"/>
    </row>
    <row r="3" spans="1:18" ht="30" x14ac:dyDescent="0.25">
      <c r="A3" s="557" t="s">
        <v>390</v>
      </c>
      <c r="B3" s="558" t="s">
        <v>578</v>
      </c>
      <c r="C3" s="557" t="s">
        <v>580</v>
      </c>
      <c r="D3" s="559" t="s">
        <v>579</v>
      </c>
      <c r="G3" s="560" t="s">
        <v>621</v>
      </c>
      <c r="H3" s="561"/>
      <c r="I3" s="562"/>
      <c r="L3" s="563" t="s">
        <v>585</v>
      </c>
      <c r="M3" s="564"/>
      <c r="N3" s="564"/>
      <c r="O3" s="564"/>
      <c r="P3" s="564"/>
      <c r="Q3" s="564"/>
      <c r="R3" s="565"/>
    </row>
    <row r="4" spans="1:18" x14ac:dyDescent="0.25">
      <c r="A4" s="566" t="s">
        <v>0</v>
      </c>
      <c r="B4" s="567">
        <v>1343.1529499999999</v>
      </c>
      <c r="C4" s="568">
        <f t="shared" ref="C4" si="0">D4-B4</f>
        <v>0</v>
      </c>
      <c r="D4" s="567">
        <v>1343.1529499999999</v>
      </c>
      <c r="G4" s="292" t="s">
        <v>390</v>
      </c>
      <c r="H4" s="193" t="s">
        <v>389</v>
      </c>
      <c r="I4" s="293" t="s">
        <v>388</v>
      </c>
      <c r="L4" s="346" t="s">
        <v>528</v>
      </c>
      <c r="M4" s="348" t="s">
        <v>529</v>
      </c>
      <c r="N4" s="348" t="s">
        <v>530</v>
      </c>
      <c r="O4" s="348" t="s">
        <v>531</v>
      </c>
      <c r="P4" s="348" t="s">
        <v>532</v>
      </c>
      <c r="Q4" s="349" t="s">
        <v>582</v>
      </c>
      <c r="R4" s="328" t="s">
        <v>417</v>
      </c>
    </row>
    <row r="5" spans="1:18" x14ac:dyDescent="0.25">
      <c r="A5" s="566" t="s">
        <v>2</v>
      </c>
      <c r="B5" s="567">
        <v>272.02699999999999</v>
      </c>
      <c r="C5" s="568">
        <f>D5-B5</f>
        <v>0</v>
      </c>
      <c r="D5" s="567">
        <v>272.02699999999999</v>
      </c>
      <c r="G5" s="133"/>
      <c r="H5" s="132"/>
      <c r="I5" s="100">
        <f>(H5/200)*100</f>
        <v>0</v>
      </c>
      <c r="L5" s="60" t="s">
        <v>84</v>
      </c>
      <c r="M5" s="350">
        <v>0</v>
      </c>
      <c r="N5" s="350">
        <v>0</v>
      </c>
      <c r="O5" s="351">
        <v>0</v>
      </c>
      <c r="P5" s="351">
        <v>0</v>
      </c>
      <c r="Q5" s="352">
        <v>0</v>
      </c>
      <c r="R5" s="353">
        <f>SUM(M5:Q5)</f>
        <v>0</v>
      </c>
    </row>
    <row r="6" spans="1:18" x14ac:dyDescent="0.25">
      <c r="A6" s="566" t="s">
        <v>3</v>
      </c>
      <c r="B6" s="567">
        <v>137.73599999999999</v>
      </c>
      <c r="C6" s="568">
        <f>D6-B6</f>
        <v>0</v>
      </c>
      <c r="D6" s="567">
        <v>137.73599999999999</v>
      </c>
      <c r="G6" s="133"/>
      <c r="H6" s="132"/>
      <c r="I6" s="220">
        <f>(H6/150)*100</f>
        <v>0</v>
      </c>
      <c r="L6" s="60" t="s">
        <v>85</v>
      </c>
      <c r="M6" s="350">
        <v>0</v>
      </c>
      <c r="N6" s="350">
        <v>0</v>
      </c>
      <c r="O6" s="350">
        <v>0</v>
      </c>
      <c r="P6" s="350">
        <v>0</v>
      </c>
      <c r="Q6" s="352">
        <v>0</v>
      </c>
      <c r="R6" s="60">
        <f t="shared" ref="R6:R16" si="1">SUM(M6:Q6)</f>
        <v>0</v>
      </c>
    </row>
    <row r="7" spans="1:18" ht="15.75" thickBot="1" x14ac:dyDescent="0.3">
      <c r="A7" s="566" t="s">
        <v>4</v>
      </c>
      <c r="B7" s="567">
        <v>345.30300000000011</v>
      </c>
      <c r="C7" s="568">
        <f>D7-B7</f>
        <v>0</v>
      </c>
      <c r="D7" s="567">
        <v>345.30300000000011</v>
      </c>
      <c r="G7" s="436"/>
      <c r="H7" s="437"/>
      <c r="I7" s="89"/>
      <c r="L7" s="60" t="s">
        <v>86</v>
      </c>
      <c r="M7" s="350">
        <v>0</v>
      </c>
      <c r="N7" s="350">
        <v>0</v>
      </c>
      <c r="O7" s="350">
        <v>0</v>
      </c>
      <c r="P7" s="350">
        <v>0</v>
      </c>
      <c r="Q7" s="352">
        <v>0</v>
      </c>
      <c r="R7" s="60">
        <f t="shared" si="1"/>
        <v>0</v>
      </c>
    </row>
    <row r="8" spans="1:18" x14ac:dyDescent="0.25">
      <c r="A8" s="566" t="s">
        <v>5</v>
      </c>
      <c r="B8" s="567">
        <v>743.52239999999995</v>
      </c>
      <c r="C8" s="568">
        <f>D8-B8</f>
        <v>0</v>
      </c>
      <c r="D8" s="567">
        <v>743.52239999999995</v>
      </c>
      <c r="G8" s="160" t="s">
        <v>369</v>
      </c>
      <c r="H8" s="247">
        <f>SUM(H5:H7)</f>
        <v>0</v>
      </c>
      <c r="I8" s="460"/>
      <c r="L8" s="60" t="s">
        <v>87</v>
      </c>
      <c r="M8" s="350">
        <v>0</v>
      </c>
      <c r="N8" s="350">
        <v>0</v>
      </c>
      <c r="O8" s="350">
        <v>0</v>
      </c>
      <c r="P8" s="350">
        <v>0</v>
      </c>
      <c r="Q8" s="352">
        <v>0</v>
      </c>
      <c r="R8" s="60">
        <f t="shared" si="1"/>
        <v>0</v>
      </c>
    </row>
    <row r="9" spans="1:18" x14ac:dyDescent="0.25">
      <c r="A9" s="566" t="s">
        <v>6</v>
      </c>
      <c r="B9" s="567">
        <v>991.6640000000001</v>
      </c>
      <c r="C9" s="568">
        <f>D9-B9</f>
        <v>0</v>
      </c>
      <c r="D9" s="567">
        <v>991.6640000000001</v>
      </c>
      <c r="G9" s="246" t="s">
        <v>365</v>
      </c>
      <c r="H9" s="245">
        <f>H8/9100.11497</f>
        <v>0</v>
      </c>
      <c r="I9" s="460"/>
      <c r="L9" s="60" t="s">
        <v>88</v>
      </c>
      <c r="M9" s="350">
        <v>0</v>
      </c>
      <c r="N9" s="350">
        <v>0</v>
      </c>
      <c r="O9" s="350">
        <v>0</v>
      </c>
      <c r="P9" s="350">
        <v>0</v>
      </c>
      <c r="Q9" s="352">
        <v>0</v>
      </c>
      <c r="R9" s="60">
        <f t="shared" si="1"/>
        <v>0</v>
      </c>
    </row>
    <row r="10" spans="1:18" x14ac:dyDescent="0.25">
      <c r="A10" s="566" t="s">
        <v>7</v>
      </c>
      <c r="B10" s="567">
        <v>584.16399999999999</v>
      </c>
      <c r="C10" s="568">
        <f>D10-B10</f>
        <v>0</v>
      </c>
      <c r="D10" s="567">
        <v>584.16399999999999</v>
      </c>
      <c r="L10" s="60" t="s">
        <v>89</v>
      </c>
      <c r="M10" s="350">
        <v>0</v>
      </c>
      <c r="N10" s="350">
        <v>0</v>
      </c>
      <c r="O10" s="350">
        <v>0</v>
      </c>
      <c r="P10" s="350">
        <v>0</v>
      </c>
      <c r="Q10" s="352">
        <v>0</v>
      </c>
      <c r="R10" s="60">
        <f t="shared" si="1"/>
        <v>0</v>
      </c>
    </row>
    <row r="11" spans="1:18" x14ac:dyDescent="0.25">
      <c r="A11" s="566" t="s">
        <v>8</v>
      </c>
      <c r="B11" s="567">
        <v>633.27571428571446</v>
      </c>
      <c r="C11" s="568">
        <f>D11-B11</f>
        <v>0</v>
      </c>
      <c r="D11" s="567">
        <v>633.27571428571446</v>
      </c>
      <c r="L11" s="60" t="s">
        <v>90</v>
      </c>
      <c r="M11" s="350">
        <v>0</v>
      </c>
      <c r="N11" s="350">
        <v>0</v>
      </c>
      <c r="O11" s="350">
        <v>0</v>
      </c>
      <c r="P11" s="350">
        <v>0</v>
      </c>
      <c r="Q11" s="352">
        <v>0</v>
      </c>
      <c r="R11" s="60">
        <f t="shared" si="1"/>
        <v>0</v>
      </c>
    </row>
    <row r="12" spans="1:18" x14ac:dyDescent="0.25">
      <c r="A12" s="566" t="s">
        <v>9</v>
      </c>
      <c r="B12" s="567">
        <v>542.78371428571438</v>
      </c>
      <c r="C12" s="568">
        <f>D12-B12</f>
        <v>0</v>
      </c>
      <c r="D12" s="567">
        <v>542.78371428571438</v>
      </c>
      <c r="L12" s="60" t="s">
        <v>91</v>
      </c>
      <c r="M12" s="350">
        <v>0</v>
      </c>
      <c r="N12" s="350">
        <v>0</v>
      </c>
      <c r="O12" s="352">
        <v>0</v>
      </c>
      <c r="P12" s="352">
        <v>0</v>
      </c>
      <c r="Q12" s="352">
        <v>0</v>
      </c>
      <c r="R12" s="60">
        <f t="shared" si="1"/>
        <v>0</v>
      </c>
    </row>
    <row r="13" spans="1:18" x14ac:dyDescent="0.25">
      <c r="A13" s="566" t="s">
        <v>10</v>
      </c>
      <c r="B13" s="567">
        <v>501.77300000000008</v>
      </c>
      <c r="C13" s="568">
        <f>D13-B13</f>
        <v>0</v>
      </c>
      <c r="D13" s="567">
        <v>501.77300000000008</v>
      </c>
      <c r="L13" s="60" t="s">
        <v>92</v>
      </c>
      <c r="M13" s="352">
        <v>0</v>
      </c>
      <c r="N13" s="352">
        <v>0</v>
      </c>
      <c r="O13" s="352">
        <v>0</v>
      </c>
      <c r="P13" s="352">
        <v>0</v>
      </c>
      <c r="Q13" s="352">
        <v>0</v>
      </c>
      <c r="R13" s="60">
        <f t="shared" si="1"/>
        <v>0</v>
      </c>
    </row>
    <row r="14" spans="1:18" x14ac:dyDescent="0.25">
      <c r="A14" s="566" t="s">
        <v>11</v>
      </c>
      <c r="B14" s="567">
        <v>452.07900000000001</v>
      </c>
      <c r="C14" s="568">
        <f>D14-B14</f>
        <v>0</v>
      </c>
      <c r="D14" s="567">
        <v>452.07900000000001</v>
      </c>
      <c r="L14" s="60" t="s">
        <v>93</v>
      </c>
      <c r="M14" s="352">
        <v>0</v>
      </c>
      <c r="N14" s="350">
        <v>0</v>
      </c>
      <c r="O14" s="352">
        <v>0</v>
      </c>
      <c r="P14" s="352">
        <v>0</v>
      </c>
      <c r="Q14" s="352">
        <v>0</v>
      </c>
      <c r="R14" s="60">
        <f t="shared" si="1"/>
        <v>0</v>
      </c>
    </row>
    <row r="15" spans="1:18" x14ac:dyDescent="0.25">
      <c r="A15" s="566" t="s">
        <v>12</v>
      </c>
      <c r="B15" s="567">
        <v>764.10666666666657</v>
      </c>
      <c r="C15" s="568">
        <f>D15-B15</f>
        <v>0</v>
      </c>
      <c r="D15" s="567">
        <v>764.10666666666657</v>
      </c>
      <c r="L15" s="60" t="s">
        <v>94</v>
      </c>
      <c r="M15" s="352">
        <v>0</v>
      </c>
      <c r="N15" s="350">
        <v>0</v>
      </c>
      <c r="O15" s="352">
        <v>0</v>
      </c>
      <c r="P15" s="352">
        <v>0</v>
      </c>
      <c r="Q15" s="352">
        <v>0</v>
      </c>
      <c r="R15" s="60">
        <f t="shared" si="1"/>
        <v>0</v>
      </c>
    </row>
    <row r="16" spans="1:18" x14ac:dyDescent="0.25">
      <c r="A16" s="566" t="s">
        <v>13</v>
      </c>
      <c r="B16" s="567">
        <v>50.816000000000003</v>
      </c>
      <c r="C16" s="568">
        <f>D16-B16</f>
        <v>0</v>
      </c>
      <c r="D16" s="567">
        <v>50.816000000000003</v>
      </c>
      <c r="L16" s="358" t="s">
        <v>508</v>
      </c>
      <c r="M16" s="359">
        <v>0</v>
      </c>
      <c r="N16" s="359">
        <v>0</v>
      </c>
      <c r="O16" s="359">
        <v>0</v>
      </c>
      <c r="P16" s="359">
        <v>0</v>
      </c>
      <c r="Q16" s="359">
        <v>0</v>
      </c>
      <c r="R16" s="358">
        <f t="shared" si="1"/>
        <v>0</v>
      </c>
    </row>
    <row r="17" spans="1:18" x14ac:dyDescent="0.25">
      <c r="A17" s="566" t="s">
        <v>14</v>
      </c>
      <c r="B17" s="567">
        <v>1659.08</v>
      </c>
      <c r="C17" s="568">
        <f>D17-B17</f>
        <v>0</v>
      </c>
      <c r="D17" s="567">
        <v>1659.08</v>
      </c>
      <c r="L17" s="328" t="s">
        <v>537</v>
      </c>
      <c r="M17" s="360">
        <f t="shared" ref="M17:R17" si="2">SUM(M5:M16)</f>
        <v>0</v>
      </c>
      <c r="N17" s="360">
        <f t="shared" si="2"/>
        <v>0</v>
      </c>
      <c r="O17" s="360">
        <f t="shared" si="2"/>
        <v>0</v>
      </c>
      <c r="P17" s="360">
        <f t="shared" si="2"/>
        <v>0</v>
      </c>
      <c r="Q17" s="360">
        <f t="shared" si="2"/>
        <v>0</v>
      </c>
      <c r="R17" s="361">
        <f t="shared" si="2"/>
        <v>0</v>
      </c>
    </row>
    <row r="18" spans="1:18" x14ac:dyDescent="0.25">
      <c r="A18" s="566" t="s">
        <v>15</v>
      </c>
      <c r="B18" s="567">
        <v>845.88228571428579</v>
      </c>
      <c r="C18" s="568">
        <f>D18-B18</f>
        <v>0</v>
      </c>
      <c r="D18" s="567">
        <v>845.88228571428579</v>
      </c>
      <c r="L18" s="328" t="s">
        <v>536</v>
      </c>
      <c r="M18" s="362">
        <f>PRODUCT(M17*V20)</f>
        <v>0</v>
      </c>
      <c r="N18" s="362">
        <f>PRODUCT(N17*V21)</f>
        <v>0</v>
      </c>
      <c r="O18" s="362">
        <f>PRODUCT(O17*V22)</f>
        <v>0</v>
      </c>
      <c r="P18" s="362">
        <f>PRODUCT(P17*V23)</f>
        <v>0</v>
      </c>
      <c r="Q18" s="362">
        <f>PRODUCT(Q17*V24)</f>
        <v>0</v>
      </c>
      <c r="R18" s="328">
        <f>SUM(M18:Q18)</f>
        <v>0</v>
      </c>
    </row>
    <row r="19" spans="1:18" x14ac:dyDescent="0.25">
      <c r="A19" s="566" t="s">
        <v>16</v>
      </c>
      <c r="B19" s="567">
        <v>815.96000000000015</v>
      </c>
      <c r="C19" s="568">
        <f>D19-B19</f>
        <v>0</v>
      </c>
      <c r="D19" s="567">
        <v>815.96000000000015</v>
      </c>
      <c r="L19" s="328" t="s">
        <v>583</v>
      </c>
      <c r="M19" s="362">
        <f>M17*U20</f>
        <v>0</v>
      </c>
      <c r="N19" s="362">
        <f>N17*U21</f>
        <v>0</v>
      </c>
      <c r="O19" s="362">
        <f>O17*U22</f>
        <v>0</v>
      </c>
      <c r="P19" s="362">
        <f>P17*U23</f>
        <v>0</v>
      </c>
      <c r="Q19" s="362">
        <f>Q17*U24</f>
        <v>0</v>
      </c>
      <c r="R19" s="328">
        <f>SUM(M19:Q19)</f>
        <v>0</v>
      </c>
    </row>
    <row r="20" spans="1:18" x14ac:dyDescent="0.25">
      <c r="A20" s="566" t="s">
        <v>17</v>
      </c>
      <c r="B20" s="567">
        <v>986.28200000000004</v>
      </c>
      <c r="C20" s="568">
        <f>D20-B20</f>
        <v>0</v>
      </c>
      <c r="D20" s="567">
        <v>986.28200000000004</v>
      </c>
    </row>
    <row r="21" spans="1:18" x14ac:dyDescent="0.25">
      <c r="A21" s="566" t="s">
        <v>18</v>
      </c>
      <c r="B21" s="567">
        <v>2449.7252380952382</v>
      </c>
      <c r="C21" s="568">
        <f>D21-B21</f>
        <v>0</v>
      </c>
      <c r="D21" s="567">
        <v>2449.7252380952382</v>
      </c>
      <c r="L21" s="5"/>
      <c r="M21" s="5"/>
      <c r="N21" s="5"/>
      <c r="O21" s="5"/>
      <c r="P21" s="5"/>
      <c r="Q21" s="5"/>
      <c r="R21" s="5"/>
    </row>
    <row r="22" spans="1:18" x14ac:dyDescent="0.25">
      <c r="A22" s="566" t="s">
        <v>19</v>
      </c>
      <c r="B22" s="567">
        <v>2310.0066666666671</v>
      </c>
      <c r="C22" s="568">
        <f>D22-B22</f>
        <v>0</v>
      </c>
      <c r="D22" s="567">
        <v>2310.0066666666671</v>
      </c>
      <c r="L22" s="5"/>
      <c r="M22" s="5"/>
      <c r="N22" s="5"/>
      <c r="O22" s="5"/>
      <c r="P22" s="5"/>
      <c r="Q22" s="5"/>
      <c r="R22" s="5"/>
    </row>
    <row r="23" spans="1:18" x14ac:dyDescent="0.25">
      <c r="A23" s="566" t="s">
        <v>20</v>
      </c>
      <c r="B23" s="567">
        <v>2759.6133333333328</v>
      </c>
      <c r="C23" s="568">
        <f>D23-B23</f>
        <v>0</v>
      </c>
      <c r="D23" s="567">
        <v>2759.6133333333328</v>
      </c>
      <c r="L23" s="5"/>
      <c r="M23" s="5"/>
      <c r="N23" s="5"/>
      <c r="O23" s="5"/>
      <c r="P23" s="5"/>
      <c r="Q23" s="5"/>
      <c r="R23" s="5"/>
    </row>
    <row r="24" spans="1:18" x14ac:dyDescent="0.25">
      <c r="A24" s="566" t="s">
        <v>21</v>
      </c>
      <c r="B24" s="567">
        <v>540.41600000000005</v>
      </c>
      <c r="C24" s="568">
        <f>D24-B24</f>
        <v>0</v>
      </c>
      <c r="D24" s="567">
        <v>540.41600000000005</v>
      </c>
      <c r="L24" s="5"/>
      <c r="M24" s="5"/>
      <c r="N24" s="5"/>
      <c r="O24" s="5"/>
      <c r="P24" s="5"/>
      <c r="Q24" s="5"/>
      <c r="R24" s="5"/>
    </row>
    <row r="25" spans="1:18" x14ac:dyDescent="0.25">
      <c r="A25" s="566" t="s">
        <v>22</v>
      </c>
      <c r="B25" s="567">
        <v>239.73666666666671</v>
      </c>
      <c r="C25" s="568">
        <f>D25-B25</f>
        <v>0</v>
      </c>
      <c r="D25" s="567">
        <v>239.73666666666671</v>
      </c>
      <c r="L25" s="5"/>
      <c r="M25" s="5"/>
      <c r="N25" s="5"/>
      <c r="O25" s="5"/>
      <c r="P25" s="5"/>
      <c r="Q25" s="5"/>
      <c r="R25" s="5"/>
    </row>
    <row r="26" spans="1:18" x14ac:dyDescent="0.25">
      <c r="A26" s="566" t="s">
        <v>23</v>
      </c>
      <c r="B26" s="567">
        <v>65.610285714285709</v>
      </c>
      <c r="C26" s="568">
        <f>D26-B26</f>
        <v>0</v>
      </c>
      <c r="D26" s="567">
        <v>65.610285714285709</v>
      </c>
      <c r="L26" s="5"/>
      <c r="M26" s="5"/>
      <c r="N26" s="5"/>
      <c r="O26" s="5"/>
      <c r="P26" s="5"/>
      <c r="Q26" s="5"/>
      <c r="R26" s="5"/>
    </row>
    <row r="27" spans="1:18" x14ac:dyDescent="0.25">
      <c r="A27" s="566" t="s">
        <v>24</v>
      </c>
      <c r="B27" s="567">
        <v>171.15500000000009</v>
      </c>
      <c r="C27" s="568">
        <f>D27-B27</f>
        <v>0</v>
      </c>
      <c r="D27" s="567">
        <v>171.15500000000009</v>
      </c>
      <c r="L27" s="5"/>
      <c r="M27" s="5"/>
      <c r="N27" s="5"/>
      <c r="O27" s="5"/>
      <c r="P27" s="5"/>
      <c r="Q27" s="5"/>
      <c r="R27" s="5"/>
    </row>
    <row r="28" spans="1:18" x14ac:dyDescent="0.25">
      <c r="A28" s="566" t="s">
        <v>25</v>
      </c>
      <c r="B28" s="567">
        <v>271.68</v>
      </c>
      <c r="C28" s="568">
        <f>D28-B28</f>
        <v>0</v>
      </c>
      <c r="D28" s="567">
        <v>271.68</v>
      </c>
      <c r="L28" s="5"/>
      <c r="M28" s="5"/>
      <c r="N28" s="5"/>
      <c r="O28" s="5"/>
      <c r="P28" s="5"/>
      <c r="Q28" s="5"/>
      <c r="R28" s="5"/>
    </row>
    <row r="29" spans="1:18" x14ac:dyDescent="0.25">
      <c r="A29" s="566" t="s">
        <v>26</v>
      </c>
      <c r="B29" s="567">
        <v>324.92899999999997</v>
      </c>
      <c r="C29" s="568">
        <f>D29-B29</f>
        <v>0</v>
      </c>
      <c r="D29" s="567">
        <v>324.92899999999997</v>
      </c>
      <c r="L29" s="5"/>
      <c r="M29" s="5"/>
      <c r="N29" s="5"/>
      <c r="O29" s="5"/>
      <c r="P29" s="5"/>
      <c r="Q29" s="5"/>
      <c r="R29" s="5"/>
    </row>
    <row r="30" spans="1:18" x14ac:dyDescent="0.25">
      <c r="A30" s="566" t="s">
        <v>27</v>
      </c>
      <c r="B30" s="567">
        <v>368.72600000000011</v>
      </c>
      <c r="C30" s="568">
        <f>D30-B30</f>
        <v>0</v>
      </c>
      <c r="D30" s="567">
        <v>368.72600000000011</v>
      </c>
      <c r="L30" s="5"/>
      <c r="M30" s="5"/>
      <c r="N30" s="5"/>
      <c r="O30" s="5"/>
      <c r="P30" s="5"/>
      <c r="Q30" s="5"/>
      <c r="R30" s="5"/>
    </row>
    <row r="31" spans="1:18" x14ac:dyDescent="0.25">
      <c r="A31" s="566" t="s">
        <v>28</v>
      </c>
      <c r="B31" s="567">
        <v>335.31599999999997</v>
      </c>
      <c r="C31" s="568">
        <f>D31-B31</f>
        <v>0</v>
      </c>
      <c r="D31" s="567">
        <v>335.31599999999997</v>
      </c>
      <c r="L31" s="5"/>
      <c r="M31" s="5"/>
      <c r="N31" s="5"/>
      <c r="O31" s="5"/>
      <c r="P31" s="5"/>
      <c r="Q31" s="5"/>
      <c r="R31" s="5"/>
    </row>
    <row r="32" spans="1:18" x14ac:dyDescent="0.25">
      <c r="A32" s="566" t="s">
        <v>29</v>
      </c>
      <c r="B32" s="567">
        <v>154.63</v>
      </c>
      <c r="C32" s="568">
        <f>D32-B32</f>
        <v>0</v>
      </c>
      <c r="D32" s="567">
        <v>154.63</v>
      </c>
    </row>
    <row r="33" spans="1:4" x14ac:dyDescent="0.25">
      <c r="A33" s="566" t="s">
        <v>30</v>
      </c>
      <c r="B33" s="567">
        <v>264.65800000000002</v>
      </c>
      <c r="C33" s="568">
        <f>D33-B33</f>
        <v>0</v>
      </c>
      <c r="D33" s="567">
        <v>264.65800000000002</v>
      </c>
    </row>
    <row r="34" spans="1:4" ht="15.75" thickBot="1" x14ac:dyDescent="0.3">
      <c r="A34" s="569" t="s">
        <v>31</v>
      </c>
      <c r="B34" s="570">
        <v>101.142</v>
      </c>
      <c r="C34" s="571">
        <f>D34-B34</f>
        <v>0</v>
      </c>
      <c r="D34" s="570">
        <v>101.142</v>
      </c>
    </row>
    <row r="35" spans="1:4" ht="15.75" thickBot="1" x14ac:dyDescent="0.3">
      <c r="A35" s="572" t="s">
        <v>622</v>
      </c>
      <c r="B35" s="573">
        <f>SUM(B4:B34)</f>
        <v>22026.951921428572</v>
      </c>
      <c r="C35" s="573">
        <f>SUBTOTAL(109,C4:C34)</f>
        <v>0</v>
      </c>
      <c r="D35" s="574">
        <f>SUM(D4:D34)</f>
        <v>22026.951921428572</v>
      </c>
    </row>
  </sheetData>
  <mergeCells count="3">
    <mergeCell ref="A1:D2"/>
    <mergeCell ref="G3:I3"/>
    <mergeCell ref="L3:R3"/>
  </mergeCells>
  <conditionalFormatting sqref="M5:R16">
    <cfRule type="cellIs" dxfId="19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E1" zoomScaleNormal="100" workbookViewId="0">
      <selection activeCell="O35" sqref="O35"/>
    </sheetView>
  </sheetViews>
  <sheetFormatPr defaultRowHeight="15" x14ac:dyDescent="0.25"/>
  <cols>
    <col min="1" max="1" width="16.7109375" customWidth="1"/>
    <col min="2" max="2" width="40.140625" style="438" customWidth="1"/>
    <col min="3" max="3" width="51.140625" style="438" customWidth="1"/>
    <col min="4" max="4" width="34.42578125" style="438" customWidth="1"/>
    <col min="6" max="6" width="17.28515625" customWidth="1"/>
    <col min="7" max="7" width="28.5703125" customWidth="1"/>
    <col min="8" max="8" width="30.28515625" customWidth="1"/>
    <col min="9" max="9" width="18.140625" customWidth="1"/>
    <col min="10" max="10" width="22.140625" customWidth="1"/>
    <col min="11" max="11" width="15.7109375" customWidth="1"/>
    <col min="14" max="14" width="11.140625" style="5" customWidth="1"/>
    <col min="15" max="15" width="10.42578125" style="5" customWidth="1"/>
    <col min="16" max="18" width="8.7109375" style="5"/>
    <col min="19" max="19" width="12.5703125" style="5" customWidth="1"/>
    <col min="20" max="20" width="16.5703125" style="5" customWidth="1"/>
  </cols>
  <sheetData>
    <row r="1" spans="1:20" x14ac:dyDescent="0.25">
      <c r="A1" s="551" t="s">
        <v>587</v>
      </c>
      <c r="B1" s="552"/>
      <c r="C1" s="552"/>
      <c r="D1" s="553"/>
      <c r="K1" s="5"/>
      <c r="L1" s="5"/>
      <c r="M1" s="5"/>
      <c r="R1"/>
      <c r="S1"/>
      <c r="T1"/>
    </row>
    <row r="2" spans="1:20" ht="15.75" thickBot="1" x14ac:dyDescent="0.3">
      <c r="A2" s="575"/>
      <c r="B2" s="576"/>
      <c r="C2" s="576"/>
      <c r="D2" s="577"/>
      <c r="K2" s="5"/>
      <c r="L2" s="5"/>
      <c r="M2" s="5"/>
      <c r="R2"/>
      <c r="S2"/>
      <c r="T2"/>
    </row>
    <row r="3" spans="1:20" ht="30.75" thickBot="1" x14ac:dyDescent="0.3">
      <c r="A3" s="578" t="s">
        <v>390</v>
      </c>
      <c r="B3" s="579" t="s">
        <v>578</v>
      </c>
      <c r="C3" s="580" t="s">
        <v>580</v>
      </c>
      <c r="D3" s="581" t="s">
        <v>579</v>
      </c>
      <c r="F3" s="560" t="s">
        <v>581</v>
      </c>
      <c r="G3" s="561"/>
      <c r="H3" s="562"/>
      <c r="J3" s="582" t="s">
        <v>623</v>
      </c>
      <c r="K3" s="583"/>
      <c r="L3" s="583"/>
      <c r="M3" s="583"/>
      <c r="N3" s="583"/>
      <c r="O3" s="583"/>
      <c r="P3" s="584"/>
      <c r="R3" s="194" t="s">
        <v>534</v>
      </c>
      <c r="S3" s="194" t="s">
        <v>535</v>
      </c>
      <c r="T3" s="194" t="s">
        <v>536</v>
      </c>
    </row>
    <row r="4" spans="1:20" x14ac:dyDescent="0.25">
      <c r="A4" s="585" t="s">
        <v>0</v>
      </c>
      <c r="B4" s="422">
        <v>1450</v>
      </c>
      <c r="C4" s="586">
        <f t="shared" ref="C4:C34" si="0">D4-B4</f>
        <v>0</v>
      </c>
      <c r="D4" s="422">
        <v>1450</v>
      </c>
      <c r="F4" s="587"/>
      <c r="G4" s="588"/>
      <c r="H4" s="589"/>
      <c r="J4" s="590" t="s">
        <v>528</v>
      </c>
      <c r="K4" s="348" t="s">
        <v>529</v>
      </c>
      <c r="L4" s="348" t="s">
        <v>530</v>
      </c>
      <c r="M4" s="348" t="s">
        <v>531</v>
      </c>
      <c r="N4" s="348" t="s">
        <v>532</v>
      </c>
      <c r="O4" s="349" t="s">
        <v>582</v>
      </c>
      <c r="P4" s="591" t="s">
        <v>417</v>
      </c>
      <c r="R4" s="592" t="s">
        <v>529</v>
      </c>
      <c r="S4" s="592">
        <v>100</v>
      </c>
      <c r="T4" s="593">
        <v>15</v>
      </c>
    </row>
    <row r="5" spans="1:20" x14ac:dyDescent="0.25">
      <c r="A5" s="594" t="s">
        <v>2</v>
      </c>
      <c r="B5" s="422">
        <v>300.00000000000011</v>
      </c>
      <c r="C5" s="586">
        <f t="shared" si="0"/>
        <v>0</v>
      </c>
      <c r="D5" s="422">
        <v>300</v>
      </c>
      <c r="F5" s="138" t="s">
        <v>390</v>
      </c>
      <c r="G5" s="137" t="s">
        <v>389</v>
      </c>
      <c r="H5" s="136" t="s">
        <v>388</v>
      </c>
      <c r="J5" s="595" t="s">
        <v>84</v>
      </c>
      <c r="K5" s="350">
        <v>0</v>
      </c>
      <c r="L5" s="350">
        <f>1</f>
        <v>1</v>
      </c>
      <c r="M5" s="351">
        <v>0</v>
      </c>
      <c r="N5" s="351">
        <f>1</f>
        <v>1</v>
      </c>
      <c r="O5" s="352">
        <f>4+1+1</f>
        <v>6</v>
      </c>
      <c r="P5" s="596">
        <f>SUM(K5:O5)</f>
        <v>8</v>
      </c>
      <c r="R5" s="597" t="s">
        <v>530</v>
      </c>
      <c r="S5" s="597">
        <v>150</v>
      </c>
      <c r="T5" s="598">
        <v>16.3689</v>
      </c>
    </row>
    <row r="6" spans="1:20" x14ac:dyDescent="0.25">
      <c r="A6" s="594" t="s">
        <v>3</v>
      </c>
      <c r="B6" s="422">
        <v>150</v>
      </c>
      <c r="C6" s="586">
        <f t="shared" si="0"/>
        <v>0</v>
      </c>
      <c r="D6" s="422">
        <v>150</v>
      </c>
      <c r="F6" s="133"/>
      <c r="G6" s="132"/>
      <c r="H6" s="100">
        <f>(G6/200)*100</f>
        <v>0</v>
      </c>
      <c r="J6" s="595" t="s">
        <v>85</v>
      </c>
      <c r="K6" s="350">
        <v>0</v>
      </c>
      <c r="L6" s="350">
        <f>1+1</f>
        <v>2</v>
      </c>
      <c r="M6" s="350">
        <v>0</v>
      </c>
      <c r="N6" s="350">
        <v>0</v>
      </c>
      <c r="O6" s="352">
        <f>2+4+2+2+2+1+1</f>
        <v>14</v>
      </c>
      <c r="P6" s="98">
        <f t="shared" ref="P6:P16" si="1">SUM(K6:O6)</f>
        <v>16</v>
      </c>
      <c r="R6" s="597" t="s">
        <v>531</v>
      </c>
      <c r="S6" s="597">
        <v>200</v>
      </c>
      <c r="T6" s="598">
        <v>16.746700000000001</v>
      </c>
    </row>
    <row r="7" spans="1:20" x14ac:dyDescent="0.25">
      <c r="A7" s="594" t="s">
        <v>4</v>
      </c>
      <c r="B7" s="422">
        <v>300</v>
      </c>
      <c r="C7" s="586">
        <f t="shared" si="0"/>
        <v>0</v>
      </c>
      <c r="D7" s="422">
        <v>300</v>
      </c>
      <c r="F7" s="133"/>
      <c r="G7" s="132"/>
      <c r="H7" s="220">
        <f>(G7/150)*100</f>
        <v>0</v>
      </c>
      <c r="J7" s="595" t="s">
        <v>86</v>
      </c>
      <c r="K7" s="350">
        <f>1</f>
        <v>1</v>
      </c>
      <c r="L7" s="350">
        <f>1+1</f>
        <v>2</v>
      </c>
      <c r="M7" s="350">
        <v>0</v>
      </c>
      <c r="N7" s="350">
        <v>0</v>
      </c>
      <c r="O7" s="350">
        <f>2+2</f>
        <v>4</v>
      </c>
      <c r="P7" s="98">
        <f t="shared" si="1"/>
        <v>7</v>
      </c>
      <c r="R7" s="597" t="s">
        <v>532</v>
      </c>
      <c r="S7" s="597">
        <v>250</v>
      </c>
      <c r="T7" s="598">
        <v>16.886600000000001</v>
      </c>
    </row>
    <row r="8" spans="1:20" ht="15.75" thickBot="1" x14ac:dyDescent="0.3">
      <c r="A8" s="594" t="s">
        <v>5</v>
      </c>
      <c r="B8" s="422">
        <v>750</v>
      </c>
      <c r="C8" s="586">
        <f t="shared" si="0"/>
        <v>0</v>
      </c>
      <c r="D8" s="422">
        <v>750</v>
      </c>
      <c r="F8" s="436"/>
      <c r="G8" s="437"/>
      <c r="H8" s="89"/>
      <c r="J8" s="595" t="s">
        <v>87</v>
      </c>
      <c r="K8" s="350">
        <f>1</f>
        <v>1</v>
      </c>
      <c r="L8" s="350">
        <f>1+1</f>
        <v>2</v>
      </c>
      <c r="M8" s="350">
        <v>0</v>
      </c>
      <c r="N8" s="350">
        <f>1+1</f>
        <v>2</v>
      </c>
      <c r="O8" s="352">
        <f>4+4+2+6+2+3+3+8+8+9+2</f>
        <v>51</v>
      </c>
      <c r="P8" s="98">
        <f t="shared" si="1"/>
        <v>56</v>
      </c>
      <c r="R8" s="597" t="s">
        <v>582</v>
      </c>
      <c r="S8" s="597">
        <v>300</v>
      </c>
      <c r="T8" s="598">
        <v>17</v>
      </c>
    </row>
    <row r="9" spans="1:20" x14ac:dyDescent="0.25">
      <c r="A9" s="594" t="s">
        <v>6</v>
      </c>
      <c r="B9" s="422">
        <v>1200</v>
      </c>
      <c r="C9" s="586">
        <f t="shared" si="0"/>
        <v>0</v>
      </c>
      <c r="D9" s="422">
        <v>1200</v>
      </c>
      <c r="F9" s="160" t="s">
        <v>369</v>
      </c>
      <c r="G9" s="247">
        <f>SUM(G6:G8)</f>
        <v>0</v>
      </c>
      <c r="H9" s="460"/>
      <c r="J9" s="595" t="s">
        <v>88</v>
      </c>
      <c r="K9" s="350">
        <f>1+1+1</f>
        <v>3</v>
      </c>
      <c r="L9" s="350">
        <v>0</v>
      </c>
      <c r="M9" s="350">
        <v>0</v>
      </c>
      <c r="N9" s="350">
        <f>1</f>
        <v>1</v>
      </c>
      <c r="O9" s="350">
        <f>1+2+6</f>
        <v>9</v>
      </c>
      <c r="P9" s="98">
        <f t="shared" si="1"/>
        <v>13</v>
      </c>
      <c r="R9"/>
    </row>
    <row r="10" spans="1:20" x14ac:dyDescent="0.25">
      <c r="A10" s="594" t="s">
        <v>7</v>
      </c>
      <c r="B10" s="422">
        <v>600</v>
      </c>
      <c r="C10" s="586">
        <f t="shared" si="0"/>
        <v>0</v>
      </c>
      <c r="D10" s="422">
        <v>600</v>
      </c>
      <c r="F10" s="246" t="s">
        <v>365</v>
      </c>
      <c r="G10" s="245">
        <f>G9/9100.11497</f>
        <v>0</v>
      </c>
      <c r="H10" s="460"/>
      <c r="J10" s="595" t="s">
        <v>89</v>
      </c>
      <c r="K10" s="350">
        <v>0</v>
      </c>
      <c r="L10" s="350">
        <f>1</f>
        <v>1</v>
      </c>
      <c r="M10" s="350">
        <v>0</v>
      </c>
      <c r="N10" s="350">
        <f>1+1</f>
        <v>2</v>
      </c>
      <c r="O10" s="350">
        <f>2+2+1</f>
        <v>5</v>
      </c>
      <c r="P10" s="98">
        <f t="shared" si="1"/>
        <v>8</v>
      </c>
      <c r="R10"/>
    </row>
    <row r="11" spans="1:20" x14ac:dyDescent="0.25">
      <c r="A11" s="594" t="s">
        <v>8</v>
      </c>
      <c r="B11" s="422">
        <v>600</v>
      </c>
      <c r="C11" s="586">
        <f t="shared" si="0"/>
        <v>0</v>
      </c>
      <c r="D11" s="422">
        <v>600</v>
      </c>
      <c r="J11" s="595" t="s">
        <v>90</v>
      </c>
      <c r="K11" s="350">
        <f>1</f>
        <v>1</v>
      </c>
      <c r="L11" s="350">
        <v>0</v>
      </c>
      <c r="M11" s="350">
        <v>0</v>
      </c>
      <c r="N11" s="350">
        <v>0</v>
      </c>
      <c r="O11" s="350">
        <f>2+3</f>
        <v>5</v>
      </c>
      <c r="P11" s="98">
        <f t="shared" si="1"/>
        <v>6</v>
      </c>
      <c r="R11"/>
      <c r="S11"/>
      <c r="T11"/>
    </row>
    <row r="12" spans="1:20" x14ac:dyDescent="0.25">
      <c r="A12" s="594" t="s">
        <v>9</v>
      </c>
      <c r="B12" s="422">
        <v>600</v>
      </c>
      <c r="C12" s="586">
        <f t="shared" si="0"/>
        <v>0</v>
      </c>
      <c r="D12" s="422">
        <v>600</v>
      </c>
      <c r="J12" s="595" t="s">
        <v>91</v>
      </c>
      <c r="K12" s="350">
        <f>1+1</f>
        <v>2</v>
      </c>
      <c r="L12" s="350">
        <f>1</f>
        <v>1</v>
      </c>
      <c r="M12" s="350">
        <v>0</v>
      </c>
      <c r="N12" s="350">
        <v>0</v>
      </c>
      <c r="O12" s="352">
        <f>1+1+3+1+1+1+1</f>
        <v>9</v>
      </c>
      <c r="P12" s="98">
        <f t="shared" si="1"/>
        <v>12</v>
      </c>
      <c r="R12"/>
      <c r="S12"/>
      <c r="T12"/>
    </row>
    <row r="13" spans="1:20" x14ac:dyDescent="0.25">
      <c r="A13" s="594" t="s">
        <v>10</v>
      </c>
      <c r="B13" s="422">
        <v>300.00000000000011</v>
      </c>
      <c r="C13" s="586">
        <f t="shared" si="0"/>
        <v>0</v>
      </c>
      <c r="D13" s="422">
        <v>300</v>
      </c>
      <c r="J13" s="595" t="s">
        <v>92</v>
      </c>
      <c r="K13" s="350">
        <v>0</v>
      </c>
      <c r="L13" s="352">
        <f>1</f>
        <v>1</v>
      </c>
      <c r="M13" s="350">
        <v>0</v>
      </c>
      <c r="N13" s="350">
        <v>0</v>
      </c>
      <c r="O13" s="352">
        <f>1+8+1+1</f>
        <v>11</v>
      </c>
      <c r="P13" s="98">
        <f t="shared" si="1"/>
        <v>12</v>
      </c>
      <c r="R13"/>
      <c r="S13"/>
      <c r="T13"/>
    </row>
    <row r="14" spans="1:20" x14ac:dyDescent="0.25">
      <c r="A14" s="594" t="s">
        <v>11</v>
      </c>
      <c r="B14" s="422">
        <v>449.99999999999989</v>
      </c>
      <c r="C14" s="586">
        <f t="shared" si="0"/>
        <v>0</v>
      </c>
      <c r="D14" s="422">
        <v>450</v>
      </c>
      <c r="J14" s="595" t="s">
        <v>93</v>
      </c>
      <c r="K14" s="350">
        <v>0</v>
      </c>
      <c r="L14" s="350">
        <f>1</f>
        <v>1</v>
      </c>
      <c r="M14" s="350">
        <v>0</v>
      </c>
      <c r="N14" s="352">
        <v>0</v>
      </c>
      <c r="O14" s="352">
        <f>8+1</f>
        <v>9</v>
      </c>
      <c r="P14" s="98">
        <f t="shared" si="1"/>
        <v>10</v>
      </c>
      <c r="R14"/>
      <c r="S14"/>
      <c r="T14"/>
    </row>
    <row r="15" spans="1:20" x14ac:dyDescent="0.25">
      <c r="A15" s="594" t="s">
        <v>12</v>
      </c>
      <c r="B15" s="422">
        <v>749.99999999999977</v>
      </c>
      <c r="C15" s="586">
        <f t="shared" si="0"/>
        <v>0</v>
      </c>
      <c r="D15" s="422">
        <v>750</v>
      </c>
      <c r="J15" s="595" t="s">
        <v>94</v>
      </c>
      <c r="K15" s="350">
        <v>0</v>
      </c>
      <c r="L15" s="350">
        <f>1+1</f>
        <v>2</v>
      </c>
      <c r="M15" s="350">
        <v>0</v>
      </c>
      <c r="N15" s="352">
        <v>0</v>
      </c>
      <c r="O15" s="352">
        <f>9+1+1</f>
        <v>11</v>
      </c>
      <c r="P15" s="98">
        <f t="shared" si="1"/>
        <v>13</v>
      </c>
      <c r="R15"/>
      <c r="S15"/>
      <c r="T15"/>
    </row>
    <row r="16" spans="1:20" x14ac:dyDescent="0.25">
      <c r="A16" s="594" t="s">
        <v>13</v>
      </c>
      <c r="B16" s="422">
        <v>99.999999999999986</v>
      </c>
      <c r="C16" s="586">
        <f t="shared" si="0"/>
        <v>0</v>
      </c>
      <c r="D16" s="422">
        <v>100</v>
      </c>
      <c r="J16" s="599" t="s">
        <v>508</v>
      </c>
      <c r="K16" s="350">
        <v>0</v>
      </c>
      <c r="L16" s="359">
        <f>1</f>
        <v>1</v>
      </c>
      <c r="M16" s="350">
        <v>0</v>
      </c>
      <c r="N16" s="359">
        <v>0</v>
      </c>
      <c r="O16" s="359">
        <f>2</f>
        <v>2</v>
      </c>
      <c r="P16" s="600">
        <f t="shared" si="1"/>
        <v>3</v>
      </c>
      <c r="R16"/>
      <c r="S16"/>
      <c r="T16"/>
    </row>
    <row r="17" spans="1:20" x14ac:dyDescent="0.25">
      <c r="A17" s="594" t="s">
        <v>14</v>
      </c>
      <c r="B17" s="422">
        <v>1800</v>
      </c>
      <c r="C17" s="586">
        <f t="shared" si="0"/>
        <v>0</v>
      </c>
      <c r="D17" s="422">
        <v>1800</v>
      </c>
      <c r="J17" s="601" t="s">
        <v>537</v>
      </c>
      <c r="K17" s="360">
        <f t="shared" ref="K17:P17" si="2">SUM(K5:K16)</f>
        <v>8</v>
      </c>
      <c r="L17" s="360">
        <f t="shared" si="2"/>
        <v>14</v>
      </c>
      <c r="M17" s="360">
        <f t="shared" si="2"/>
        <v>0</v>
      </c>
      <c r="N17" s="360">
        <f t="shared" si="2"/>
        <v>6</v>
      </c>
      <c r="O17" s="360">
        <f t="shared" si="2"/>
        <v>136</v>
      </c>
      <c r="P17" s="602">
        <f t="shared" si="2"/>
        <v>164</v>
      </c>
      <c r="R17"/>
      <c r="S17"/>
      <c r="T17"/>
    </row>
    <row r="18" spans="1:20" x14ac:dyDescent="0.25">
      <c r="A18" s="594" t="s">
        <v>15</v>
      </c>
      <c r="B18" s="422">
        <v>849.99999999999989</v>
      </c>
      <c r="C18" s="586">
        <f t="shared" si="0"/>
        <v>0</v>
      </c>
      <c r="D18" s="422">
        <v>850</v>
      </c>
      <c r="J18" s="601" t="s">
        <v>536</v>
      </c>
      <c r="K18" s="362">
        <f>PRODUCT(K17*T4)</f>
        <v>120</v>
      </c>
      <c r="L18" s="452">
        <f>PRODUCT(L17*T5)</f>
        <v>229.16460000000001</v>
      </c>
      <c r="M18" s="452">
        <f>PRODUCT(M17*T6)</f>
        <v>0</v>
      </c>
      <c r="N18" s="452">
        <f>PRODUCT(N17*T7)</f>
        <v>101.31960000000001</v>
      </c>
      <c r="O18" s="452">
        <f>PRODUCT(O17*T8)</f>
        <v>2312</v>
      </c>
      <c r="P18" s="603">
        <f>SUM(K18:O18)</f>
        <v>2762.4841999999999</v>
      </c>
      <c r="R18"/>
      <c r="S18"/>
      <c r="T18"/>
    </row>
    <row r="19" spans="1:20" ht="15.75" thickBot="1" x14ac:dyDescent="0.3">
      <c r="A19" s="594" t="s">
        <v>16</v>
      </c>
      <c r="B19" s="422">
        <v>900</v>
      </c>
      <c r="C19" s="586">
        <f t="shared" si="0"/>
        <v>0</v>
      </c>
      <c r="D19" s="422">
        <v>900</v>
      </c>
      <c r="J19" s="604" t="s">
        <v>583</v>
      </c>
      <c r="K19" s="605">
        <f>K17*S4</f>
        <v>800</v>
      </c>
      <c r="L19" s="605">
        <f>L17*S5</f>
        <v>2100</v>
      </c>
      <c r="M19" s="605">
        <f>M17*S6</f>
        <v>0</v>
      </c>
      <c r="N19" s="605">
        <f>N17*S7</f>
        <v>1500</v>
      </c>
      <c r="O19" s="605">
        <f>O17*S8</f>
        <v>40800</v>
      </c>
      <c r="P19" s="606">
        <f>SUM(K19:O19)</f>
        <v>45200</v>
      </c>
      <c r="R19"/>
      <c r="S19"/>
      <c r="T19"/>
    </row>
    <row r="20" spans="1:20" x14ac:dyDescent="0.25">
      <c r="A20" s="594" t="s">
        <v>17</v>
      </c>
      <c r="B20" s="422">
        <v>999.99999999999989</v>
      </c>
      <c r="C20" s="586">
        <f t="shared" si="0"/>
        <v>0</v>
      </c>
      <c r="D20" s="422">
        <v>1000</v>
      </c>
      <c r="K20" s="458"/>
      <c r="L20" s="352"/>
      <c r="M20" s="352"/>
      <c r="N20" s="352"/>
      <c r="O20" s="352"/>
      <c r="P20" s="352"/>
      <c r="Q20" s="379"/>
      <c r="R20"/>
      <c r="S20"/>
      <c r="T20"/>
    </row>
    <row r="21" spans="1:20" x14ac:dyDescent="0.25">
      <c r="A21" s="594" t="s">
        <v>18</v>
      </c>
      <c r="B21" s="422">
        <v>2400</v>
      </c>
      <c r="C21" s="586">
        <f t="shared" si="0"/>
        <v>0</v>
      </c>
      <c r="D21" s="422">
        <v>2400</v>
      </c>
      <c r="K21" s="458"/>
      <c r="L21" s="459"/>
      <c r="M21" s="459"/>
      <c r="N21" s="459"/>
      <c r="O21" s="459"/>
      <c r="P21" s="459"/>
      <c r="Q21" s="458"/>
      <c r="R21"/>
      <c r="S21"/>
      <c r="T21"/>
    </row>
    <row r="22" spans="1:20" x14ac:dyDescent="0.25">
      <c r="A22" s="594" t="s">
        <v>19</v>
      </c>
      <c r="B22" s="422">
        <v>2400</v>
      </c>
      <c r="C22" s="586">
        <f t="shared" si="0"/>
        <v>0</v>
      </c>
      <c r="D22" s="422">
        <v>2400</v>
      </c>
      <c r="K22" s="458"/>
      <c r="L22" s="459"/>
      <c r="M22" s="459"/>
      <c r="N22" s="459"/>
      <c r="O22" s="459"/>
      <c r="P22" s="459"/>
      <c r="Q22" s="458"/>
      <c r="R22"/>
      <c r="S22"/>
      <c r="T22"/>
    </row>
    <row r="23" spans="1:20" x14ac:dyDescent="0.25">
      <c r="A23" s="594" t="s">
        <v>20</v>
      </c>
      <c r="B23" s="422">
        <v>2850</v>
      </c>
      <c r="C23" s="586">
        <f t="shared" si="0"/>
        <v>0</v>
      </c>
      <c r="D23" s="422">
        <v>2850</v>
      </c>
      <c r="K23" s="5"/>
      <c r="L23" s="5"/>
      <c r="M23" s="5"/>
      <c r="R23"/>
      <c r="S23"/>
      <c r="T23"/>
    </row>
    <row r="24" spans="1:20" x14ac:dyDescent="0.25">
      <c r="A24" s="594" t="s">
        <v>21</v>
      </c>
      <c r="B24" s="422">
        <v>599.99999999999989</v>
      </c>
      <c r="C24" s="586">
        <f t="shared" si="0"/>
        <v>0</v>
      </c>
      <c r="D24" s="422">
        <v>600</v>
      </c>
      <c r="K24" s="5"/>
      <c r="L24" s="5"/>
      <c r="M24" s="5"/>
      <c r="R24"/>
      <c r="S24"/>
      <c r="T24"/>
    </row>
    <row r="25" spans="1:20" x14ac:dyDescent="0.25">
      <c r="A25" s="594" t="s">
        <v>22</v>
      </c>
      <c r="B25" s="422">
        <v>250.0000000000008</v>
      </c>
      <c r="C25" s="586">
        <f t="shared" si="0"/>
        <v>-7.9580786405131221E-13</v>
      </c>
      <c r="D25" s="422">
        <v>250</v>
      </c>
      <c r="K25" s="5"/>
      <c r="L25" s="5"/>
      <c r="M25" s="5"/>
      <c r="R25"/>
      <c r="S25"/>
      <c r="T25"/>
    </row>
    <row r="26" spans="1:20" x14ac:dyDescent="0.25">
      <c r="A26" s="594" t="s">
        <v>23</v>
      </c>
      <c r="B26" s="422">
        <v>100</v>
      </c>
      <c r="C26" s="586">
        <f t="shared" si="0"/>
        <v>0</v>
      </c>
      <c r="D26" s="422">
        <v>100</v>
      </c>
      <c r="K26" s="460"/>
      <c r="L26" s="460"/>
      <c r="M26" s="460"/>
      <c r="N26" s="460"/>
      <c r="O26" s="460"/>
      <c r="P26" s="460"/>
      <c r="Q26" s="460"/>
      <c r="R26"/>
      <c r="S26"/>
      <c r="T26"/>
    </row>
    <row r="27" spans="1:20" x14ac:dyDescent="0.25">
      <c r="A27" s="607" t="s">
        <v>24</v>
      </c>
      <c r="B27" s="422">
        <v>100</v>
      </c>
      <c r="C27" s="586">
        <f t="shared" si="0"/>
        <v>0</v>
      </c>
      <c r="D27" s="422">
        <v>100</v>
      </c>
      <c r="K27" s="608"/>
      <c r="L27" s="608"/>
      <c r="M27" s="608"/>
      <c r="N27" s="608"/>
      <c r="O27" s="608"/>
      <c r="P27" s="608"/>
      <c r="Q27" s="608"/>
      <c r="R27"/>
      <c r="S27"/>
      <c r="T27"/>
    </row>
    <row r="28" spans="1:20" x14ac:dyDescent="0.25">
      <c r="A28" s="594" t="s">
        <v>25</v>
      </c>
      <c r="B28" s="422">
        <v>300.00000000000011</v>
      </c>
      <c r="C28" s="586">
        <f t="shared" si="0"/>
        <v>0</v>
      </c>
      <c r="D28" s="422">
        <v>300</v>
      </c>
      <c r="K28" s="444"/>
      <c r="L28" s="193"/>
      <c r="M28" s="193"/>
      <c r="N28" s="193"/>
      <c r="O28" s="193"/>
      <c r="P28" s="193"/>
      <c r="Q28" s="193"/>
      <c r="R28"/>
      <c r="S28"/>
      <c r="T28"/>
    </row>
    <row r="29" spans="1:20" x14ac:dyDescent="0.25">
      <c r="A29" s="594" t="s">
        <v>26</v>
      </c>
      <c r="B29" s="422">
        <v>300</v>
      </c>
      <c r="C29" s="586">
        <f t="shared" si="0"/>
        <v>0</v>
      </c>
      <c r="D29" s="422">
        <v>300</v>
      </c>
      <c r="K29" s="377"/>
      <c r="L29" s="378"/>
      <c r="M29" s="378"/>
      <c r="N29" s="378"/>
      <c r="O29" s="458"/>
      <c r="P29" s="458"/>
      <c r="Q29" s="458"/>
      <c r="R29"/>
      <c r="S29"/>
      <c r="T29"/>
    </row>
    <row r="30" spans="1:20" x14ac:dyDescent="0.25">
      <c r="A30" s="594" t="s">
        <v>27</v>
      </c>
      <c r="B30" s="422">
        <v>299.99999999999989</v>
      </c>
      <c r="C30" s="586">
        <f t="shared" si="0"/>
        <v>0</v>
      </c>
      <c r="D30" s="422">
        <v>300</v>
      </c>
      <c r="K30" s="459"/>
      <c r="L30" s="350"/>
      <c r="M30" s="350"/>
      <c r="N30" s="350"/>
      <c r="O30" s="350"/>
      <c r="P30" s="352"/>
      <c r="Q30" s="459"/>
      <c r="R30"/>
      <c r="S30"/>
      <c r="T30"/>
    </row>
    <row r="31" spans="1:20" x14ac:dyDescent="0.25">
      <c r="A31" s="594" t="s">
        <v>28</v>
      </c>
      <c r="B31" s="422">
        <v>300</v>
      </c>
      <c r="C31" s="586">
        <f t="shared" si="0"/>
        <v>0</v>
      </c>
      <c r="D31" s="422">
        <v>300</v>
      </c>
      <c r="K31" s="459"/>
      <c r="L31" s="350"/>
      <c r="M31" s="350"/>
      <c r="N31" s="350"/>
      <c r="O31" s="350"/>
      <c r="P31" s="352"/>
      <c r="Q31" s="459"/>
      <c r="R31"/>
      <c r="S31"/>
      <c r="T31"/>
    </row>
    <row r="32" spans="1:20" x14ac:dyDescent="0.25">
      <c r="A32" s="594" t="s">
        <v>29</v>
      </c>
      <c r="B32" s="422">
        <v>150</v>
      </c>
      <c r="C32" s="586">
        <f t="shared" si="0"/>
        <v>0</v>
      </c>
      <c r="D32" s="422">
        <v>150</v>
      </c>
      <c r="K32" s="459"/>
      <c r="L32" s="350"/>
      <c r="M32" s="350"/>
      <c r="N32" s="350"/>
      <c r="O32" s="350"/>
      <c r="P32" s="350"/>
      <c r="Q32" s="459"/>
      <c r="R32"/>
      <c r="S32"/>
      <c r="T32"/>
    </row>
    <row r="33" spans="1:20" x14ac:dyDescent="0.25">
      <c r="A33" s="594" t="s">
        <v>30</v>
      </c>
      <c r="B33" s="422">
        <v>300</v>
      </c>
      <c r="C33" s="586">
        <f t="shared" si="0"/>
        <v>0</v>
      </c>
      <c r="D33" s="422">
        <v>300</v>
      </c>
      <c r="K33" s="459"/>
      <c r="L33" s="350"/>
      <c r="M33" s="350"/>
      <c r="N33" s="350"/>
      <c r="O33" s="350"/>
      <c r="P33" s="352"/>
      <c r="Q33" s="459"/>
      <c r="R33"/>
      <c r="S33"/>
      <c r="T33"/>
    </row>
    <row r="34" spans="1:20" ht="15.75" thickBot="1" x14ac:dyDescent="0.3">
      <c r="A34" s="607" t="s">
        <v>31</v>
      </c>
      <c r="B34" s="609">
        <v>150</v>
      </c>
      <c r="C34" s="610">
        <f t="shared" si="0"/>
        <v>0</v>
      </c>
      <c r="D34" s="609">
        <v>150</v>
      </c>
      <c r="K34" s="459"/>
      <c r="L34" s="350"/>
      <c r="M34" s="350"/>
      <c r="N34" s="350"/>
      <c r="O34" s="350"/>
      <c r="P34" s="350"/>
      <c r="Q34" s="459"/>
      <c r="R34"/>
      <c r="S34"/>
      <c r="T34"/>
    </row>
    <row r="35" spans="1:20" ht="15.75" thickBot="1" x14ac:dyDescent="0.3">
      <c r="A35" s="611" t="s">
        <v>622</v>
      </c>
      <c r="B35" s="612">
        <f>SUM(B4:B34)</f>
        <v>22600</v>
      </c>
      <c r="C35" s="612">
        <f>SUM(C4:C34)</f>
        <v>-7.9580786405131221E-13</v>
      </c>
      <c r="D35" s="613">
        <f>SUM(D4:D34)</f>
        <v>22600</v>
      </c>
      <c r="E35" s="438"/>
      <c r="K35" s="459"/>
      <c r="L35" s="350"/>
      <c r="M35" s="350"/>
      <c r="N35" s="350"/>
      <c r="O35" s="350"/>
      <c r="P35" s="350"/>
      <c r="Q35" s="459"/>
    </row>
    <row r="36" spans="1:20" x14ac:dyDescent="0.25">
      <c r="B36"/>
      <c r="E36" s="438"/>
      <c r="K36" s="459"/>
      <c r="L36" s="350"/>
      <c r="M36" s="350"/>
      <c r="N36" s="350"/>
      <c r="O36" s="350"/>
      <c r="P36" s="350"/>
      <c r="Q36" s="459"/>
    </row>
  </sheetData>
  <mergeCells count="3">
    <mergeCell ref="A1:D2"/>
    <mergeCell ref="F3:H3"/>
    <mergeCell ref="J3:P3"/>
  </mergeCells>
  <conditionalFormatting sqref="P5:P16">
    <cfRule type="cellIs" dxfId="15" priority="9" operator="greaterThan">
      <formula>0</formula>
    </cfRule>
  </conditionalFormatting>
  <conditionalFormatting sqref="L30:Q36">
    <cfRule type="cellIs" dxfId="14" priority="10" operator="greaterThan">
      <formula>0</formula>
    </cfRule>
  </conditionalFormatting>
  <conditionalFormatting sqref="K5:O5 L6:L9 K10:L16 M6:O16">
    <cfRule type="cellIs" dxfId="4" priority="4" operator="greaterThan">
      <formula>0</formula>
    </cfRule>
  </conditionalFormatting>
  <conditionalFormatting sqref="K6:K7">
    <cfRule type="cellIs" dxfId="3" priority="3" operator="greaterThan">
      <formula>0</formula>
    </cfRule>
  </conditionalFormatting>
  <conditionalFormatting sqref="K9">
    <cfRule type="cellIs" dxfId="2" priority="2" operator="greaterThan">
      <formula>0</formula>
    </cfRule>
  </conditionalFormatting>
  <conditionalFormatting sqref="K8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6"/>
  <sheetViews>
    <sheetView zoomScaleNormal="100" workbookViewId="0">
      <selection activeCell="N27" sqref="N27"/>
    </sheetView>
  </sheetViews>
  <sheetFormatPr defaultRowHeight="15" x14ac:dyDescent="0.25"/>
  <cols>
    <col min="1" max="1" width="16.7109375" customWidth="1"/>
    <col min="2" max="2" width="40.140625" style="446" customWidth="1"/>
    <col min="3" max="3" width="51.140625" style="438" customWidth="1"/>
    <col min="4" max="4" width="34.42578125" style="445" customWidth="1"/>
    <col min="7" max="7" width="21.28515625" customWidth="1"/>
    <col min="8" max="8" width="20.28515625" customWidth="1"/>
  </cols>
  <sheetData>
    <row r="1" spans="1:22" x14ac:dyDescent="0.25">
      <c r="A1" s="551" t="s">
        <v>624</v>
      </c>
      <c r="B1" s="552"/>
      <c r="C1" s="552"/>
      <c r="D1" s="553"/>
    </row>
    <row r="2" spans="1:22" ht="15.75" thickBot="1" x14ac:dyDescent="0.3">
      <c r="A2" s="554"/>
      <c r="B2" s="555"/>
      <c r="C2" s="555"/>
      <c r="D2" s="556"/>
    </row>
    <row r="3" spans="1:22" ht="30.75" thickBot="1" x14ac:dyDescent="0.3">
      <c r="A3" s="616" t="s">
        <v>390</v>
      </c>
      <c r="B3" s="617" t="s">
        <v>578</v>
      </c>
      <c r="C3" s="618" t="s">
        <v>580</v>
      </c>
      <c r="D3" s="619" t="s">
        <v>579</v>
      </c>
      <c r="F3" s="494" t="s">
        <v>584</v>
      </c>
      <c r="G3" s="495"/>
      <c r="H3" s="435"/>
      <c r="L3" s="563" t="s">
        <v>584</v>
      </c>
      <c r="M3" s="564"/>
      <c r="N3" s="564"/>
      <c r="O3" s="564"/>
      <c r="P3" s="564"/>
      <c r="Q3" s="564"/>
      <c r="R3" s="565"/>
      <c r="S3" s="5"/>
      <c r="T3" s="5"/>
      <c r="U3" s="5"/>
      <c r="V3" s="5"/>
    </row>
    <row r="4" spans="1:22" x14ac:dyDescent="0.25">
      <c r="A4" s="594" t="s">
        <v>0</v>
      </c>
      <c r="B4" s="567">
        <v>1343.1529499999999</v>
      </c>
      <c r="C4" s="620">
        <f>D4-B4</f>
        <v>0</v>
      </c>
      <c r="D4" s="567">
        <v>1343.1529499999999</v>
      </c>
      <c r="F4" s="90"/>
      <c r="G4" s="434"/>
      <c r="H4" s="100"/>
      <c r="L4" s="346" t="s">
        <v>528</v>
      </c>
      <c r="M4" s="348" t="s">
        <v>529</v>
      </c>
      <c r="N4" s="348" t="s">
        <v>530</v>
      </c>
      <c r="O4" s="348" t="s">
        <v>531</v>
      </c>
      <c r="P4" s="348" t="s">
        <v>532</v>
      </c>
      <c r="Q4" s="349" t="s">
        <v>582</v>
      </c>
      <c r="R4" s="328" t="s">
        <v>417</v>
      </c>
      <c r="S4" s="5"/>
      <c r="T4" s="5"/>
      <c r="U4" s="5"/>
      <c r="V4" s="5"/>
    </row>
    <row r="5" spans="1:22" x14ac:dyDescent="0.25">
      <c r="A5" s="594" t="s">
        <v>2</v>
      </c>
      <c r="B5" s="567">
        <v>272.02699999999999</v>
      </c>
      <c r="C5" s="620">
        <f>D5-B5</f>
        <v>0</v>
      </c>
      <c r="D5" s="567">
        <v>272.02699999999999</v>
      </c>
      <c r="F5" s="138" t="s">
        <v>390</v>
      </c>
      <c r="G5" s="137" t="s">
        <v>389</v>
      </c>
      <c r="H5" s="136" t="s">
        <v>388</v>
      </c>
      <c r="L5" s="60" t="s">
        <v>84</v>
      </c>
      <c r="M5" s="352">
        <v>0</v>
      </c>
      <c r="N5" s="352">
        <v>0</v>
      </c>
      <c r="O5" s="352">
        <v>0</v>
      </c>
      <c r="P5" s="351">
        <v>0</v>
      </c>
      <c r="Q5" s="352">
        <v>0</v>
      </c>
      <c r="R5" s="353">
        <f>SUM(M5:Q5)</f>
        <v>0</v>
      </c>
      <c r="S5" s="5"/>
      <c r="T5" s="5"/>
      <c r="U5" s="5"/>
      <c r="V5" s="5"/>
    </row>
    <row r="6" spans="1:22" x14ac:dyDescent="0.25">
      <c r="A6" s="594" t="s">
        <v>3</v>
      </c>
      <c r="B6" s="567">
        <v>137.73599999999999</v>
      </c>
      <c r="C6" s="620">
        <f t="shared" ref="C6:C34" si="0">D6-B6</f>
        <v>0</v>
      </c>
      <c r="D6" s="567">
        <v>137.73599999999999</v>
      </c>
      <c r="F6" s="439" t="s">
        <v>5</v>
      </c>
      <c r="G6" s="626">
        <v>90</v>
      </c>
      <c r="H6" s="622">
        <f>(G6/653)*100</f>
        <v>13.782542113323123</v>
      </c>
      <c r="L6" s="60" t="s">
        <v>85</v>
      </c>
      <c r="M6" s="352">
        <v>0</v>
      </c>
      <c r="N6" s="352">
        <v>0</v>
      </c>
      <c r="O6" s="352">
        <v>0</v>
      </c>
      <c r="P6" s="350">
        <v>0</v>
      </c>
      <c r="Q6" s="352">
        <v>0</v>
      </c>
      <c r="R6" s="60">
        <f t="shared" ref="R6:R16" si="1">SUM(M6:Q6)</f>
        <v>0</v>
      </c>
      <c r="S6" s="5"/>
      <c r="T6" s="5"/>
      <c r="U6" s="5"/>
      <c r="V6" s="5"/>
    </row>
    <row r="7" spans="1:22" x14ac:dyDescent="0.25">
      <c r="A7" s="594" t="s">
        <v>4</v>
      </c>
      <c r="B7" s="567">
        <v>345.30300000000011</v>
      </c>
      <c r="C7" s="620">
        <f t="shared" si="0"/>
        <v>0</v>
      </c>
      <c r="D7" s="567">
        <v>345.30300000000011</v>
      </c>
      <c r="F7" s="439" t="s">
        <v>11</v>
      </c>
      <c r="G7" s="626">
        <v>13</v>
      </c>
      <c r="H7" s="622">
        <f>(G7/439)*100</f>
        <v>2.9612756264236904</v>
      </c>
      <c r="L7" s="60" t="s">
        <v>86</v>
      </c>
      <c r="M7" s="352">
        <v>0</v>
      </c>
      <c r="N7" s="352">
        <v>0</v>
      </c>
      <c r="O7" s="352">
        <v>0</v>
      </c>
      <c r="P7" s="350">
        <v>0</v>
      </c>
      <c r="Q7" s="352">
        <v>0</v>
      </c>
      <c r="R7" s="60">
        <f t="shared" si="1"/>
        <v>0</v>
      </c>
      <c r="S7" s="5"/>
      <c r="T7" s="457" t="s">
        <v>534</v>
      </c>
      <c r="U7" s="457" t="s">
        <v>535</v>
      </c>
      <c r="V7" s="355" t="s">
        <v>536</v>
      </c>
    </row>
    <row r="8" spans="1:22" x14ac:dyDescent="0.25">
      <c r="A8" s="594" t="s">
        <v>5</v>
      </c>
      <c r="B8" s="567">
        <v>653.22400000000005</v>
      </c>
      <c r="C8" s="620">
        <f t="shared" si="0"/>
        <v>90.298399999999901</v>
      </c>
      <c r="D8" s="567">
        <v>743.52239999999995</v>
      </c>
      <c r="F8" s="439" t="s">
        <v>12</v>
      </c>
      <c r="G8" s="626">
        <v>159</v>
      </c>
      <c r="H8" s="622">
        <f>(G8/605)*100</f>
        <v>26.280991735537189</v>
      </c>
      <c r="L8" s="60" t="s">
        <v>87</v>
      </c>
      <c r="M8" s="352">
        <v>0</v>
      </c>
      <c r="N8" s="352">
        <v>0</v>
      </c>
      <c r="O8" s="352">
        <v>0</v>
      </c>
      <c r="P8" s="350">
        <v>0</v>
      </c>
      <c r="Q8" s="352">
        <v>0</v>
      </c>
      <c r="R8" s="60">
        <f t="shared" si="1"/>
        <v>0</v>
      </c>
      <c r="S8" s="5"/>
      <c r="T8" s="61" t="s">
        <v>529</v>
      </c>
      <c r="U8" s="61">
        <v>100</v>
      </c>
      <c r="V8" s="62">
        <v>15</v>
      </c>
    </row>
    <row r="9" spans="1:22" x14ac:dyDescent="0.25">
      <c r="A9" s="594" t="s">
        <v>6</v>
      </c>
      <c r="B9" s="567">
        <v>991.6640000000001</v>
      </c>
      <c r="C9" s="620">
        <f t="shared" si="0"/>
        <v>0</v>
      </c>
      <c r="D9" s="567">
        <v>991.66399999999999</v>
      </c>
      <c r="F9" s="439" t="s">
        <v>14</v>
      </c>
      <c r="G9" s="626">
        <v>230</v>
      </c>
      <c r="H9" s="622">
        <f>(G9/1429)*100</f>
        <v>16.095171448565431</v>
      </c>
      <c r="L9" s="60" t="s">
        <v>88</v>
      </c>
      <c r="M9" s="352">
        <v>0</v>
      </c>
      <c r="N9" s="352">
        <v>0</v>
      </c>
      <c r="O9" s="352">
        <v>0</v>
      </c>
      <c r="P9" s="350">
        <v>0</v>
      </c>
      <c r="Q9" s="352">
        <v>0</v>
      </c>
      <c r="R9" s="60">
        <f t="shared" si="1"/>
        <v>0</v>
      </c>
      <c r="S9" s="459"/>
      <c r="T9" s="356" t="s">
        <v>530</v>
      </c>
      <c r="U9" s="356">
        <v>150</v>
      </c>
      <c r="V9" s="60">
        <v>16.3689</v>
      </c>
    </row>
    <row r="10" spans="1:22" x14ac:dyDescent="0.25">
      <c r="A10" s="594" t="s">
        <v>7</v>
      </c>
      <c r="B10" s="567">
        <v>604.86699999999996</v>
      </c>
      <c r="C10" s="620">
        <f t="shared" si="0"/>
        <v>0</v>
      </c>
      <c r="D10" s="567">
        <v>604.86699999999996</v>
      </c>
      <c r="F10" s="439" t="s">
        <v>16</v>
      </c>
      <c r="G10" s="626">
        <v>220</v>
      </c>
      <c r="H10" s="622">
        <f>(G10/596)*100</f>
        <v>36.912751677852349</v>
      </c>
      <c r="L10" s="60" t="s">
        <v>89</v>
      </c>
      <c r="M10" s="352">
        <v>0</v>
      </c>
      <c r="N10" s="352">
        <v>0</v>
      </c>
      <c r="O10" s="352">
        <v>0</v>
      </c>
      <c r="P10" s="350">
        <v>0</v>
      </c>
      <c r="Q10" s="352">
        <v>0</v>
      </c>
      <c r="R10" s="60">
        <f t="shared" si="1"/>
        <v>0</v>
      </c>
      <c r="S10" s="458"/>
      <c r="T10" s="356" t="s">
        <v>531</v>
      </c>
      <c r="U10" s="356">
        <v>200</v>
      </c>
      <c r="V10" s="60">
        <v>16.746700000000001</v>
      </c>
    </row>
    <row r="11" spans="1:22" x14ac:dyDescent="0.25">
      <c r="A11" s="594" t="s">
        <v>8</v>
      </c>
      <c r="B11" s="567">
        <v>633.27571428571423</v>
      </c>
      <c r="C11" s="620">
        <f t="shared" si="0"/>
        <v>0</v>
      </c>
      <c r="D11" s="567">
        <v>633.27571428571423</v>
      </c>
      <c r="F11" s="439" t="s">
        <v>19</v>
      </c>
      <c r="G11" s="626">
        <v>769</v>
      </c>
      <c r="H11" s="622">
        <f>(G11/1541)*100</f>
        <v>49.902660609993511</v>
      </c>
      <c r="L11" s="60" t="s">
        <v>90</v>
      </c>
      <c r="M11" s="352">
        <v>0</v>
      </c>
      <c r="N11" s="352">
        <v>0</v>
      </c>
      <c r="O11" s="352">
        <v>0</v>
      </c>
      <c r="P11" s="350">
        <v>0</v>
      </c>
      <c r="Q11" s="352">
        <v>0</v>
      </c>
      <c r="R11" s="60">
        <f t="shared" si="1"/>
        <v>0</v>
      </c>
      <c r="S11" s="458"/>
      <c r="T11" s="356" t="s">
        <v>532</v>
      </c>
      <c r="U11" s="356">
        <v>250</v>
      </c>
      <c r="V11" s="60">
        <v>16.886600000000001</v>
      </c>
    </row>
    <row r="12" spans="1:22" x14ac:dyDescent="0.25">
      <c r="A12" s="594" t="s">
        <v>9</v>
      </c>
      <c r="B12" s="567">
        <v>542.78371428571438</v>
      </c>
      <c r="C12" s="620">
        <f t="shared" si="0"/>
        <v>0</v>
      </c>
      <c r="D12" s="567">
        <v>542.78371428571438</v>
      </c>
      <c r="F12" s="439" t="s">
        <v>20</v>
      </c>
      <c r="G12" s="626">
        <v>909</v>
      </c>
      <c r="H12" s="622">
        <f>(G12/1850)*100</f>
        <v>49.13513513513513</v>
      </c>
      <c r="L12" s="60" t="s">
        <v>91</v>
      </c>
      <c r="M12" s="352">
        <v>0</v>
      </c>
      <c r="N12" s="352">
        <v>0</v>
      </c>
      <c r="O12" s="352">
        <v>0</v>
      </c>
      <c r="P12" s="352">
        <v>0</v>
      </c>
      <c r="Q12" s="352">
        <v>0</v>
      </c>
      <c r="R12" s="60">
        <f t="shared" si="1"/>
        <v>0</v>
      </c>
      <c r="S12" s="459"/>
      <c r="T12" s="357" t="s">
        <v>582</v>
      </c>
      <c r="U12" s="357">
        <v>300</v>
      </c>
      <c r="V12" s="358">
        <v>17</v>
      </c>
    </row>
    <row r="13" spans="1:22" x14ac:dyDescent="0.25">
      <c r="A13" s="594" t="s">
        <v>10</v>
      </c>
      <c r="B13" s="567">
        <v>486.23500000000001</v>
      </c>
      <c r="C13" s="620">
        <f t="shared" si="0"/>
        <v>0</v>
      </c>
      <c r="D13" s="567">
        <v>486.23500000000013</v>
      </c>
      <c r="F13" s="439" t="s">
        <v>21</v>
      </c>
      <c r="G13" s="626">
        <v>130</v>
      </c>
      <c r="H13" s="622">
        <f>(G13/410)*100</f>
        <v>31.707317073170731</v>
      </c>
      <c r="L13" s="60" t="s">
        <v>92</v>
      </c>
      <c r="M13" s="352">
        <v>0</v>
      </c>
      <c r="N13" s="352">
        <v>0</v>
      </c>
      <c r="O13" s="352">
        <v>0</v>
      </c>
      <c r="P13" s="352">
        <v>0</v>
      </c>
      <c r="Q13" s="352">
        <v>0</v>
      </c>
      <c r="R13" s="60">
        <f t="shared" si="1"/>
        <v>0</v>
      </c>
      <c r="S13" s="459"/>
      <c r="T13" s="459"/>
      <c r="U13" s="459"/>
      <c r="V13" s="5"/>
    </row>
    <row r="14" spans="1:22" ht="15.75" thickBot="1" x14ac:dyDescent="0.3">
      <c r="A14" s="594" t="s">
        <v>11</v>
      </c>
      <c r="B14" s="567">
        <v>438.99</v>
      </c>
      <c r="C14" s="620">
        <f t="shared" si="0"/>
        <v>13.088999999999999</v>
      </c>
      <c r="D14" s="567">
        <v>452.07900000000001</v>
      </c>
      <c r="F14" s="439" t="s">
        <v>22</v>
      </c>
      <c r="G14" s="626">
        <v>68</v>
      </c>
      <c r="H14" s="622">
        <f>(G14/172)*100</f>
        <v>39.534883720930232</v>
      </c>
      <c r="L14" s="60" t="s">
        <v>93</v>
      </c>
      <c r="M14" s="352">
        <v>0</v>
      </c>
      <c r="N14" s="352">
        <v>0</v>
      </c>
      <c r="O14" s="352">
        <v>0</v>
      </c>
      <c r="P14" s="352">
        <v>0</v>
      </c>
      <c r="Q14" s="352">
        <v>0</v>
      </c>
      <c r="R14" s="60">
        <f t="shared" si="1"/>
        <v>0</v>
      </c>
      <c r="S14" s="459"/>
      <c r="T14" s="459"/>
      <c r="U14" s="459"/>
      <c r="V14" s="5"/>
    </row>
    <row r="15" spans="1:22" x14ac:dyDescent="0.25">
      <c r="A15" s="594" t="s">
        <v>12</v>
      </c>
      <c r="B15" s="567">
        <v>604.89975000000004</v>
      </c>
      <c r="C15" s="620">
        <f t="shared" si="0"/>
        <v>159.20691666666653</v>
      </c>
      <c r="D15" s="567">
        <v>764.10666666666657</v>
      </c>
      <c r="F15" s="441" t="s">
        <v>417</v>
      </c>
      <c r="G15" s="627">
        <f>SUM(G6:G14)</f>
        <v>2588</v>
      </c>
      <c r="H15" s="442"/>
      <c r="L15" s="60" t="s">
        <v>94</v>
      </c>
      <c r="M15" s="352">
        <v>0</v>
      </c>
      <c r="N15" s="352">
        <v>0</v>
      </c>
      <c r="O15" s="352">
        <v>0</v>
      </c>
      <c r="P15" s="352">
        <v>0</v>
      </c>
      <c r="Q15" s="352">
        <v>0</v>
      </c>
      <c r="R15" s="60">
        <f t="shared" si="1"/>
        <v>0</v>
      </c>
      <c r="S15" s="18"/>
      <c r="T15" s="18"/>
      <c r="U15" s="459"/>
      <c r="V15" s="5"/>
    </row>
    <row r="16" spans="1:22" ht="15.75" thickBot="1" x14ac:dyDescent="0.3">
      <c r="A16" s="594" t="s">
        <v>13</v>
      </c>
      <c r="B16" s="567">
        <v>66.354000000000013</v>
      </c>
      <c r="C16" s="620">
        <f t="shared" si="0"/>
        <v>0</v>
      </c>
      <c r="D16" s="567">
        <v>66.354000000000013</v>
      </c>
      <c r="F16" s="628" t="s">
        <v>365</v>
      </c>
      <c r="G16" s="629">
        <f>G15/19438</f>
        <v>0.1331412696779504</v>
      </c>
      <c r="H16" s="443"/>
      <c r="L16" s="358" t="s">
        <v>508</v>
      </c>
      <c r="M16" s="359">
        <v>0</v>
      </c>
      <c r="N16" s="359">
        <v>0</v>
      </c>
      <c r="O16" s="359">
        <v>0</v>
      </c>
      <c r="P16" s="359">
        <v>0</v>
      </c>
      <c r="Q16" s="359">
        <v>0</v>
      </c>
      <c r="R16" s="358">
        <f t="shared" si="1"/>
        <v>0</v>
      </c>
      <c r="S16" s="459"/>
      <c r="U16" s="459"/>
      <c r="V16" s="5"/>
    </row>
    <row r="17" spans="1:23" x14ac:dyDescent="0.25">
      <c r="A17" s="594" t="s">
        <v>14</v>
      </c>
      <c r="B17" s="567">
        <v>1428.83</v>
      </c>
      <c r="C17" s="620">
        <f t="shared" si="0"/>
        <v>230.25</v>
      </c>
      <c r="D17" s="567">
        <v>1659.08</v>
      </c>
      <c r="I17" s="444"/>
      <c r="L17" s="328" t="s">
        <v>537</v>
      </c>
      <c r="M17" s="360">
        <f t="shared" ref="M17:R17" si="2">SUM(M5:M16)</f>
        <v>0</v>
      </c>
      <c r="N17" s="360">
        <f t="shared" si="2"/>
        <v>0</v>
      </c>
      <c r="O17" s="360">
        <f t="shared" si="2"/>
        <v>0</v>
      </c>
      <c r="P17" s="360">
        <f t="shared" si="2"/>
        <v>0</v>
      </c>
      <c r="Q17" s="360">
        <f t="shared" si="2"/>
        <v>0</v>
      </c>
      <c r="R17" s="361">
        <f t="shared" si="2"/>
        <v>0</v>
      </c>
      <c r="S17" s="459"/>
      <c r="U17" s="459"/>
      <c r="V17" s="5"/>
    </row>
    <row r="18" spans="1:23" x14ac:dyDescent="0.25">
      <c r="A18" s="594" t="s">
        <v>15</v>
      </c>
      <c r="B18" s="567">
        <v>908.9242857142857</v>
      </c>
      <c r="C18" s="620">
        <f t="shared" si="0"/>
        <v>0</v>
      </c>
      <c r="D18" s="567">
        <v>908.92428571428582</v>
      </c>
      <c r="H18" s="444"/>
      <c r="I18" s="444"/>
      <c r="L18" s="328" t="s">
        <v>536</v>
      </c>
      <c r="M18" s="362">
        <f>PRODUCT(M17*V8)</f>
        <v>0</v>
      </c>
      <c r="N18" s="362">
        <f>PRODUCT(N17*V9)</f>
        <v>0</v>
      </c>
      <c r="O18" s="362">
        <f>PRODUCT(O17*V10)</f>
        <v>0</v>
      </c>
      <c r="P18" s="362">
        <f>PRODUCT(P17*V11)</f>
        <v>0</v>
      </c>
      <c r="Q18" s="362">
        <f>PRODUCT(Q17*V12)</f>
        <v>0</v>
      </c>
      <c r="R18" s="328">
        <f>SUM(M18:Q18)</f>
        <v>0</v>
      </c>
      <c r="S18" s="459"/>
      <c r="U18" s="459"/>
      <c r="V18" s="5"/>
    </row>
    <row r="19" spans="1:23" x14ac:dyDescent="0.25">
      <c r="A19" s="594" t="s">
        <v>16</v>
      </c>
      <c r="B19" s="567">
        <v>596.44252380952378</v>
      </c>
      <c r="C19" s="620">
        <f t="shared" si="0"/>
        <v>219.51747619047637</v>
      </c>
      <c r="D19" s="567">
        <v>815.96000000000015</v>
      </c>
      <c r="H19" s="444"/>
      <c r="I19" s="444"/>
      <c r="L19" s="328" t="s">
        <v>535</v>
      </c>
      <c r="M19" s="362">
        <f>M17*U8</f>
        <v>0</v>
      </c>
      <c r="N19" s="362">
        <f>N17*U9</f>
        <v>0</v>
      </c>
      <c r="O19" s="362">
        <f>O17*U10</f>
        <v>0</v>
      </c>
      <c r="P19" s="362">
        <f>P17*U11</f>
        <v>0</v>
      </c>
      <c r="Q19" s="362">
        <f>Q17*U12</f>
        <v>0</v>
      </c>
      <c r="R19" s="328">
        <f>SUM(M19:Q19)</f>
        <v>0</v>
      </c>
      <c r="S19" s="459"/>
      <c r="U19" s="459"/>
      <c r="V19" s="5"/>
    </row>
    <row r="20" spans="1:23" x14ac:dyDescent="0.25">
      <c r="A20" s="594" t="s">
        <v>17</v>
      </c>
      <c r="B20" s="567">
        <v>970.74400000000003</v>
      </c>
      <c r="C20" s="620">
        <f t="shared" si="0"/>
        <v>0</v>
      </c>
      <c r="D20" s="567">
        <v>970.74400000000003</v>
      </c>
      <c r="H20" s="444"/>
      <c r="I20" s="444"/>
    </row>
    <row r="21" spans="1:23" x14ac:dyDescent="0.25">
      <c r="A21" s="594" t="s">
        <v>18</v>
      </c>
      <c r="B21" s="567">
        <v>2533.4702380952381</v>
      </c>
      <c r="C21" s="620">
        <f t="shared" si="0"/>
        <v>0</v>
      </c>
      <c r="D21" s="567">
        <v>2533.4702380952381</v>
      </c>
      <c r="H21" s="444"/>
      <c r="I21" s="444"/>
    </row>
    <row r="22" spans="1:23" x14ac:dyDescent="0.25">
      <c r="A22" s="594" t="s">
        <v>19</v>
      </c>
      <c r="B22" s="567">
        <v>1540.8681999999999</v>
      </c>
      <c r="C22" s="620">
        <f t="shared" si="0"/>
        <v>769.13846666666723</v>
      </c>
      <c r="D22" s="567">
        <v>2310.0066666666671</v>
      </c>
      <c r="H22" s="444"/>
      <c r="I22" s="444"/>
    </row>
    <row r="23" spans="1:23" x14ac:dyDescent="0.25">
      <c r="A23" s="594" t="s">
        <v>20</v>
      </c>
      <c r="B23" s="567">
        <v>1850.3610000000001</v>
      </c>
      <c r="C23" s="620">
        <f t="shared" si="0"/>
        <v>909.25233333333267</v>
      </c>
      <c r="D23" s="567">
        <v>2759.6133333333328</v>
      </c>
      <c r="H23" s="444"/>
      <c r="I23" s="444"/>
    </row>
    <row r="24" spans="1:23" x14ac:dyDescent="0.25">
      <c r="A24" s="594" t="s">
        <v>21</v>
      </c>
      <c r="B24" s="567">
        <v>410.36000000000013</v>
      </c>
      <c r="C24" s="620">
        <f t="shared" si="0"/>
        <v>130.05599999999993</v>
      </c>
      <c r="D24" s="567">
        <v>540.41600000000005</v>
      </c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4"/>
      <c r="U24" s="444"/>
      <c r="V24" s="444"/>
      <c r="W24" s="444"/>
    </row>
    <row r="25" spans="1:23" x14ac:dyDescent="0.25">
      <c r="A25" s="594" t="s">
        <v>22</v>
      </c>
      <c r="B25" s="567">
        <v>171.9122857142857</v>
      </c>
      <c r="C25" s="620">
        <f t="shared" si="0"/>
        <v>67.824380952381006</v>
      </c>
      <c r="D25" s="567">
        <v>239.73666666666671</v>
      </c>
      <c r="H25" s="444"/>
      <c r="I25" s="444"/>
      <c r="J25" s="444"/>
      <c r="K25" s="621"/>
      <c r="L25" s="621"/>
      <c r="M25" s="621"/>
      <c r="N25" s="621"/>
      <c r="O25" s="621"/>
      <c r="P25" s="621"/>
      <c r="Q25" s="621"/>
      <c r="R25" s="460"/>
      <c r="S25" s="460"/>
      <c r="T25" s="460"/>
      <c r="U25" s="460"/>
      <c r="V25" s="444"/>
      <c r="W25" s="444"/>
    </row>
    <row r="26" spans="1:23" x14ac:dyDescent="0.25">
      <c r="A26" s="594" t="s">
        <v>23</v>
      </c>
      <c r="B26" s="567">
        <v>65.610285714285709</v>
      </c>
      <c r="C26" s="620">
        <f t="shared" si="0"/>
        <v>0</v>
      </c>
      <c r="D26" s="567">
        <v>65.610285714285709</v>
      </c>
      <c r="H26" s="444"/>
      <c r="I26" s="444"/>
      <c r="J26" s="444"/>
      <c r="K26" s="377"/>
      <c r="L26" s="378"/>
      <c r="M26" s="378"/>
      <c r="N26" s="378"/>
      <c r="O26" s="458"/>
      <c r="P26" s="458"/>
      <c r="Q26" s="458"/>
      <c r="R26" s="460"/>
      <c r="S26" s="460"/>
      <c r="T26" s="460"/>
      <c r="U26" s="460"/>
      <c r="V26" s="444"/>
      <c r="W26" s="444"/>
    </row>
    <row r="27" spans="1:23" x14ac:dyDescent="0.25">
      <c r="A27" s="594" t="s">
        <v>24</v>
      </c>
      <c r="B27" s="567">
        <v>165.99</v>
      </c>
      <c r="C27" s="620">
        <f t="shared" si="0"/>
        <v>0</v>
      </c>
      <c r="D27" s="567">
        <v>165.99</v>
      </c>
      <c r="H27" s="444"/>
      <c r="I27" s="444"/>
      <c r="J27" s="444"/>
      <c r="K27" s="459"/>
      <c r="L27" s="350"/>
      <c r="M27" s="350"/>
      <c r="N27" s="350"/>
      <c r="O27" s="350"/>
      <c r="P27" s="352"/>
      <c r="Q27" s="459"/>
      <c r="R27" s="460"/>
      <c r="S27" s="460"/>
      <c r="T27" s="460"/>
      <c r="U27" s="460"/>
      <c r="V27" s="444"/>
      <c r="W27" s="444"/>
    </row>
    <row r="28" spans="1:23" x14ac:dyDescent="0.25">
      <c r="A28" s="594" t="s">
        <v>25</v>
      </c>
      <c r="B28" s="567">
        <v>208.63800000000001</v>
      </c>
      <c r="C28" s="620">
        <f t="shared" si="0"/>
        <v>0</v>
      </c>
      <c r="D28" s="567">
        <v>208.63800000000001</v>
      </c>
      <c r="H28" s="444"/>
      <c r="I28" s="444"/>
      <c r="J28" s="444"/>
      <c r="K28" s="459"/>
      <c r="L28" s="350"/>
      <c r="M28" s="350"/>
      <c r="N28" s="350"/>
      <c r="O28" s="350"/>
      <c r="P28" s="352"/>
      <c r="Q28" s="459"/>
      <c r="R28" s="460"/>
      <c r="S28" s="460"/>
      <c r="T28" s="460"/>
      <c r="U28" s="460"/>
      <c r="V28" s="444"/>
      <c r="W28" s="444"/>
    </row>
    <row r="29" spans="1:23" x14ac:dyDescent="0.25">
      <c r="A29" s="594" t="s">
        <v>26</v>
      </c>
      <c r="B29" s="567">
        <v>210.072</v>
      </c>
      <c r="C29" s="620">
        <f t="shared" si="0"/>
        <v>0</v>
      </c>
      <c r="D29" s="567">
        <v>210.072</v>
      </c>
      <c r="H29" s="444"/>
      <c r="I29" s="444"/>
      <c r="J29" s="444"/>
      <c r="K29" s="459"/>
      <c r="L29" s="350"/>
      <c r="M29" s="350"/>
      <c r="N29" s="350"/>
      <c r="O29" s="350"/>
      <c r="P29" s="352"/>
      <c r="Q29" s="459"/>
      <c r="R29" s="460"/>
      <c r="S29" s="193"/>
      <c r="T29" s="193"/>
      <c r="U29" s="193"/>
      <c r="V29" s="444"/>
      <c r="W29" s="444"/>
    </row>
    <row r="30" spans="1:23" x14ac:dyDescent="0.25">
      <c r="A30" s="594" t="s">
        <v>27</v>
      </c>
      <c r="B30" s="567">
        <v>337.61399999999998</v>
      </c>
      <c r="C30" s="620">
        <f t="shared" si="0"/>
        <v>0</v>
      </c>
      <c r="D30" s="567">
        <v>337.61399999999998</v>
      </c>
      <c r="I30" s="444"/>
      <c r="J30" s="444"/>
      <c r="K30" s="459"/>
      <c r="L30" s="350"/>
      <c r="M30" s="350"/>
      <c r="N30" s="350"/>
      <c r="O30" s="350"/>
      <c r="P30" s="352"/>
      <c r="Q30" s="459"/>
      <c r="R30" s="460"/>
      <c r="S30" s="64"/>
      <c r="T30" s="64"/>
      <c r="U30" s="460"/>
      <c r="V30" s="444"/>
      <c r="W30" s="444"/>
    </row>
    <row r="31" spans="1:23" x14ac:dyDescent="0.25">
      <c r="A31" s="594" t="s">
        <v>28</v>
      </c>
      <c r="B31" s="567">
        <v>335.31600000000009</v>
      </c>
      <c r="C31" s="620">
        <f t="shared" si="0"/>
        <v>0</v>
      </c>
      <c r="D31" s="567">
        <v>335.31599999999997</v>
      </c>
      <c r="H31" s="444"/>
      <c r="I31" s="444"/>
      <c r="J31" s="444"/>
      <c r="K31" s="459"/>
      <c r="L31" s="350"/>
      <c r="M31" s="350"/>
      <c r="N31" s="350"/>
      <c r="O31" s="350"/>
      <c r="P31" s="352"/>
      <c r="Q31" s="459"/>
      <c r="R31" s="459"/>
      <c r="S31" s="352"/>
      <c r="T31" s="352"/>
      <c r="U31" s="459"/>
      <c r="V31" s="444"/>
      <c r="W31" s="444"/>
    </row>
    <row r="32" spans="1:23" x14ac:dyDescent="0.25">
      <c r="A32" s="594" t="s">
        <v>29</v>
      </c>
      <c r="B32" s="567">
        <v>154.63</v>
      </c>
      <c r="C32" s="620">
        <f t="shared" si="0"/>
        <v>0</v>
      </c>
      <c r="D32" s="567">
        <v>154.63</v>
      </c>
      <c r="H32" s="444"/>
      <c r="I32" s="444"/>
      <c r="J32" s="444"/>
      <c r="K32" s="459"/>
      <c r="L32" s="350"/>
      <c r="M32" s="350"/>
      <c r="N32" s="350"/>
      <c r="O32" s="350"/>
      <c r="P32" s="352"/>
      <c r="Q32" s="459"/>
      <c r="R32" s="458"/>
      <c r="S32" s="352"/>
      <c r="T32" s="352"/>
      <c r="U32" s="459"/>
      <c r="V32" s="444"/>
      <c r="W32" s="444"/>
    </row>
    <row r="33" spans="1:23" x14ac:dyDescent="0.25">
      <c r="A33" s="594" t="s">
        <v>30</v>
      </c>
      <c r="B33" s="567">
        <v>295.77</v>
      </c>
      <c r="C33" s="620">
        <f t="shared" si="0"/>
        <v>0</v>
      </c>
      <c r="D33" s="567">
        <v>295.77</v>
      </c>
      <c r="F33" s="444"/>
      <c r="G33" s="444"/>
      <c r="H33" s="444"/>
      <c r="I33" s="444"/>
      <c r="J33" s="444"/>
      <c r="K33" s="459"/>
      <c r="L33" s="350"/>
      <c r="M33" s="350"/>
      <c r="N33" s="350"/>
      <c r="O33" s="350"/>
      <c r="P33" s="352"/>
      <c r="Q33" s="459"/>
      <c r="R33" s="458"/>
      <c r="S33" s="352"/>
      <c r="T33" s="352"/>
      <c r="U33" s="459"/>
      <c r="V33" s="444"/>
      <c r="W33" s="444"/>
    </row>
    <row r="34" spans="1:23" ht="15.75" thickBot="1" x14ac:dyDescent="0.3">
      <c r="A34" s="607" t="s">
        <v>31</v>
      </c>
      <c r="B34" s="567">
        <v>132.25399999999999</v>
      </c>
      <c r="C34" s="620">
        <f t="shared" si="0"/>
        <v>0</v>
      </c>
      <c r="D34" s="567">
        <v>132.25399999999999</v>
      </c>
      <c r="I34" s="444"/>
      <c r="J34" s="444"/>
      <c r="K34" s="459"/>
      <c r="L34" s="350"/>
      <c r="M34" s="350"/>
      <c r="N34" s="352"/>
      <c r="O34" s="352"/>
      <c r="P34" s="352"/>
      <c r="Q34" s="459"/>
      <c r="R34" s="459"/>
      <c r="S34" s="352"/>
      <c r="T34" s="352"/>
      <c r="U34" s="459"/>
      <c r="V34" s="444"/>
      <c r="W34" s="444"/>
    </row>
    <row r="35" spans="1:23" ht="15.75" thickBot="1" x14ac:dyDescent="0.3">
      <c r="A35" s="611" t="s">
        <v>622</v>
      </c>
      <c r="B35" s="614">
        <f>SUM(B4:B34)</f>
        <v>19438.318947619056</v>
      </c>
      <c r="C35" s="614">
        <f>SUM(C4:C34)</f>
        <v>2588.6329738095237</v>
      </c>
      <c r="D35" s="615">
        <f>SUM(D4:D34)</f>
        <v>22026.951921428576</v>
      </c>
      <c r="I35" s="444"/>
      <c r="J35" s="444"/>
      <c r="K35" s="459"/>
      <c r="L35" s="352"/>
      <c r="M35" s="352"/>
      <c r="N35" s="352"/>
      <c r="O35" s="352"/>
      <c r="P35" s="352"/>
      <c r="Q35" s="459"/>
      <c r="R35" s="459"/>
      <c r="S35" s="459"/>
      <c r="T35" s="459"/>
      <c r="U35" s="460"/>
      <c r="V35" s="444"/>
      <c r="W35" s="444"/>
    </row>
    <row r="36" spans="1:23" x14ac:dyDescent="0.25">
      <c r="B36"/>
      <c r="C36"/>
      <c r="D36"/>
      <c r="I36" s="444"/>
      <c r="J36" s="444"/>
      <c r="K36" s="459"/>
      <c r="L36" s="352"/>
      <c r="M36" s="350"/>
      <c r="N36" s="352"/>
      <c r="O36" s="352"/>
      <c r="P36" s="352"/>
      <c r="Q36" s="459"/>
      <c r="R36" s="459"/>
      <c r="S36" s="459"/>
      <c r="T36" s="459"/>
      <c r="U36" s="460"/>
      <c r="V36" s="444"/>
      <c r="W36" s="444"/>
    </row>
    <row r="37" spans="1:23" x14ac:dyDescent="0.25">
      <c r="I37" s="444"/>
      <c r="J37" s="444"/>
      <c r="K37" s="459"/>
      <c r="L37" s="352"/>
      <c r="M37" s="350"/>
      <c r="N37" s="352"/>
      <c r="O37" s="352"/>
      <c r="P37" s="352"/>
      <c r="Q37" s="459"/>
      <c r="R37" s="18"/>
      <c r="S37" s="18"/>
      <c r="T37" s="459"/>
      <c r="U37" s="460"/>
      <c r="V37" s="444"/>
      <c r="W37" s="444"/>
    </row>
    <row r="38" spans="1:23" x14ac:dyDescent="0.25">
      <c r="I38" s="444"/>
      <c r="J38" s="444"/>
      <c r="K38" s="459"/>
      <c r="L38" s="352"/>
      <c r="M38" s="352"/>
      <c r="N38" s="352"/>
      <c r="O38" s="352"/>
      <c r="P38" s="352"/>
      <c r="Q38" s="459"/>
      <c r="R38" s="459"/>
      <c r="S38" s="444"/>
      <c r="T38" s="459"/>
      <c r="U38" s="460"/>
      <c r="V38" s="444"/>
      <c r="W38" s="444"/>
    </row>
    <row r="39" spans="1:23" x14ac:dyDescent="0.25">
      <c r="I39" s="444"/>
      <c r="J39" s="444"/>
      <c r="K39" s="458"/>
      <c r="L39" s="352"/>
      <c r="M39" s="352"/>
      <c r="N39" s="352"/>
      <c r="O39" s="352"/>
      <c r="P39" s="352"/>
      <c r="Q39" s="379"/>
      <c r="R39" s="459"/>
      <c r="S39" s="444"/>
      <c r="T39" s="459"/>
      <c r="U39" s="460"/>
      <c r="V39" s="444"/>
      <c r="W39" s="444"/>
    </row>
    <row r="40" spans="1:23" x14ac:dyDescent="0.25">
      <c r="I40" s="444"/>
      <c r="J40" s="444"/>
      <c r="K40" s="458"/>
      <c r="L40" s="459"/>
      <c r="M40" s="459"/>
      <c r="N40" s="459"/>
      <c r="O40" s="459"/>
      <c r="P40" s="459"/>
      <c r="Q40" s="458"/>
      <c r="R40" s="459"/>
      <c r="S40" s="444"/>
      <c r="T40" s="459"/>
      <c r="U40" s="460"/>
      <c r="V40" s="444"/>
      <c r="W40" s="444"/>
    </row>
    <row r="41" spans="1:23" x14ac:dyDescent="0.25">
      <c r="I41" s="444"/>
      <c r="J41" s="444"/>
      <c r="K41" s="458"/>
      <c r="L41" s="459"/>
      <c r="M41" s="459"/>
      <c r="N41" s="459"/>
      <c r="O41" s="459"/>
      <c r="P41" s="459"/>
      <c r="Q41" s="458"/>
      <c r="R41" s="459"/>
      <c r="S41" s="444"/>
      <c r="T41" s="459"/>
      <c r="U41" s="460"/>
      <c r="V41" s="444"/>
      <c r="W41" s="444"/>
    </row>
    <row r="42" spans="1:23" x14ac:dyDescent="0.25">
      <c r="I42" s="444"/>
      <c r="J42" s="444"/>
      <c r="K42" s="444"/>
      <c r="L42" s="460"/>
      <c r="M42" s="460"/>
      <c r="N42" s="460"/>
      <c r="O42" s="444"/>
      <c r="P42" s="444"/>
      <c r="Q42" s="444"/>
      <c r="R42" s="444"/>
      <c r="S42" s="444"/>
      <c r="T42" s="444"/>
      <c r="U42" s="444"/>
      <c r="V42" s="444"/>
      <c r="W42" s="444"/>
    </row>
    <row r="43" spans="1:23" x14ac:dyDescent="0.25">
      <c r="I43" s="444"/>
      <c r="J43" s="444"/>
      <c r="K43" s="444"/>
      <c r="L43" s="444"/>
      <c r="M43" s="444"/>
      <c r="N43" s="444"/>
      <c r="O43" s="444"/>
      <c r="P43" s="444"/>
      <c r="Q43" s="444"/>
      <c r="R43" s="444"/>
      <c r="S43" s="444"/>
      <c r="T43" s="444"/>
      <c r="U43" s="444"/>
      <c r="V43" s="444"/>
      <c r="W43" s="444"/>
    </row>
    <row r="44" spans="1:23" x14ac:dyDescent="0.25"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</row>
    <row r="45" spans="1:23" x14ac:dyDescent="0.25">
      <c r="I45" s="444"/>
      <c r="J45" s="444"/>
      <c r="K45" s="444"/>
      <c r="L45" s="444"/>
      <c r="M45" s="444"/>
      <c r="N45" s="444"/>
      <c r="O45" s="444"/>
      <c r="P45" s="444"/>
      <c r="Q45" s="444"/>
      <c r="R45" s="444"/>
      <c r="S45" s="444"/>
      <c r="T45" s="444"/>
      <c r="U45" s="444"/>
      <c r="V45" s="444"/>
      <c r="W45" s="444"/>
    </row>
    <row r="46" spans="1:23" x14ac:dyDescent="0.25"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/>
      <c r="V46" s="444"/>
      <c r="W46" s="444"/>
    </row>
    <row r="47" spans="1:23" x14ac:dyDescent="0.25">
      <c r="I47" s="444"/>
      <c r="J47" s="444"/>
      <c r="K47" s="444"/>
      <c r="L47" s="444"/>
      <c r="M47" s="444"/>
      <c r="N47" s="444"/>
      <c r="O47" s="444"/>
      <c r="P47" s="444"/>
      <c r="Q47" s="444"/>
      <c r="R47" s="444"/>
      <c r="S47" s="444"/>
      <c r="T47" s="444"/>
      <c r="U47" s="444"/>
      <c r="V47" s="444"/>
      <c r="W47" s="444"/>
    </row>
    <row r="48" spans="1:23" x14ac:dyDescent="0.25"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4"/>
    </row>
    <row r="49" spans="9:23" x14ac:dyDescent="0.25">
      <c r="I49" s="444"/>
      <c r="J49" s="444"/>
      <c r="K49" s="444"/>
      <c r="L49" s="444"/>
      <c r="M49" s="444"/>
      <c r="N49" s="444"/>
      <c r="O49" s="444"/>
      <c r="P49" s="444"/>
      <c r="Q49" s="444"/>
      <c r="R49" s="444"/>
      <c r="S49" s="444"/>
      <c r="T49" s="444"/>
      <c r="U49" s="444"/>
      <c r="V49" s="444"/>
      <c r="W49" s="444"/>
    </row>
    <row r="50" spans="9:23" x14ac:dyDescent="0.25"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</row>
    <row r="51" spans="9:23" x14ac:dyDescent="0.25"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</row>
    <row r="52" spans="9:23" x14ac:dyDescent="0.25">
      <c r="I52" s="444"/>
      <c r="J52" s="444"/>
      <c r="K52" s="444"/>
      <c r="L52" s="444"/>
      <c r="M52" s="444"/>
      <c r="N52" s="444"/>
      <c r="O52" s="444"/>
      <c r="P52" s="444"/>
      <c r="Q52" s="444"/>
      <c r="R52" s="444"/>
      <c r="S52" s="444"/>
      <c r="T52" s="444"/>
      <c r="U52" s="444"/>
      <c r="V52" s="444"/>
      <c r="W52" s="444"/>
    </row>
    <row r="53" spans="9:23" x14ac:dyDescent="0.25">
      <c r="I53" s="444"/>
      <c r="J53" s="444"/>
      <c r="K53" s="444"/>
      <c r="L53" s="444"/>
      <c r="M53" s="444"/>
      <c r="N53" s="444"/>
      <c r="O53" s="444"/>
      <c r="P53" s="444"/>
      <c r="Q53" s="444"/>
      <c r="R53" s="444"/>
      <c r="S53" s="444"/>
      <c r="T53" s="444"/>
      <c r="U53" s="444"/>
      <c r="V53" s="444"/>
      <c r="W53" s="444"/>
    </row>
    <row r="54" spans="9:23" x14ac:dyDescent="0.25">
      <c r="I54" s="444"/>
      <c r="J54" s="444"/>
      <c r="K54" s="444"/>
      <c r="L54" s="444"/>
      <c r="M54" s="444"/>
      <c r="N54" s="444"/>
      <c r="O54" s="444"/>
      <c r="P54" s="444"/>
      <c r="Q54" s="444"/>
      <c r="R54" s="444"/>
      <c r="S54" s="444"/>
      <c r="T54" s="444"/>
      <c r="U54" s="444"/>
      <c r="V54" s="444"/>
      <c r="W54" s="444"/>
    </row>
    <row r="55" spans="9:23" x14ac:dyDescent="0.25">
      <c r="I55" s="444"/>
      <c r="J55" s="444"/>
      <c r="K55" s="444"/>
      <c r="L55" s="444"/>
      <c r="M55" s="444"/>
      <c r="N55" s="444"/>
      <c r="O55" s="444"/>
      <c r="P55" s="444"/>
      <c r="Q55" s="444"/>
      <c r="R55" s="444"/>
      <c r="S55" s="444"/>
      <c r="T55" s="444"/>
      <c r="U55" s="444"/>
      <c r="V55" s="444"/>
      <c r="W55" s="444"/>
    </row>
    <row r="56" spans="9:23" x14ac:dyDescent="0.25">
      <c r="I56" s="444"/>
      <c r="J56" s="444"/>
      <c r="K56" s="444"/>
      <c r="L56" s="444"/>
      <c r="M56" s="444"/>
      <c r="N56" s="444"/>
      <c r="O56" s="444"/>
      <c r="P56" s="444"/>
      <c r="Q56" s="444"/>
      <c r="R56" s="444"/>
      <c r="S56" s="444"/>
      <c r="T56" s="444"/>
      <c r="U56" s="444"/>
      <c r="V56" s="444"/>
      <c r="W56" s="444"/>
    </row>
    <row r="57" spans="9:23" x14ac:dyDescent="0.25">
      <c r="I57" s="444"/>
      <c r="J57" s="444"/>
      <c r="K57" s="444"/>
      <c r="L57" s="444"/>
      <c r="M57" s="444"/>
      <c r="N57" s="444"/>
      <c r="O57" s="444"/>
      <c r="P57" s="444"/>
      <c r="Q57" s="444"/>
      <c r="R57" s="444"/>
      <c r="S57" s="444"/>
      <c r="T57" s="444"/>
      <c r="U57" s="444"/>
      <c r="V57" s="444"/>
      <c r="W57" s="444"/>
    </row>
    <row r="58" spans="9:23" x14ac:dyDescent="0.25">
      <c r="I58" s="444"/>
      <c r="J58" s="444"/>
      <c r="K58" s="444"/>
      <c r="L58" s="444"/>
      <c r="M58" s="444"/>
      <c r="N58" s="444"/>
      <c r="O58" s="444"/>
      <c r="P58" s="444"/>
      <c r="Q58" s="444"/>
      <c r="R58" s="444"/>
      <c r="S58" s="444"/>
      <c r="T58" s="444"/>
      <c r="U58" s="444"/>
      <c r="V58" s="444"/>
      <c r="W58" s="444"/>
    </row>
    <row r="59" spans="9:23" x14ac:dyDescent="0.25">
      <c r="I59" s="444"/>
      <c r="J59" s="444"/>
      <c r="K59" s="444"/>
      <c r="L59" s="444"/>
      <c r="M59" s="444"/>
      <c r="N59" s="444"/>
      <c r="O59" s="444"/>
      <c r="P59" s="444"/>
      <c r="Q59" s="444"/>
      <c r="R59" s="444"/>
      <c r="S59" s="444"/>
      <c r="T59" s="444"/>
      <c r="U59" s="444"/>
      <c r="V59" s="444"/>
      <c r="W59" s="444"/>
    </row>
    <row r="60" spans="9:23" x14ac:dyDescent="0.25">
      <c r="I60" s="444"/>
      <c r="J60" s="444"/>
      <c r="K60" s="444"/>
      <c r="L60" s="444"/>
      <c r="M60" s="444"/>
      <c r="N60" s="444"/>
      <c r="O60" s="444"/>
      <c r="P60" s="444"/>
      <c r="Q60" s="444"/>
      <c r="R60" s="444"/>
      <c r="S60" s="444"/>
      <c r="T60" s="444"/>
      <c r="U60" s="444"/>
      <c r="V60" s="444"/>
      <c r="W60" s="444"/>
    </row>
    <row r="61" spans="9:23" x14ac:dyDescent="0.25">
      <c r="I61" s="444"/>
      <c r="J61" s="444"/>
      <c r="K61" s="444"/>
      <c r="L61" s="444"/>
      <c r="M61" s="444"/>
      <c r="N61" s="444"/>
      <c r="O61" s="444"/>
      <c r="P61" s="444"/>
      <c r="Q61" s="444"/>
      <c r="R61" s="444"/>
      <c r="S61" s="444"/>
      <c r="T61" s="444"/>
      <c r="U61" s="444"/>
      <c r="V61" s="444"/>
      <c r="W61" s="444"/>
    </row>
    <row r="62" spans="9:23" x14ac:dyDescent="0.25">
      <c r="I62" s="444"/>
      <c r="J62" s="444"/>
      <c r="K62" s="444"/>
      <c r="L62" s="444"/>
      <c r="M62" s="444"/>
      <c r="N62" s="444"/>
      <c r="O62" s="444"/>
      <c r="P62" s="444"/>
      <c r="Q62" s="444"/>
      <c r="R62" s="444"/>
      <c r="S62" s="444"/>
      <c r="T62" s="444"/>
      <c r="U62" s="444"/>
      <c r="V62" s="444"/>
      <c r="W62" s="444"/>
    </row>
    <row r="63" spans="9:23" x14ac:dyDescent="0.25">
      <c r="I63" s="444"/>
      <c r="J63" s="444"/>
      <c r="K63" s="444"/>
      <c r="L63" s="444"/>
      <c r="M63" s="444"/>
      <c r="N63" s="444"/>
      <c r="O63" s="444"/>
      <c r="P63" s="444"/>
      <c r="Q63" s="444"/>
      <c r="R63" s="444"/>
      <c r="S63" s="444"/>
      <c r="T63" s="444"/>
      <c r="U63" s="444"/>
      <c r="V63" s="444"/>
      <c r="W63" s="444"/>
    </row>
    <row r="64" spans="9:23" x14ac:dyDescent="0.25">
      <c r="I64" s="444"/>
      <c r="J64" s="444"/>
      <c r="K64" s="444"/>
      <c r="L64" s="444"/>
      <c r="M64" s="444"/>
      <c r="N64" s="444"/>
      <c r="O64" s="444"/>
      <c r="P64" s="444"/>
      <c r="Q64" s="444"/>
      <c r="R64" s="444"/>
      <c r="S64" s="444"/>
      <c r="T64" s="444"/>
      <c r="U64" s="444"/>
      <c r="V64" s="444"/>
      <c r="W64" s="444"/>
    </row>
    <row r="65" spans="9:23" x14ac:dyDescent="0.25">
      <c r="I65" s="444"/>
      <c r="J65" s="444"/>
      <c r="K65" s="444"/>
      <c r="L65" s="444"/>
      <c r="M65" s="444"/>
      <c r="N65" s="444"/>
      <c r="O65" s="444"/>
      <c r="P65" s="444"/>
      <c r="Q65" s="444"/>
      <c r="R65" s="444"/>
      <c r="S65" s="444"/>
      <c r="T65" s="444"/>
      <c r="U65" s="444"/>
      <c r="V65" s="444"/>
      <c r="W65" s="444"/>
    </row>
    <row r="66" spans="9:23" x14ac:dyDescent="0.25"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</row>
    <row r="67" spans="9:23" x14ac:dyDescent="0.25">
      <c r="I67" s="444"/>
      <c r="J67" s="444"/>
      <c r="K67" s="444"/>
      <c r="L67" s="444"/>
      <c r="M67" s="444"/>
      <c r="N67" s="444"/>
      <c r="O67" s="444"/>
      <c r="P67" s="444"/>
      <c r="Q67" s="444"/>
      <c r="R67" s="444"/>
      <c r="S67" s="444"/>
      <c r="T67" s="444"/>
      <c r="U67" s="444"/>
      <c r="V67" s="444"/>
      <c r="W67" s="444"/>
    </row>
    <row r="68" spans="9:23" x14ac:dyDescent="0.25">
      <c r="I68" s="444"/>
      <c r="J68" s="444"/>
      <c r="K68" s="444"/>
      <c r="L68" s="444"/>
      <c r="M68" s="444"/>
      <c r="N68" s="444"/>
      <c r="O68" s="444"/>
      <c r="P68" s="444"/>
      <c r="Q68" s="444"/>
      <c r="R68" s="444"/>
      <c r="S68" s="444"/>
      <c r="T68" s="444"/>
      <c r="U68" s="444"/>
      <c r="V68" s="444"/>
      <c r="W68" s="444"/>
    </row>
    <row r="69" spans="9:23" x14ac:dyDescent="0.25">
      <c r="I69" s="444"/>
      <c r="J69" s="444"/>
      <c r="K69" s="444"/>
      <c r="L69" s="444"/>
      <c r="M69" s="444"/>
      <c r="N69" s="444"/>
      <c r="O69" s="444"/>
      <c r="P69" s="444"/>
      <c r="Q69" s="444"/>
      <c r="R69" s="444"/>
      <c r="S69" s="444"/>
      <c r="T69" s="444"/>
      <c r="U69" s="444"/>
      <c r="V69" s="444"/>
      <c r="W69" s="444"/>
    </row>
    <row r="70" spans="9:23" x14ac:dyDescent="0.25">
      <c r="I70" s="444"/>
      <c r="J70" s="444"/>
      <c r="K70" s="444"/>
      <c r="L70" s="444"/>
      <c r="M70" s="444"/>
      <c r="N70" s="444"/>
      <c r="O70" s="444"/>
      <c r="P70" s="444"/>
      <c r="Q70" s="444"/>
      <c r="R70" s="444"/>
      <c r="S70" s="444"/>
      <c r="T70" s="444"/>
      <c r="U70" s="444"/>
      <c r="V70" s="444"/>
      <c r="W70" s="444"/>
    </row>
    <row r="71" spans="9:23" x14ac:dyDescent="0.25">
      <c r="I71" s="444"/>
      <c r="J71" s="444"/>
      <c r="K71" s="444"/>
      <c r="L71" s="444"/>
      <c r="M71" s="444"/>
      <c r="N71" s="444"/>
      <c r="O71" s="444"/>
      <c r="P71" s="444"/>
      <c r="Q71" s="444"/>
      <c r="R71" s="444"/>
      <c r="S71" s="444"/>
      <c r="T71" s="444"/>
      <c r="U71" s="444"/>
      <c r="V71" s="444"/>
      <c r="W71" s="444"/>
    </row>
    <row r="72" spans="9:23" x14ac:dyDescent="0.25">
      <c r="I72" s="444"/>
      <c r="J72" s="444"/>
      <c r="K72" s="444"/>
      <c r="L72" s="444"/>
      <c r="M72" s="444"/>
      <c r="N72" s="444"/>
      <c r="O72" s="444"/>
      <c r="P72" s="444"/>
      <c r="Q72" s="444"/>
      <c r="R72" s="444"/>
      <c r="S72" s="444"/>
      <c r="T72" s="444"/>
      <c r="U72" s="444"/>
      <c r="V72" s="444"/>
      <c r="W72" s="444"/>
    </row>
    <row r="73" spans="9:23" x14ac:dyDescent="0.25">
      <c r="I73" s="444"/>
      <c r="J73" s="444"/>
      <c r="K73" s="444"/>
      <c r="L73" s="444"/>
      <c r="M73" s="444"/>
      <c r="N73" s="444"/>
      <c r="O73" s="444"/>
      <c r="P73" s="444"/>
      <c r="Q73" s="444"/>
      <c r="R73" s="444"/>
      <c r="S73" s="444"/>
      <c r="T73" s="444"/>
      <c r="U73" s="444"/>
      <c r="V73" s="444"/>
      <c r="W73" s="444"/>
    </row>
    <row r="74" spans="9:23" x14ac:dyDescent="0.25">
      <c r="I74" s="444"/>
      <c r="J74" s="444"/>
      <c r="K74" s="444"/>
      <c r="L74" s="444"/>
      <c r="M74" s="444"/>
      <c r="N74" s="444"/>
      <c r="O74" s="444"/>
      <c r="P74" s="444"/>
      <c r="Q74" s="444"/>
      <c r="R74" s="444"/>
      <c r="S74" s="444"/>
      <c r="T74" s="444"/>
      <c r="U74" s="444"/>
      <c r="V74" s="444"/>
      <c r="W74" s="444"/>
    </row>
    <row r="75" spans="9:23" x14ac:dyDescent="0.25">
      <c r="I75" s="444"/>
      <c r="J75" s="444"/>
      <c r="K75" s="444"/>
      <c r="L75" s="444"/>
      <c r="M75" s="444"/>
      <c r="N75" s="444"/>
      <c r="O75" s="444"/>
      <c r="P75" s="444"/>
      <c r="Q75" s="444"/>
      <c r="R75" s="444"/>
      <c r="S75" s="444"/>
      <c r="T75" s="444"/>
      <c r="U75" s="444"/>
      <c r="V75" s="444"/>
      <c r="W75" s="444"/>
    </row>
    <row r="76" spans="9:23" x14ac:dyDescent="0.25">
      <c r="I76" s="444"/>
      <c r="J76" s="444"/>
      <c r="K76" s="444"/>
      <c r="L76" s="444"/>
      <c r="M76" s="444"/>
      <c r="N76" s="444"/>
      <c r="O76" s="444"/>
      <c r="P76" s="444"/>
      <c r="Q76" s="444"/>
      <c r="R76" s="444"/>
      <c r="S76" s="444"/>
      <c r="T76" s="444"/>
      <c r="U76" s="444"/>
      <c r="V76" s="444"/>
      <c r="W76" s="444"/>
    </row>
    <row r="77" spans="9:23" x14ac:dyDescent="0.25">
      <c r="I77" s="444"/>
      <c r="J77" s="444"/>
      <c r="K77" s="444"/>
      <c r="L77" s="444"/>
      <c r="M77" s="444"/>
      <c r="N77" s="444"/>
      <c r="O77" s="444"/>
      <c r="P77" s="444"/>
      <c r="Q77" s="444"/>
      <c r="R77" s="444"/>
      <c r="S77" s="444"/>
      <c r="T77" s="444"/>
      <c r="U77" s="444"/>
      <c r="V77" s="444"/>
      <c r="W77" s="444"/>
    </row>
    <row r="78" spans="9:23" x14ac:dyDescent="0.25">
      <c r="I78" s="444"/>
      <c r="J78" s="444"/>
      <c r="K78" s="444"/>
      <c r="L78" s="444"/>
      <c r="M78" s="444"/>
      <c r="N78" s="444"/>
      <c r="O78" s="444"/>
      <c r="P78" s="444"/>
      <c r="Q78" s="444"/>
      <c r="R78" s="444"/>
      <c r="S78" s="444"/>
      <c r="T78" s="444"/>
      <c r="U78" s="444"/>
      <c r="V78" s="444"/>
      <c r="W78" s="444"/>
    </row>
    <row r="79" spans="9:23" x14ac:dyDescent="0.25">
      <c r="I79" s="444"/>
      <c r="J79" s="444"/>
      <c r="K79" s="444"/>
      <c r="L79" s="444"/>
      <c r="M79" s="444"/>
      <c r="N79" s="444"/>
      <c r="O79" s="444"/>
      <c r="P79" s="444"/>
      <c r="Q79" s="444"/>
      <c r="R79" s="444"/>
      <c r="S79" s="444"/>
      <c r="T79" s="444"/>
      <c r="U79" s="444"/>
      <c r="V79" s="444"/>
      <c r="W79" s="444"/>
    </row>
    <row r="80" spans="9:23" x14ac:dyDescent="0.25">
      <c r="I80" s="444"/>
      <c r="J80" s="444"/>
      <c r="K80" s="444"/>
      <c r="L80" s="444"/>
      <c r="M80" s="444"/>
      <c r="N80" s="444"/>
      <c r="O80" s="444"/>
      <c r="P80" s="444"/>
      <c r="Q80" s="444"/>
      <c r="R80" s="444"/>
      <c r="S80" s="444"/>
      <c r="T80" s="444"/>
      <c r="U80" s="444"/>
      <c r="V80" s="444"/>
      <c r="W80" s="444"/>
    </row>
    <row r="81" spans="9:23" x14ac:dyDescent="0.25">
      <c r="I81" s="444"/>
      <c r="J81" s="444"/>
      <c r="K81" s="444"/>
      <c r="L81" s="444"/>
      <c r="M81" s="444"/>
      <c r="N81" s="444"/>
      <c r="O81" s="444"/>
      <c r="P81" s="444"/>
      <c r="Q81" s="444"/>
      <c r="R81" s="444"/>
      <c r="S81" s="444"/>
      <c r="T81" s="444"/>
      <c r="U81" s="444"/>
      <c r="V81" s="444"/>
      <c r="W81" s="444"/>
    </row>
    <row r="82" spans="9:23" x14ac:dyDescent="0.25"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  <c r="V82" s="444"/>
      <c r="W82" s="444"/>
    </row>
    <row r="83" spans="9:23" x14ac:dyDescent="0.25">
      <c r="I83" s="444"/>
      <c r="J83" s="444"/>
      <c r="K83" s="444"/>
      <c r="L83" s="444"/>
      <c r="M83" s="444"/>
      <c r="N83" s="444"/>
      <c r="O83" s="444"/>
      <c r="P83" s="444"/>
      <c r="Q83" s="444"/>
      <c r="R83" s="444"/>
      <c r="S83" s="444"/>
      <c r="T83" s="444"/>
      <c r="U83" s="444"/>
      <c r="V83" s="444"/>
      <c r="W83" s="444"/>
    </row>
    <row r="84" spans="9:23" x14ac:dyDescent="0.25">
      <c r="I84" s="444"/>
      <c r="J84" s="444"/>
      <c r="K84" s="444"/>
      <c r="L84" s="444"/>
      <c r="M84" s="444"/>
      <c r="N84" s="444"/>
      <c r="O84" s="444"/>
      <c r="P84" s="444"/>
      <c r="Q84" s="444"/>
      <c r="R84" s="444"/>
      <c r="S84" s="444"/>
      <c r="T84" s="444"/>
      <c r="U84" s="444"/>
      <c r="V84" s="444"/>
      <c r="W84" s="444"/>
    </row>
    <row r="85" spans="9:23" x14ac:dyDescent="0.25"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  <c r="V85" s="444"/>
      <c r="W85" s="444"/>
    </row>
    <row r="86" spans="9:23" x14ac:dyDescent="0.25">
      <c r="I86" s="444"/>
      <c r="J86" s="444"/>
      <c r="K86" s="444"/>
      <c r="L86" s="444"/>
      <c r="M86" s="444"/>
      <c r="N86" s="444"/>
      <c r="O86" s="444"/>
      <c r="P86" s="444"/>
      <c r="Q86" s="444"/>
      <c r="R86" s="444"/>
      <c r="S86" s="444"/>
      <c r="T86" s="444"/>
      <c r="U86" s="444"/>
      <c r="V86" s="444"/>
      <c r="W86" s="444"/>
    </row>
    <row r="87" spans="9:23" x14ac:dyDescent="0.25">
      <c r="I87" s="444"/>
      <c r="J87" s="444"/>
      <c r="K87" s="444"/>
      <c r="L87" s="444"/>
      <c r="M87" s="444"/>
      <c r="N87" s="444"/>
      <c r="O87" s="444"/>
      <c r="P87" s="444"/>
      <c r="Q87" s="444"/>
      <c r="R87" s="444"/>
      <c r="S87" s="444"/>
      <c r="T87" s="444"/>
      <c r="U87" s="444"/>
      <c r="V87" s="444"/>
      <c r="W87" s="444"/>
    </row>
    <row r="88" spans="9:23" x14ac:dyDescent="0.25">
      <c r="I88" s="444"/>
      <c r="J88" s="444"/>
      <c r="K88" s="444"/>
      <c r="L88" s="444"/>
      <c r="M88" s="444"/>
      <c r="N88" s="444"/>
      <c r="O88" s="444"/>
      <c r="P88" s="444"/>
      <c r="Q88" s="444"/>
      <c r="R88" s="444"/>
      <c r="S88" s="444"/>
      <c r="T88" s="444"/>
      <c r="U88" s="444"/>
      <c r="V88" s="444"/>
      <c r="W88" s="444"/>
    </row>
    <row r="89" spans="9:23" x14ac:dyDescent="0.25">
      <c r="I89" s="444"/>
      <c r="J89" s="444"/>
      <c r="K89" s="444"/>
      <c r="L89" s="444"/>
      <c r="M89" s="444"/>
      <c r="N89" s="444"/>
      <c r="O89" s="444"/>
      <c r="P89" s="444"/>
      <c r="Q89" s="444"/>
      <c r="R89" s="444"/>
      <c r="S89" s="444"/>
      <c r="T89" s="444"/>
      <c r="U89" s="444"/>
      <c r="V89" s="444"/>
      <c r="W89" s="444"/>
    </row>
    <row r="90" spans="9:23" x14ac:dyDescent="0.25">
      <c r="I90" s="444"/>
      <c r="J90" s="444"/>
      <c r="K90" s="444"/>
      <c r="L90" s="444"/>
      <c r="M90" s="444"/>
      <c r="N90" s="444"/>
      <c r="O90" s="444"/>
      <c r="P90" s="444"/>
      <c r="Q90" s="444"/>
      <c r="R90" s="444"/>
      <c r="S90" s="444"/>
      <c r="T90" s="444"/>
      <c r="U90" s="444"/>
      <c r="V90" s="444"/>
      <c r="W90" s="444"/>
    </row>
    <row r="91" spans="9:23" x14ac:dyDescent="0.25">
      <c r="I91" s="444"/>
      <c r="J91" s="444"/>
      <c r="K91" s="444"/>
      <c r="L91" s="444"/>
      <c r="M91" s="444"/>
      <c r="N91" s="444"/>
      <c r="O91" s="444"/>
      <c r="P91" s="444"/>
      <c r="Q91" s="444"/>
      <c r="R91" s="444"/>
      <c r="S91" s="444"/>
      <c r="T91" s="444"/>
      <c r="U91" s="444"/>
      <c r="V91" s="444"/>
      <c r="W91" s="444"/>
    </row>
    <row r="92" spans="9:23" x14ac:dyDescent="0.25">
      <c r="I92" s="444"/>
      <c r="J92" s="444"/>
      <c r="K92" s="444"/>
      <c r="L92" s="444"/>
      <c r="M92" s="444"/>
      <c r="N92" s="444"/>
      <c r="O92" s="444"/>
      <c r="P92" s="444"/>
      <c r="Q92" s="444"/>
      <c r="R92" s="444"/>
      <c r="S92" s="444"/>
      <c r="T92" s="444"/>
      <c r="U92" s="444"/>
      <c r="V92" s="444"/>
      <c r="W92" s="444"/>
    </row>
    <row r="93" spans="9:23" x14ac:dyDescent="0.25">
      <c r="I93" s="444"/>
      <c r="J93" s="444"/>
      <c r="K93" s="444"/>
      <c r="L93" s="444"/>
      <c r="M93" s="444"/>
      <c r="N93" s="444"/>
      <c r="O93" s="444"/>
      <c r="P93" s="444"/>
      <c r="Q93" s="444"/>
      <c r="R93" s="444"/>
      <c r="S93" s="444"/>
      <c r="T93" s="444"/>
      <c r="U93" s="444"/>
      <c r="V93" s="444"/>
      <c r="W93" s="444"/>
    </row>
    <row r="94" spans="9:23" x14ac:dyDescent="0.25">
      <c r="I94" s="444"/>
      <c r="J94" s="444"/>
      <c r="K94" s="444"/>
      <c r="L94" s="444"/>
      <c r="M94" s="444"/>
      <c r="N94" s="444"/>
      <c r="O94" s="444"/>
      <c r="P94" s="444"/>
      <c r="Q94" s="444"/>
      <c r="R94" s="444"/>
      <c r="S94" s="444"/>
      <c r="T94" s="444"/>
      <c r="U94" s="444"/>
      <c r="V94" s="444"/>
      <c r="W94" s="444"/>
    </row>
    <row r="95" spans="9:23" x14ac:dyDescent="0.25">
      <c r="I95" s="444"/>
      <c r="J95" s="444"/>
      <c r="K95" s="444"/>
      <c r="L95" s="444"/>
      <c r="M95" s="444"/>
      <c r="N95" s="444"/>
      <c r="O95" s="444"/>
      <c r="P95" s="444"/>
      <c r="Q95" s="444"/>
      <c r="R95" s="444"/>
      <c r="S95" s="444"/>
      <c r="T95" s="444"/>
      <c r="U95" s="444"/>
      <c r="V95" s="444"/>
      <c r="W95" s="444"/>
    </row>
    <row r="96" spans="9:23" x14ac:dyDescent="0.25">
      <c r="I96" s="444"/>
      <c r="J96" s="444"/>
      <c r="K96" s="444"/>
      <c r="L96" s="444"/>
      <c r="M96" s="444"/>
      <c r="N96" s="444"/>
      <c r="O96" s="444"/>
      <c r="P96" s="444"/>
      <c r="Q96" s="444"/>
      <c r="R96" s="444"/>
      <c r="S96" s="444"/>
      <c r="T96" s="444"/>
      <c r="U96" s="444"/>
      <c r="V96" s="444"/>
      <c r="W96" s="444"/>
    </row>
    <row r="97" spans="9:23" x14ac:dyDescent="0.25">
      <c r="I97" s="444"/>
      <c r="J97" s="444"/>
      <c r="K97" s="444"/>
      <c r="L97" s="444"/>
      <c r="M97" s="444"/>
      <c r="N97" s="444"/>
      <c r="O97" s="444"/>
      <c r="P97" s="444"/>
      <c r="Q97" s="444"/>
      <c r="R97" s="444"/>
      <c r="S97" s="444"/>
      <c r="T97" s="444"/>
      <c r="U97" s="444"/>
      <c r="V97" s="444"/>
      <c r="W97" s="444"/>
    </row>
    <row r="98" spans="9:23" x14ac:dyDescent="0.25">
      <c r="I98" s="444"/>
      <c r="J98" s="444"/>
      <c r="K98" s="444"/>
      <c r="L98" s="444"/>
      <c r="M98" s="444"/>
      <c r="N98" s="444"/>
      <c r="O98" s="444"/>
      <c r="P98" s="444"/>
      <c r="Q98" s="444"/>
      <c r="R98" s="444"/>
      <c r="S98" s="444"/>
      <c r="T98" s="444"/>
      <c r="U98" s="444"/>
      <c r="V98" s="444"/>
      <c r="W98" s="444"/>
    </row>
    <row r="99" spans="9:23" x14ac:dyDescent="0.25">
      <c r="I99" s="444"/>
      <c r="J99" s="444"/>
      <c r="K99" s="444"/>
      <c r="L99" s="444"/>
      <c r="M99" s="444"/>
      <c r="N99" s="444"/>
      <c r="O99" s="444"/>
      <c r="P99" s="444"/>
      <c r="Q99" s="444"/>
      <c r="R99" s="444"/>
      <c r="S99" s="444"/>
      <c r="T99" s="444"/>
      <c r="U99" s="444"/>
      <c r="V99" s="444"/>
      <c r="W99" s="444"/>
    </row>
    <row r="100" spans="9:23" x14ac:dyDescent="0.25">
      <c r="I100" s="444"/>
      <c r="J100" s="444"/>
      <c r="K100" s="444"/>
      <c r="L100" s="444"/>
      <c r="M100" s="444"/>
      <c r="N100" s="444"/>
      <c r="O100" s="444"/>
      <c r="P100" s="444"/>
      <c r="Q100" s="444"/>
      <c r="R100" s="444"/>
      <c r="S100" s="444"/>
      <c r="T100" s="444"/>
      <c r="U100" s="444"/>
      <c r="V100" s="444"/>
      <c r="W100" s="444"/>
    </row>
    <row r="101" spans="9:23" x14ac:dyDescent="0.25">
      <c r="I101" s="444"/>
      <c r="J101" s="444"/>
      <c r="K101" s="444"/>
      <c r="L101" s="444"/>
      <c r="M101" s="444"/>
      <c r="N101" s="444"/>
      <c r="O101" s="444"/>
      <c r="P101" s="444"/>
      <c r="Q101" s="444"/>
      <c r="R101" s="444"/>
      <c r="S101" s="444"/>
      <c r="T101" s="444"/>
      <c r="U101" s="444"/>
      <c r="V101" s="444"/>
      <c r="W101" s="444"/>
    </row>
    <row r="102" spans="9:23" x14ac:dyDescent="0.25">
      <c r="I102" s="444"/>
      <c r="J102" s="444"/>
      <c r="K102" s="444"/>
      <c r="L102" s="444"/>
      <c r="M102" s="444"/>
      <c r="N102" s="444"/>
      <c r="O102" s="444"/>
      <c r="P102" s="444"/>
      <c r="Q102" s="444"/>
      <c r="R102" s="444"/>
      <c r="S102" s="444"/>
      <c r="T102" s="444"/>
      <c r="U102" s="444"/>
      <c r="V102" s="444"/>
      <c r="W102" s="444"/>
    </row>
    <row r="103" spans="9:23" x14ac:dyDescent="0.25">
      <c r="I103" s="444"/>
      <c r="J103" s="444"/>
      <c r="K103" s="444"/>
      <c r="L103" s="444"/>
      <c r="M103" s="444"/>
      <c r="N103" s="444"/>
      <c r="O103" s="444"/>
      <c r="P103" s="444"/>
      <c r="Q103" s="444"/>
      <c r="R103" s="444"/>
      <c r="S103" s="444"/>
      <c r="T103" s="444"/>
      <c r="U103" s="444"/>
      <c r="V103" s="444"/>
      <c r="W103" s="444"/>
    </row>
    <row r="104" spans="9:23" x14ac:dyDescent="0.25">
      <c r="I104" s="444"/>
      <c r="J104" s="444"/>
      <c r="K104" s="444"/>
      <c r="L104" s="444"/>
      <c r="M104" s="444"/>
      <c r="N104" s="444"/>
      <c r="O104" s="444"/>
      <c r="P104" s="444"/>
      <c r="Q104" s="444"/>
      <c r="R104" s="444"/>
      <c r="S104" s="444"/>
      <c r="T104" s="444"/>
      <c r="U104" s="444"/>
      <c r="V104" s="444"/>
      <c r="W104" s="444"/>
    </row>
    <row r="105" spans="9:23" x14ac:dyDescent="0.25">
      <c r="I105" s="444"/>
      <c r="J105" s="444"/>
      <c r="K105" s="444"/>
      <c r="L105" s="444"/>
      <c r="M105" s="444"/>
      <c r="N105" s="444"/>
      <c r="O105" s="444"/>
      <c r="P105" s="444"/>
      <c r="Q105" s="444"/>
      <c r="R105" s="444"/>
      <c r="S105" s="444"/>
      <c r="T105" s="444"/>
      <c r="U105" s="444"/>
      <c r="V105" s="444"/>
      <c r="W105" s="444"/>
    </row>
    <row r="106" spans="9:23" x14ac:dyDescent="0.25">
      <c r="I106" s="444"/>
      <c r="J106" s="444"/>
      <c r="K106" s="444"/>
      <c r="L106" s="444"/>
      <c r="M106" s="444"/>
      <c r="N106" s="444"/>
      <c r="O106" s="444"/>
      <c r="P106" s="444"/>
      <c r="Q106" s="444"/>
      <c r="R106" s="444"/>
      <c r="S106" s="444"/>
      <c r="T106" s="444"/>
      <c r="U106" s="444"/>
      <c r="V106" s="444"/>
      <c r="W106" s="444"/>
    </row>
    <row r="107" spans="9:23" x14ac:dyDescent="0.25">
      <c r="I107" s="444"/>
      <c r="J107" s="444"/>
      <c r="K107" s="444"/>
      <c r="L107" s="444"/>
      <c r="M107" s="444"/>
      <c r="N107" s="444"/>
      <c r="O107" s="444"/>
      <c r="P107" s="444"/>
      <c r="Q107" s="444"/>
      <c r="R107" s="444"/>
      <c r="S107" s="444"/>
      <c r="T107" s="444"/>
      <c r="U107" s="444"/>
      <c r="V107" s="444"/>
      <c r="W107" s="444"/>
    </row>
    <row r="108" spans="9:23" x14ac:dyDescent="0.25">
      <c r="I108" s="444"/>
      <c r="J108" s="444"/>
      <c r="K108" s="444"/>
      <c r="L108" s="444"/>
      <c r="M108" s="444"/>
      <c r="N108" s="444"/>
      <c r="O108" s="444"/>
      <c r="P108" s="444"/>
      <c r="Q108" s="444"/>
      <c r="R108" s="444"/>
      <c r="S108" s="444"/>
      <c r="T108" s="444"/>
      <c r="U108" s="444"/>
      <c r="V108" s="444"/>
      <c r="W108" s="444"/>
    </row>
    <row r="109" spans="9:23" x14ac:dyDescent="0.25">
      <c r="I109" s="444"/>
      <c r="J109" s="444"/>
      <c r="K109" s="444"/>
      <c r="L109" s="444"/>
      <c r="M109" s="444"/>
      <c r="N109" s="444"/>
      <c r="O109" s="444"/>
      <c r="P109" s="444"/>
      <c r="Q109" s="444"/>
      <c r="R109" s="444"/>
      <c r="S109" s="444"/>
      <c r="T109" s="444"/>
      <c r="U109" s="444"/>
      <c r="V109" s="444"/>
      <c r="W109" s="444"/>
    </row>
    <row r="110" spans="9:23" x14ac:dyDescent="0.25">
      <c r="I110" s="444"/>
      <c r="J110" s="444"/>
      <c r="K110" s="444"/>
      <c r="L110" s="444"/>
      <c r="M110" s="444"/>
      <c r="N110" s="444"/>
      <c r="O110" s="444"/>
      <c r="P110" s="444"/>
      <c r="Q110" s="444"/>
      <c r="R110" s="444"/>
      <c r="S110" s="444"/>
      <c r="T110" s="444"/>
      <c r="U110" s="444"/>
      <c r="V110" s="444"/>
      <c r="W110" s="444"/>
    </row>
    <row r="111" spans="9:23" x14ac:dyDescent="0.25">
      <c r="I111" s="444"/>
      <c r="J111" s="444"/>
      <c r="K111" s="444"/>
      <c r="L111" s="444"/>
      <c r="M111" s="444"/>
      <c r="N111" s="444"/>
      <c r="O111" s="444"/>
      <c r="P111" s="444"/>
      <c r="Q111" s="444"/>
      <c r="R111" s="444"/>
      <c r="S111" s="444"/>
      <c r="T111" s="444"/>
      <c r="U111" s="444"/>
      <c r="V111" s="444"/>
      <c r="W111" s="444"/>
    </row>
    <row r="112" spans="9:23" x14ac:dyDescent="0.25">
      <c r="I112" s="444"/>
      <c r="J112" s="444"/>
      <c r="K112" s="444"/>
      <c r="L112" s="444"/>
      <c r="M112" s="444"/>
      <c r="N112" s="444"/>
      <c r="O112" s="444"/>
      <c r="P112" s="444"/>
      <c r="Q112" s="444"/>
      <c r="R112" s="444"/>
      <c r="S112" s="444"/>
      <c r="T112" s="444"/>
      <c r="U112" s="444"/>
      <c r="V112" s="444"/>
      <c r="W112" s="444"/>
    </row>
    <row r="113" spans="9:23" x14ac:dyDescent="0.25">
      <c r="I113" s="444"/>
      <c r="J113" s="444"/>
      <c r="K113" s="444"/>
      <c r="L113" s="444"/>
      <c r="M113" s="444"/>
      <c r="N113" s="444"/>
      <c r="O113" s="444"/>
      <c r="P113" s="444"/>
      <c r="Q113" s="444"/>
      <c r="R113" s="444"/>
      <c r="S113" s="444"/>
      <c r="T113" s="444"/>
      <c r="U113" s="444"/>
      <c r="V113" s="444"/>
      <c r="W113" s="444"/>
    </row>
    <row r="114" spans="9:23" x14ac:dyDescent="0.25">
      <c r="I114" s="444"/>
      <c r="J114" s="444"/>
      <c r="K114" s="444"/>
      <c r="L114" s="444"/>
      <c r="M114" s="444"/>
      <c r="N114" s="444"/>
      <c r="O114" s="444"/>
      <c r="P114" s="444"/>
      <c r="Q114" s="444"/>
      <c r="R114" s="444"/>
      <c r="S114" s="444"/>
      <c r="T114" s="444"/>
      <c r="U114" s="444"/>
      <c r="V114" s="444"/>
      <c r="W114" s="444"/>
    </row>
    <row r="115" spans="9:23" x14ac:dyDescent="0.25">
      <c r="I115" s="444"/>
      <c r="J115" s="444"/>
      <c r="K115" s="444"/>
      <c r="L115" s="444"/>
      <c r="M115" s="444"/>
      <c r="N115" s="444"/>
      <c r="O115" s="444"/>
      <c r="P115" s="444"/>
      <c r="Q115" s="444"/>
      <c r="R115" s="444"/>
      <c r="S115" s="444"/>
      <c r="T115" s="444"/>
      <c r="U115" s="444"/>
      <c r="V115" s="444"/>
      <c r="W115" s="444"/>
    </row>
    <row r="116" spans="9:23" x14ac:dyDescent="0.25">
      <c r="I116" s="444"/>
      <c r="J116" s="444"/>
      <c r="K116" s="444"/>
      <c r="L116" s="444"/>
      <c r="M116" s="444"/>
      <c r="N116" s="444"/>
      <c r="O116" s="444"/>
      <c r="P116" s="444"/>
      <c r="Q116" s="444"/>
      <c r="R116" s="444"/>
      <c r="S116" s="444"/>
      <c r="T116" s="444"/>
      <c r="U116" s="444"/>
      <c r="V116" s="444"/>
      <c r="W116" s="444"/>
    </row>
    <row r="117" spans="9:23" x14ac:dyDescent="0.25"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</row>
    <row r="118" spans="9:23" x14ac:dyDescent="0.25">
      <c r="I118" s="444"/>
      <c r="J118" s="444"/>
      <c r="K118" s="444"/>
      <c r="L118" s="444"/>
      <c r="M118" s="444"/>
      <c r="N118" s="444"/>
      <c r="O118" s="444"/>
      <c r="P118" s="444"/>
      <c r="Q118" s="444"/>
      <c r="R118" s="444"/>
      <c r="S118" s="444"/>
      <c r="T118" s="444"/>
      <c r="U118" s="444"/>
      <c r="V118" s="444"/>
      <c r="W118" s="444"/>
    </row>
    <row r="119" spans="9:23" x14ac:dyDescent="0.25">
      <c r="I119" s="444"/>
      <c r="J119" s="444"/>
      <c r="K119" s="444"/>
      <c r="L119" s="444"/>
      <c r="M119" s="444"/>
      <c r="N119" s="444"/>
      <c r="O119" s="444"/>
      <c r="P119" s="444"/>
      <c r="Q119" s="444"/>
      <c r="R119" s="444"/>
      <c r="S119" s="444"/>
      <c r="T119" s="444"/>
      <c r="U119" s="444"/>
      <c r="V119" s="444"/>
      <c r="W119" s="444"/>
    </row>
    <row r="120" spans="9:23" x14ac:dyDescent="0.25">
      <c r="I120" s="444"/>
      <c r="J120" s="444"/>
      <c r="K120" s="444"/>
      <c r="L120" s="444"/>
      <c r="M120" s="444"/>
      <c r="N120" s="444"/>
      <c r="O120" s="444"/>
      <c r="P120" s="444"/>
      <c r="Q120" s="444"/>
      <c r="R120" s="444"/>
      <c r="S120" s="444"/>
      <c r="T120" s="444"/>
      <c r="U120" s="444"/>
      <c r="V120" s="444"/>
      <c r="W120" s="444"/>
    </row>
    <row r="121" spans="9:23" x14ac:dyDescent="0.25">
      <c r="I121" s="444"/>
      <c r="J121" s="444"/>
      <c r="K121" s="444"/>
      <c r="L121" s="444"/>
      <c r="M121" s="444"/>
      <c r="N121" s="444"/>
      <c r="O121" s="444"/>
      <c r="P121" s="444"/>
      <c r="Q121" s="444"/>
      <c r="R121" s="444"/>
      <c r="S121" s="444"/>
      <c r="T121" s="444"/>
      <c r="U121" s="444"/>
      <c r="V121" s="444"/>
      <c r="W121" s="444"/>
    </row>
    <row r="122" spans="9:23" x14ac:dyDescent="0.25">
      <c r="I122" s="444"/>
      <c r="J122" s="444"/>
      <c r="K122" s="444"/>
      <c r="L122" s="444"/>
      <c r="M122" s="444"/>
      <c r="N122" s="444"/>
      <c r="O122" s="444"/>
      <c r="P122" s="444"/>
      <c r="Q122" s="444"/>
      <c r="R122" s="444"/>
      <c r="S122" s="444"/>
      <c r="T122" s="444"/>
      <c r="U122" s="444"/>
      <c r="V122" s="444"/>
      <c r="W122" s="444"/>
    </row>
    <row r="123" spans="9:23" x14ac:dyDescent="0.25">
      <c r="I123" s="444"/>
      <c r="J123" s="444"/>
      <c r="K123" s="444"/>
      <c r="L123" s="444"/>
      <c r="M123" s="444"/>
      <c r="N123" s="444"/>
      <c r="O123" s="444"/>
      <c r="P123" s="444"/>
      <c r="Q123" s="444"/>
      <c r="R123" s="444"/>
      <c r="S123" s="444"/>
      <c r="T123" s="444"/>
      <c r="U123" s="444"/>
      <c r="V123" s="444"/>
      <c r="W123" s="444"/>
    </row>
    <row r="124" spans="9:23" x14ac:dyDescent="0.25">
      <c r="I124" s="444"/>
      <c r="J124" s="444"/>
      <c r="K124" s="444"/>
      <c r="L124" s="444"/>
      <c r="M124" s="444"/>
      <c r="N124" s="444"/>
      <c r="O124" s="444"/>
      <c r="P124" s="444"/>
      <c r="Q124" s="444"/>
      <c r="R124" s="444"/>
      <c r="S124" s="444"/>
      <c r="T124" s="444"/>
      <c r="U124" s="444"/>
      <c r="V124" s="444"/>
      <c r="W124" s="444"/>
    </row>
    <row r="125" spans="9:23" x14ac:dyDescent="0.25">
      <c r="I125" s="444"/>
      <c r="J125" s="444"/>
      <c r="K125" s="444"/>
      <c r="L125" s="444"/>
      <c r="M125" s="444"/>
      <c r="N125" s="444"/>
      <c r="O125" s="444"/>
      <c r="P125" s="444"/>
      <c r="Q125" s="444"/>
      <c r="R125" s="444"/>
      <c r="S125" s="444"/>
      <c r="T125" s="444"/>
      <c r="U125" s="444"/>
      <c r="V125" s="444"/>
      <c r="W125" s="444"/>
    </row>
    <row r="126" spans="9:23" x14ac:dyDescent="0.25">
      <c r="I126" s="444"/>
      <c r="J126" s="444"/>
      <c r="K126" s="444"/>
      <c r="L126" s="444"/>
      <c r="M126" s="444"/>
      <c r="N126" s="444"/>
      <c r="O126" s="444"/>
      <c r="P126" s="444"/>
      <c r="Q126" s="444"/>
      <c r="R126" s="444"/>
      <c r="S126" s="444"/>
      <c r="T126" s="444"/>
      <c r="U126" s="444"/>
      <c r="V126" s="444"/>
      <c r="W126" s="444"/>
    </row>
    <row r="127" spans="9:23" x14ac:dyDescent="0.25">
      <c r="I127" s="444"/>
      <c r="J127" s="444"/>
      <c r="K127" s="444"/>
      <c r="L127" s="444"/>
      <c r="M127" s="444"/>
      <c r="N127" s="444"/>
      <c r="O127" s="444"/>
      <c r="P127" s="444"/>
      <c r="Q127" s="444"/>
      <c r="R127" s="444"/>
      <c r="S127" s="444"/>
      <c r="T127" s="444"/>
      <c r="U127" s="444"/>
      <c r="V127" s="444"/>
      <c r="W127" s="444"/>
    </row>
    <row r="128" spans="9:23" x14ac:dyDescent="0.25">
      <c r="I128" s="444"/>
      <c r="J128" s="444"/>
      <c r="K128" s="444"/>
      <c r="L128" s="444"/>
      <c r="M128" s="444"/>
      <c r="N128" s="444"/>
      <c r="O128" s="444"/>
      <c r="P128" s="444"/>
      <c r="Q128" s="444"/>
      <c r="R128" s="444"/>
      <c r="S128" s="444"/>
      <c r="T128" s="444"/>
      <c r="U128" s="444"/>
      <c r="V128" s="444"/>
      <c r="W128" s="444"/>
    </row>
    <row r="129" spans="9:23" x14ac:dyDescent="0.25">
      <c r="I129" s="444"/>
      <c r="J129" s="444"/>
      <c r="K129" s="444"/>
      <c r="L129" s="444"/>
      <c r="M129" s="444"/>
      <c r="N129" s="444"/>
      <c r="O129" s="444"/>
      <c r="P129" s="444"/>
      <c r="Q129" s="444"/>
      <c r="R129" s="444"/>
      <c r="S129" s="444"/>
      <c r="T129" s="444"/>
      <c r="U129" s="444"/>
      <c r="V129" s="444"/>
      <c r="W129" s="444"/>
    </row>
    <row r="130" spans="9:23" x14ac:dyDescent="0.25">
      <c r="I130" s="444"/>
      <c r="J130" s="444"/>
      <c r="K130" s="444"/>
      <c r="L130" s="444"/>
      <c r="M130" s="444"/>
      <c r="N130" s="444"/>
      <c r="O130" s="444"/>
      <c r="P130" s="444"/>
      <c r="Q130" s="444"/>
      <c r="R130" s="444"/>
      <c r="S130" s="444"/>
      <c r="T130" s="444"/>
      <c r="U130" s="444"/>
      <c r="V130" s="444"/>
      <c r="W130" s="444"/>
    </row>
    <row r="131" spans="9:23" x14ac:dyDescent="0.25">
      <c r="I131" s="444"/>
      <c r="J131" s="444"/>
      <c r="K131" s="444"/>
      <c r="L131" s="444"/>
      <c r="M131" s="444"/>
      <c r="N131" s="444"/>
      <c r="O131" s="444"/>
      <c r="P131" s="444"/>
      <c r="Q131" s="444"/>
      <c r="R131" s="444"/>
      <c r="S131" s="444"/>
      <c r="T131" s="444"/>
      <c r="U131" s="444"/>
      <c r="V131" s="444"/>
      <c r="W131" s="444"/>
    </row>
    <row r="132" spans="9:23" x14ac:dyDescent="0.25">
      <c r="I132" s="444"/>
      <c r="J132" s="444"/>
      <c r="K132" s="444"/>
      <c r="L132" s="444"/>
      <c r="M132" s="444"/>
      <c r="N132" s="444"/>
      <c r="O132" s="444"/>
      <c r="P132" s="444"/>
      <c r="Q132" s="444"/>
      <c r="R132" s="444"/>
      <c r="S132" s="444"/>
      <c r="T132" s="444"/>
      <c r="U132" s="444"/>
      <c r="V132" s="444"/>
      <c r="W132" s="444"/>
    </row>
    <row r="133" spans="9:23" x14ac:dyDescent="0.25">
      <c r="I133" s="444"/>
      <c r="J133" s="444"/>
      <c r="K133" s="444"/>
      <c r="L133" s="444"/>
      <c r="M133" s="444"/>
      <c r="N133" s="444"/>
      <c r="O133" s="444"/>
      <c r="P133" s="444"/>
      <c r="Q133" s="444"/>
      <c r="R133" s="444"/>
      <c r="S133" s="444"/>
      <c r="T133" s="444"/>
      <c r="U133" s="444"/>
      <c r="V133" s="444"/>
      <c r="W133" s="444"/>
    </row>
    <row r="134" spans="9:23" x14ac:dyDescent="0.25">
      <c r="I134" s="444"/>
      <c r="J134" s="444"/>
      <c r="K134" s="444"/>
      <c r="L134" s="444"/>
      <c r="M134" s="444"/>
      <c r="N134" s="444"/>
      <c r="O134" s="444"/>
      <c r="P134" s="444"/>
      <c r="Q134" s="444"/>
      <c r="R134" s="444"/>
      <c r="S134" s="444"/>
      <c r="T134" s="444"/>
      <c r="U134" s="444"/>
      <c r="V134" s="444"/>
      <c r="W134" s="444"/>
    </row>
    <row r="135" spans="9:23" x14ac:dyDescent="0.25">
      <c r="I135" s="444"/>
      <c r="J135" s="444"/>
      <c r="K135" s="444"/>
      <c r="L135" s="444"/>
      <c r="M135" s="444"/>
      <c r="N135" s="444"/>
      <c r="O135" s="444"/>
      <c r="P135" s="444"/>
      <c r="Q135" s="444"/>
      <c r="R135" s="444"/>
      <c r="S135" s="444"/>
      <c r="T135" s="444"/>
      <c r="U135" s="444"/>
      <c r="V135" s="444"/>
      <c r="W135" s="444"/>
    </row>
    <row r="136" spans="9:23" x14ac:dyDescent="0.25">
      <c r="I136" s="444"/>
      <c r="J136" s="444"/>
      <c r="K136" s="444"/>
      <c r="L136" s="444"/>
      <c r="M136" s="444"/>
      <c r="N136" s="444"/>
      <c r="O136" s="444"/>
      <c r="P136" s="444"/>
      <c r="Q136" s="444"/>
      <c r="R136" s="444"/>
      <c r="S136" s="444"/>
      <c r="T136" s="444"/>
      <c r="U136" s="444"/>
      <c r="V136" s="444"/>
      <c r="W136" s="444"/>
    </row>
    <row r="137" spans="9:23" x14ac:dyDescent="0.25">
      <c r="I137" s="444"/>
      <c r="J137" s="444"/>
      <c r="K137" s="444"/>
      <c r="L137" s="444"/>
      <c r="M137" s="444"/>
      <c r="N137" s="444"/>
      <c r="O137" s="444"/>
      <c r="P137" s="444"/>
      <c r="Q137" s="444"/>
      <c r="R137" s="444"/>
      <c r="S137" s="444"/>
      <c r="T137" s="444"/>
      <c r="U137" s="444"/>
      <c r="V137" s="444"/>
      <c r="W137" s="444"/>
    </row>
    <row r="138" spans="9:23" x14ac:dyDescent="0.25">
      <c r="I138" s="444"/>
      <c r="J138" s="444"/>
      <c r="K138" s="444"/>
      <c r="L138" s="444"/>
      <c r="M138" s="444"/>
      <c r="N138" s="444"/>
      <c r="O138" s="444"/>
      <c r="P138" s="444"/>
      <c r="Q138" s="444"/>
      <c r="R138" s="444"/>
      <c r="S138" s="444"/>
      <c r="T138" s="444"/>
      <c r="U138" s="444"/>
      <c r="V138" s="444"/>
      <c r="W138" s="444"/>
    </row>
    <row r="139" spans="9:23" x14ac:dyDescent="0.25">
      <c r="I139" s="444"/>
      <c r="J139" s="444"/>
      <c r="K139" s="444"/>
      <c r="L139" s="444"/>
      <c r="M139" s="444"/>
      <c r="N139" s="444"/>
      <c r="O139" s="444"/>
      <c r="P139" s="444"/>
      <c r="Q139" s="444"/>
      <c r="R139" s="444"/>
      <c r="S139" s="444"/>
      <c r="T139" s="444"/>
      <c r="U139" s="444"/>
      <c r="V139" s="444"/>
      <c r="W139" s="444"/>
    </row>
    <row r="140" spans="9:23" x14ac:dyDescent="0.25">
      <c r="I140" s="444"/>
      <c r="J140" s="444"/>
      <c r="K140" s="444"/>
      <c r="L140" s="444"/>
      <c r="M140" s="444"/>
      <c r="N140" s="444"/>
      <c r="O140" s="444"/>
      <c r="P140" s="444"/>
      <c r="Q140" s="444"/>
      <c r="R140" s="444"/>
      <c r="S140" s="444"/>
      <c r="T140" s="444"/>
      <c r="U140" s="444"/>
      <c r="V140" s="444"/>
      <c r="W140" s="444"/>
    </row>
    <row r="141" spans="9:23" x14ac:dyDescent="0.25">
      <c r="I141" s="444"/>
      <c r="J141" s="444"/>
      <c r="K141" s="444"/>
      <c r="L141" s="444"/>
      <c r="M141" s="444"/>
      <c r="N141" s="444"/>
      <c r="O141" s="444"/>
      <c r="P141" s="444"/>
      <c r="Q141" s="444"/>
      <c r="R141" s="444"/>
      <c r="S141" s="444"/>
      <c r="T141" s="444"/>
      <c r="U141" s="444"/>
      <c r="V141" s="444"/>
      <c r="W141" s="444"/>
    </row>
    <row r="142" spans="9:23" x14ac:dyDescent="0.25">
      <c r="I142" s="444"/>
      <c r="J142" s="444"/>
      <c r="K142" s="444"/>
      <c r="L142" s="444"/>
      <c r="M142" s="444"/>
      <c r="N142" s="444"/>
      <c r="O142" s="444"/>
      <c r="P142" s="444"/>
      <c r="Q142" s="444"/>
      <c r="R142" s="444"/>
      <c r="S142" s="444"/>
      <c r="T142" s="444"/>
      <c r="U142" s="444"/>
      <c r="V142" s="444"/>
      <c r="W142" s="444"/>
    </row>
    <row r="143" spans="9:23" x14ac:dyDescent="0.25">
      <c r="I143" s="444"/>
      <c r="J143" s="444"/>
      <c r="K143" s="444"/>
      <c r="L143" s="444"/>
      <c r="M143" s="444"/>
      <c r="N143" s="444"/>
      <c r="O143" s="444"/>
      <c r="P143" s="444"/>
      <c r="Q143" s="444"/>
      <c r="R143" s="444"/>
      <c r="S143" s="444"/>
      <c r="T143" s="444"/>
      <c r="U143" s="444"/>
      <c r="V143" s="444"/>
      <c r="W143" s="444"/>
    </row>
    <row r="144" spans="9:23" x14ac:dyDescent="0.25">
      <c r="I144" s="444"/>
      <c r="J144" s="444"/>
      <c r="K144" s="444"/>
      <c r="L144" s="444"/>
      <c r="M144" s="444"/>
      <c r="N144" s="444"/>
      <c r="O144" s="444"/>
      <c r="P144" s="444"/>
      <c r="Q144" s="444"/>
      <c r="R144" s="444"/>
      <c r="S144" s="444"/>
      <c r="T144" s="444"/>
      <c r="U144" s="444"/>
      <c r="V144" s="444"/>
      <c r="W144" s="444"/>
    </row>
    <row r="145" spans="9:23" x14ac:dyDescent="0.25">
      <c r="I145" s="444"/>
      <c r="J145" s="444"/>
      <c r="K145" s="444"/>
      <c r="L145" s="444"/>
      <c r="M145" s="444"/>
      <c r="N145" s="444"/>
      <c r="O145" s="444"/>
      <c r="P145" s="444"/>
      <c r="Q145" s="444"/>
      <c r="R145" s="444"/>
      <c r="S145" s="444"/>
      <c r="T145" s="444"/>
      <c r="U145" s="444"/>
      <c r="V145" s="444"/>
      <c r="W145" s="444"/>
    </row>
    <row r="146" spans="9:23" x14ac:dyDescent="0.25">
      <c r="I146" s="444"/>
      <c r="J146" s="444"/>
      <c r="K146" s="444"/>
      <c r="L146" s="444"/>
      <c r="M146" s="444"/>
      <c r="N146" s="444"/>
      <c r="O146" s="444"/>
      <c r="P146" s="444"/>
      <c r="Q146" s="444"/>
      <c r="R146" s="444"/>
      <c r="S146" s="444"/>
      <c r="T146" s="444"/>
      <c r="U146" s="444"/>
      <c r="V146" s="444"/>
      <c r="W146" s="444"/>
    </row>
    <row r="147" spans="9:23" x14ac:dyDescent="0.25">
      <c r="I147" s="444"/>
      <c r="J147" s="444"/>
      <c r="K147" s="444"/>
      <c r="L147" s="444"/>
      <c r="M147" s="444"/>
      <c r="N147" s="444"/>
      <c r="O147" s="444"/>
      <c r="P147" s="444"/>
      <c r="Q147" s="444"/>
      <c r="R147" s="444"/>
      <c r="S147" s="444"/>
      <c r="T147" s="444"/>
      <c r="U147" s="444"/>
      <c r="V147" s="444"/>
      <c r="W147" s="444"/>
    </row>
    <row r="148" spans="9:23" x14ac:dyDescent="0.25">
      <c r="I148" s="444"/>
      <c r="J148" s="444"/>
      <c r="K148" s="444"/>
      <c r="L148" s="444"/>
      <c r="M148" s="444"/>
      <c r="N148" s="444"/>
      <c r="O148" s="444"/>
      <c r="P148" s="444"/>
      <c r="Q148" s="444"/>
      <c r="R148" s="444"/>
      <c r="S148" s="444"/>
      <c r="T148" s="444"/>
      <c r="U148" s="444"/>
      <c r="V148" s="444"/>
      <c r="W148" s="444"/>
    </row>
    <row r="149" spans="9:23" x14ac:dyDescent="0.25">
      <c r="I149" s="444"/>
      <c r="J149" s="444"/>
      <c r="K149" s="444"/>
      <c r="L149" s="444"/>
      <c r="M149" s="444"/>
      <c r="N149" s="444"/>
      <c r="O149" s="444"/>
      <c r="P149" s="444"/>
      <c r="Q149" s="444"/>
      <c r="R149" s="444"/>
      <c r="S149" s="444"/>
      <c r="T149" s="444"/>
      <c r="U149" s="444"/>
      <c r="V149" s="444"/>
      <c r="W149" s="444"/>
    </row>
    <row r="150" spans="9:23" x14ac:dyDescent="0.25">
      <c r="I150" s="444"/>
      <c r="J150" s="444"/>
      <c r="K150" s="444"/>
      <c r="L150" s="444"/>
      <c r="M150" s="444"/>
      <c r="N150" s="444"/>
      <c r="O150" s="444"/>
      <c r="P150" s="444"/>
      <c r="Q150" s="444"/>
      <c r="R150" s="444"/>
      <c r="S150" s="444"/>
      <c r="T150" s="444"/>
      <c r="U150" s="444"/>
      <c r="V150" s="444"/>
      <c r="W150" s="444"/>
    </row>
    <row r="151" spans="9:23" x14ac:dyDescent="0.25">
      <c r="I151" s="444"/>
      <c r="J151" s="444"/>
      <c r="K151" s="444"/>
      <c r="L151" s="444"/>
      <c r="M151" s="444"/>
      <c r="N151" s="444"/>
      <c r="O151" s="444"/>
      <c r="P151" s="444"/>
      <c r="Q151" s="444"/>
      <c r="R151" s="444"/>
      <c r="S151" s="444"/>
      <c r="T151" s="444"/>
      <c r="U151" s="444"/>
      <c r="V151" s="444"/>
      <c r="W151" s="444"/>
    </row>
    <row r="152" spans="9:23" x14ac:dyDescent="0.25">
      <c r="I152" s="444"/>
      <c r="J152" s="444"/>
      <c r="K152" s="444"/>
      <c r="L152" s="444"/>
      <c r="M152" s="444"/>
      <c r="N152" s="444"/>
      <c r="O152" s="444"/>
      <c r="P152" s="444"/>
      <c r="Q152" s="444"/>
      <c r="R152" s="444"/>
      <c r="S152" s="444"/>
      <c r="T152" s="444"/>
      <c r="U152" s="444"/>
      <c r="V152" s="444"/>
      <c r="W152" s="444"/>
    </row>
    <row r="153" spans="9:23" x14ac:dyDescent="0.25">
      <c r="I153" s="444"/>
      <c r="J153" s="444"/>
      <c r="K153" s="444"/>
      <c r="L153" s="444"/>
      <c r="M153" s="444"/>
      <c r="N153" s="444"/>
      <c r="O153" s="444"/>
      <c r="P153" s="444"/>
      <c r="Q153" s="444"/>
      <c r="R153" s="444"/>
      <c r="S153" s="444"/>
      <c r="T153" s="444"/>
      <c r="U153" s="444"/>
      <c r="V153" s="444"/>
      <c r="W153" s="444"/>
    </row>
    <row r="154" spans="9:23" x14ac:dyDescent="0.25">
      <c r="I154" s="444"/>
      <c r="J154" s="444"/>
      <c r="K154" s="444"/>
      <c r="L154" s="444"/>
      <c r="M154" s="444"/>
      <c r="N154" s="444"/>
      <c r="O154" s="444"/>
      <c r="P154" s="444"/>
      <c r="Q154" s="444"/>
      <c r="R154" s="444"/>
      <c r="S154" s="444"/>
      <c r="T154" s="444"/>
      <c r="U154" s="444"/>
      <c r="V154" s="444"/>
      <c r="W154" s="444"/>
    </row>
    <row r="155" spans="9:23" x14ac:dyDescent="0.25">
      <c r="I155" s="444"/>
      <c r="J155" s="444"/>
      <c r="K155" s="444"/>
      <c r="L155" s="444"/>
      <c r="M155" s="444"/>
      <c r="N155" s="444"/>
      <c r="O155" s="444"/>
      <c r="P155" s="444"/>
      <c r="Q155" s="444"/>
      <c r="R155" s="444"/>
      <c r="S155" s="444"/>
      <c r="T155" s="444"/>
      <c r="U155" s="444"/>
      <c r="V155" s="444"/>
      <c r="W155" s="444"/>
    </row>
    <row r="156" spans="9:23" x14ac:dyDescent="0.25">
      <c r="I156" s="444"/>
      <c r="J156" s="444"/>
      <c r="K156" s="444"/>
      <c r="L156" s="444"/>
      <c r="M156" s="444"/>
      <c r="N156" s="444"/>
      <c r="O156" s="444"/>
      <c r="P156" s="444"/>
      <c r="Q156" s="444"/>
      <c r="R156" s="444"/>
      <c r="S156" s="444"/>
      <c r="T156" s="444"/>
      <c r="U156" s="444"/>
      <c r="V156" s="444"/>
      <c r="W156" s="444"/>
    </row>
    <row r="157" spans="9:23" x14ac:dyDescent="0.25">
      <c r="I157" s="444"/>
      <c r="J157" s="444"/>
      <c r="K157" s="444"/>
      <c r="L157" s="444"/>
      <c r="M157" s="444"/>
      <c r="N157" s="444"/>
      <c r="O157" s="444"/>
      <c r="P157" s="444"/>
      <c r="Q157" s="444"/>
      <c r="R157" s="444"/>
      <c r="S157" s="444"/>
      <c r="T157" s="444"/>
      <c r="U157" s="444"/>
      <c r="V157" s="444"/>
      <c r="W157" s="444"/>
    </row>
    <row r="158" spans="9:23" x14ac:dyDescent="0.25">
      <c r="I158" s="444"/>
      <c r="J158" s="444"/>
      <c r="K158" s="444"/>
      <c r="L158" s="444"/>
      <c r="M158" s="444"/>
      <c r="N158" s="444"/>
      <c r="O158" s="444"/>
      <c r="P158" s="444"/>
      <c r="Q158" s="444"/>
      <c r="R158" s="444"/>
      <c r="S158" s="444"/>
      <c r="T158" s="444"/>
      <c r="U158" s="444"/>
      <c r="V158" s="444"/>
      <c r="W158" s="444"/>
    </row>
    <row r="159" spans="9:23" x14ac:dyDescent="0.25">
      <c r="I159" s="444"/>
      <c r="J159" s="444"/>
      <c r="K159" s="444"/>
      <c r="L159" s="444"/>
      <c r="M159" s="444"/>
      <c r="N159" s="444"/>
      <c r="O159" s="444"/>
      <c r="P159" s="444"/>
      <c r="Q159" s="444"/>
      <c r="R159" s="444"/>
      <c r="S159" s="444"/>
      <c r="T159" s="444"/>
      <c r="U159" s="444"/>
      <c r="V159" s="444"/>
      <c r="W159" s="444"/>
    </row>
    <row r="160" spans="9:23" x14ac:dyDescent="0.25">
      <c r="I160" s="444"/>
      <c r="J160" s="444"/>
      <c r="K160" s="444"/>
      <c r="L160" s="444"/>
      <c r="M160" s="444"/>
      <c r="N160" s="444"/>
      <c r="O160" s="444"/>
      <c r="P160" s="444"/>
      <c r="Q160" s="444"/>
      <c r="R160" s="444"/>
      <c r="S160" s="444"/>
      <c r="T160" s="444"/>
      <c r="U160" s="444"/>
      <c r="V160" s="444"/>
      <c r="W160" s="444"/>
    </row>
    <row r="161" spans="9:23" x14ac:dyDescent="0.25">
      <c r="I161" s="444"/>
      <c r="J161" s="444"/>
      <c r="K161" s="444"/>
      <c r="L161" s="444"/>
      <c r="M161" s="444"/>
      <c r="N161" s="444"/>
      <c r="O161" s="444"/>
      <c r="P161" s="444"/>
      <c r="Q161" s="444"/>
      <c r="R161" s="444"/>
      <c r="S161" s="444"/>
      <c r="T161" s="444"/>
      <c r="U161" s="444"/>
      <c r="V161" s="444"/>
      <c r="W161" s="444"/>
    </row>
    <row r="162" spans="9:23" x14ac:dyDescent="0.25">
      <c r="I162" s="444"/>
      <c r="J162" s="444"/>
      <c r="K162" s="444"/>
      <c r="L162" s="444"/>
      <c r="M162" s="444"/>
      <c r="N162" s="444"/>
      <c r="O162" s="444"/>
      <c r="P162" s="444"/>
      <c r="Q162" s="444"/>
      <c r="R162" s="444"/>
      <c r="S162" s="444"/>
      <c r="T162" s="444"/>
      <c r="U162" s="444"/>
      <c r="V162" s="444"/>
      <c r="W162" s="444"/>
    </row>
    <row r="163" spans="9:23" x14ac:dyDescent="0.25">
      <c r="I163" s="444"/>
      <c r="J163" s="444"/>
      <c r="K163" s="444"/>
      <c r="L163" s="444"/>
      <c r="M163" s="444"/>
      <c r="N163" s="444"/>
      <c r="O163" s="444"/>
      <c r="P163" s="444"/>
      <c r="Q163" s="444"/>
      <c r="R163" s="444"/>
      <c r="S163" s="444"/>
      <c r="T163" s="444"/>
      <c r="U163" s="444"/>
      <c r="V163" s="444"/>
      <c r="W163" s="444"/>
    </row>
    <row r="164" spans="9:23" x14ac:dyDescent="0.25">
      <c r="I164" s="444"/>
      <c r="J164" s="444"/>
      <c r="K164" s="444"/>
      <c r="L164" s="444"/>
      <c r="M164" s="444"/>
      <c r="N164" s="444"/>
      <c r="O164" s="444"/>
      <c r="P164" s="444"/>
      <c r="Q164" s="444"/>
      <c r="R164" s="444"/>
      <c r="S164" s="444"/>
      <c r="T164" s="444"/>
      <c r="U164" s="444"/>
      <c r="V164" s="444"/>
      <c r="W164" s="444"/>
    </row>
    <row r="165" spans="9:23" x14ac:dyDescent="0.25">
      <c r="I165" s="444"/>
      <c r="J165" s="444"/>
      <c r="K165" s="444"/>
      <c r="L165" s="444"/>
      <c r="M165" s="444"/>
      <c r="N165" s="444"/>
      <c r="O165" s="444"/>
      <c r="P165" s="444"/>
      <c r="Q165" s="444"/>
      <c r="R165" s="444"/>
      <c r="S165" s="444"/>
      <c r="T165" s="444"/>
      <c r="U165" s="444"/>
      <c r="V165" s="444"/>
      <c r="W165" s="444"/>
    </row>
    <row r="166" spans="9:23" x14ac:dyDescent="0.25">
      <c r="I166" s="444"/>
      <c r="J166" s="444"/>
      <c r="K166" s="444"/>
      <c r="L166" s="444"/>
      <c r="M166" s="444"/>
      <c r="N166" s="444"/>
      <c r="O166" s="444"/>
      <c r="P166" s="444"/>
      <c r="Q166" s="444"/>
      <c r="R166" s="444"/>
      <c r="S166" s="444"/>
      <c r="T166" s="444"/>
      <c r="U166" s="444"/>
      <c r="V166" s="444"/>
      <c r="W166" s="444"/>
    </row>
    <row r="167" spans="9:23" x14ac:dyDescent="0.25">
      <c r="I167" s="444"/>
      <c r="J167" s="444"/>
      <c r="K167" s="444"/>
      <c r="L167" s="444"/>
      <c r="M167" s="444"/>
      <c r="N167" s="444"/>
      <c r="O167" s="444"/>
      <c r="P167" s="444"/>
      <c r="Q167" s="444"/>
      <c r="R167" s="444"/>
      <c r="S167" s="444"/>
      <c r="T167" s="444"/>
      <c r="U167" s="444"/>
      <c r="V167" s="444"/>
      <c r="W167" s="444"/>
    </row>
    <row r="168" spans="9:23" x14ac:dyDescent="0.25">
      <c r="I168" s="444"/>
      <c r="J168" s="444"/>
      <c r="K168" s="444"/>
      <c r="L168" s="444"/>
      <c r="M168" s="444"/>
      <c r="N168" s="444"/>
      <c r="O168" s="444"/>
      <c r="P168" s="444"/>
      <c r="Q168" s="444"/>
      <c r="R168" s="444"/>
      <c r="S168" s="444"/>
      <c r="T168" s="444"/>
      <c r="U168" s="444"/>
      <c r="V168" s="444"/>
      <c r="W168" s="444"/>
    </row>
    <row r="169" spans="9:23" x14ac:dyDescent="0.25">
      <c r="I169" s="444"/>
      <c r="J169" s="444"/>
      <c r="K169" s="444"/>
      <c r="L169" s="444"/>
      <c r="M169" s="444"/>
      <c r="N169" s="444"/>
      <c r="O169" s="444"/>
      <c r="P169" s="444"/>
      <c r="Q169" s="444"/>
      <c r="R169" s="444"/>
      <c r="S169" s="444"/>
      <c r="T169" s="444"/>
      <c r="U169" s="444"/>
      <c r="V169" s="444"/>
      <c r="W169" s="444"/>
    </row>
    <row r="170" spans="9:23" x14ac:dyDescent="0.25">
      <c r="I170" s="444"/>
      <c r="J170" s="444"/>
      <c r="K170" s="444"/>
      <c r="L170" s="444"/>
      <c r="M170" s="444"/>
      <c r="N170" s="444"/>
      <c r="O170" s="444"/>
      <c r="P170" s="444"/>
      <c r="Q170" s="444"/>
      <c r="R170" s="444"/>
      <c r="S170" s="444"/>
      <c r="T170" s="444"/>
      <c r="U170" s="444"/>
      <c r="V170" s="444"/>
      <c r="W170" s="444"/>
    </row>
    <row r="171" spans="9:23" x14ac:dyDescent="0.25">
      <c r="I171" s="444"/>
      <c r="J171" s="444"/>
      <c r="K171" s="444"/>
      <c r="L171" s="444"/>
      <c r="M171" s="444"/>
      <c r="N171" s="444"/>
      <c r="O171" s="444"/>
      <c r="P171" s="444"/>
      <c r="Q171" s="444"/>
      <c r="R171" s="444"/>
      <c r="S171" s="444"/>
      <c r="T171" s="444"/>
      <c r="U171" s="444"/>
      <c r="V171" s="444"/>
      <c r="W171" s="444"/>
    </row>
    <row r="172" spans="9:23" x14ac:dyDescent="0.25">
      <c r="I172" s="444"/>
      <c r="J172" s="444"/>
      <c r="K172" s="444"/>
      <c r="L172" s="444"/>
      <c r="M172" s="444"/>
      <c r="N172" s="444"/>
      <c r="O172" s="444"/>
      <c r="P172" s="444"/>
      <c r="Q172" s="444"/>
      <c r="R172" s="444"/>
      <c r="S172" s="444"/>
      <c r="T172" s="444"/>
      <c r="U172" s="444"/>
      <c r="V172" s="444"/>
      <c r="W172" s="444"/>
    </row>
    <row r="173" spans="9:23" x14ac:dyDescent="0.25">
      <c r="I173" s="444"/>
      <c r="J173" s="444"/>
      <c r="K173" s="444"/>
      <c r="L173" s="444"/>
      <c r="M173" s="444"/>
      <c r="N173" s="444"/>
      <c r="O173" s="444"/>
      <c r="P173" s="444"/>
      <c r="Q173" s="444"/>
      <c r="R173" s="444"/>
      <c r="S173" s="444"/>
      <c r="T173" s="444"/>
      <c r="U173" s="444"/>
      <c r="V173" s="444"/>
      <c r="W173" s="444"/>
    </row>
    <row r="174" spans="9:23" x14ac:dyDescent="0.25">
      <c r="I174" s="444"/>
      <c r="J174" s="444"/>
      <c r="K174" s="444"/>
      <c r="L174" s="444"/>
      <c r="M174" s="444"/>
      <c r="N174" s="444"/>
      <c r="O174" s="444"/>
      <c r="P174" s="444"/>
      <c r="Q174" s="444"/>
      <c r="R174" s="444"/>
      <c r="S174" s="444"/>
      <c r="T174" s="444"/>
      <c r="U174" s="444"/>
      <c r="V174" s="444"/>
      <c r="W174" s="444"/>
    </row>
    <row r="175" spans="9:23" x14ac:dyDescent="0.25">
      <c r="I175" s="444"/>
      <c r="J175" s="444"/>
      <c r="K175" s="444"/>
      <c r="L175" s="444"/>
      <c r="M175" s="444"/>
      <c r="N175" s="444"/>
      <c r="O175" s="444"/>
      <c r="P175" s="444"/>
      <c r="Q175" s="444"/>
      <c r="R175" s="444"/>
      <c r="S175" s="444"/>
      <c r="T175" s="444"/>
      <c r="U175" s="444"/>
      <c r="V175" s="444"/>
      <c r="W175" s="444"/>
    </row>
    <row r="176" spans="9:23" x14ac:dyDescent="0.25">
      <c r="I176" s="444"/>
      <c r="J176" s="444"/>
      <c r="K176" s="444"/>
      <c r="L176" s="444"/>
      <c r="M176" s="444"/>
      <c r="N176" s="444"/>
      <c r="O176" s="444"/>
      <c r="P176" s="444"/>
      <c r="Q176" s="444"/>
      <c r="R176" s="444"/>
      <c r="S176" s="444"/>
      <c r="T176" s="444"/>
      <c r="U176" s="444"/>
      <c r="V176" s="444"/>
      <c r="W176" s="444"/>
    </row>
    <row r="177" spans="9:23" x14ac:dyDescent="0.25">
      <c r="I177" s="444"/>
      <c r="J177" s="444"/>
      <c r="K177" s="444"/>
      <c r="L177" s="444"/>
      <c r="M177" s="444"/>
      <c r="N177" s="444"/>
      <c r="O177" s="444"/>
      <c r="P177" s="444"/>
      <c r="Q177" s="444"/>
      <c r="R177" s="444"/>
      <c r="S177" s="444"/>
      <c r="T177" s="444"/>
      <c r="U177" s="444"/>
      <c r="V177" s="444"/>
      <c r="W177" s="444"/>
    </row>
    <row r="178" spans="9:23" x14ac:dyDescent="0.25">
      <c r="I178" s="444"/>
      <c r="J178" s="444"/>
      <c r="K178" s="444"/>
      <c r="L178" s="444"/>
      <c r="M178" s="444"/>
      <c r="N178" s="444"/>
      <c r="O178" s="444"/>
      <c r="P178" s="444"/>
      <c r="Q178" s="444"/>
      <c r="R178" s="444"/>
      <c r="S178" s="444"/>
      <c r="T178" s="444"/>
      <c r="U178" s="444"/>
      <c r="V178" s="444"/>
      <c r="W178" s="444"/>
    </row>
    <row r="179" spans="9:23" x14ac:dyDescent="0.25">
      <c r="I179" s="444"/>
      <c r="J179" s="444"/>
      <c r="K179" s="444"/>
      <c r="L179" s="444"/>
      <c r="M179" s="444"/>
      <c r="N179" s="444"/>
      <c r="O179" s="444"/>
      <c r="P179" s="444"/>
      <c r="Q179" s="444"/>
      <c r="R179" s="444"/>
      <c r="S179" s="444"/>
      <c r="T179" s="444"/>
      <c r="U179" s="444"/>
      <c r="V179" s="444"/>
      <c r="W179" s="444"/>
    </row>
    <row r="180" spans="9:23" x14ac:dyDescent="0.25">
      <c r="I180" s="444"/>
      <c r="J180" s="444"/>
      <c r="K180" s="444"/>
      <c r="L180" s="444"/>
      <c r="M180" s="444"/>
      <c r="N180" s="444"/>
      <c r="O180" s="444"/>
      <c r="P180" s="444"/>
      <c r="Q180" s="444"/>
      <c r="R180" s="444"/>
      <c r="S180" s="444"/>
      <c r="T180" s="444"/>
      <c r="U180" s="444"/>
      <c r="V180" s="444"/>
      <c r="W180" s="444"/>
    </row>
    <row r="181" spans="9:23" x14ac:dyDescent="0.25">
      <c r="I181" s="444"/>
      <c r="J181" s="444"/>
      <c r="K181" s="444"/>
      <c r="L181" s="444"/>
      <c r="M181" s="444"/>
      <c r="N181" s="444"/>
      <c r="O181" s="444"/>
      <c r="P181" s="444"/>
      <c r="Q181" s="444"/>
      <c r="R181" s="444"/>
      <c r="S181" s="444"/>
      <c r="T181" s="444"/>
      <c r="U181" s="444"/>
      <c r="V181" s="444"/>
      <c r="W181" s="444"/>
    </row>
    <row r="182" spans="9:23" x14ac:dyDescent="0.25">
      <c r="I182" s="444"/>
      <c r="J182" s="444"/>
      <c r="K182" s="444"/>
      <c r="L182" s="444"/>
      <c r="M182" s="444"/>
      <c r="N182" s="444"/>
      <c r="O182" s="444"/>
      <c r="P182" s="444"/>
      <c r="Q182" s="444"/>
      <c r="R182" s="444"/>
      <c r="S182" s="444"/>
      <c r="T182" s="444"/>
      <c r="U182" s="444"/>
      <c r="V182" s="444"/>
      <c r="W182" s="444"/>
    </row>
    <row r="183" spans="9:23" x14ac:dyDescent="0.25">
      <c r="I183" s="444"/>
      <c r="J183" s="444"/>
      <c r="K183" s="444"/>
      <c r="L183" s="444"/>
      <c r="M183" s="444"/>
      <c r="N183" s="444"/>
      <c r="O183" s="444"/>
      <c r="P183" s="444"/>
      <c r="Q183" s="444"/>
      <c r="R183" s="444"/>
      <c r="S183" s="444"/>
      <c r="T183" s="444"/>
      <c r="U183" s="444"/>
      <c r="V183" s="444"/>
      <c r="W183" s="444"/>
    </row>
    <row r="184" spans="9:23" x14ac:dyDescent="0.25">
      <c r="I184" s="444"/>
      <c r="J184" s="444"/>
      <c r="K184" s="444"/>
      <c r="L184" s="444"/>
      <c r="M184" s="444"/>
      <c r="N184" s="444"/>
      <c r="O184" s="444"/>
      <c r="P184" s="444"/>
      <c r="Q184" s="444"/>
      <c r="R184" s="444"/>
      <c r="S184" s="444"/>
      <c r="T184" s="444"/>
      <c r="U184" s="444"/>
      <c r="V184" s="444"/>
      <c r="W184" s="444"/>
    </row>
    <row r="185" spans="9:23" x14ac:dyDescent="0.25">
      <c r="I185" s="444"/>
      <c r="J185" s="444"/>
      <c r="K185" s="444"/>
      <c r="L185" s="444"/>
      <c r="M185" s="444"/>
      <c r="N185" s="444"/>
      <c r="O185" s="444"/>
      <c r="P185" s="444"/>
      <c r="Q185" s="444"/>
      <c r="R185" s="444"/>
      <c r="S185" s="444"/>
      <c r="T185" s="444"/>
      <c r="U185" s="444"/>
      <c r="V185" s="444"/>
      <c r="W185" s="444"/>
    </row>
    <row r="186" spans="9:23" x14ac:dyDescent="0.25">
      <c r="I186" s="444"/>
      <c r="J186" s="444"/>
      <c r="K186" s="444"/>
      <c r="L186" s="444"/>
      <c r="M186" s="444"/>
      <c r="N186" s="444"/>
      <c r="O186" s="444"/>
      <c r="P186" s="444"/>
      <c r="Q186" s="444"/>
      <c r="R186" s="444"/>
      <c r="S186" s="444"/>
      <c r="T186" s="444"/>
      <c r="U186" s="444"/>
      <c r="V186" s="444"/>
      <c r="W186" s="444"/>
    </row>
    <row r="187" spans="9:23" x14ac:dyDescent="0.25">
      <c r="I187" s="444"/>
      <c r="J187" s="444"/>
      <c r="K187" s="444"/>
      <c r="L187" s="444"/>
      <c r="M187" s="444"/>
      <c r="N187" s="444"/>
      <c r="O187" s="444"/>
      <c r="P187" s="444"/>
      <c r="Q187" s="444"/>
      <c r="R187" s="444"/>
      <c r="S187" s="444"/>
      <c r="T187" s="444"/>
      <c r="U187" s="444"/>
      <c r="V187" s="444"/>
      <c r="W187" s="444"/>
    </row>
    <row r="188" spans="9:23" x14ac:dyDescent="0.25"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</row>
    <row r="189" spans="9:23" x14ac:dyDescent="0.25">
      <c r="I189" s="444"/>
      <c r="J189" s="444"/>
      <c r="K189" s="444"/>
      <c r="L189" s="444"/>
      <c r="M189" s="444"/>
      <c r="N189" s="444"/>
      <c r="O189" s="444"/>
      <c r="P189" s="444"/>
      <c r="Q189" s="444"/>
      <c r="R189" s="444"/>
      <c r="S189" s="444"/>
      <c r="T189" s="444"/>
      <c r="U189" s="444"/>
      <c r="V189" s="444"/>
      <c r="W189" s="444"/>
    </row>
    <row r="190" spans="9:23" x14ac:dyDescent="0.25">
      <c r="I190" s="444"/>
      <c r="J190" s="444"/>
      <c r="K190" s="444"/>
      <c r="L190" s="444"/>
      <c r="M190" s="444"/>
      <c r="N190" s="444"/>
      <c r="O190" s="444"/>
      <c r="P190" s="444"/>
      <c r="Q190" s="444"/>
      <c r="R190" s="444"/>
      <c r="S190" s="444"/>
      <c r="T190" s="444"/>
      <c r="U190" s="444"/>
      <c r="V190" s="444"/>
      <c r="W190" s="444"/>
    </row>
    <row r="191" spans="9:23" x14ac:dyDescent="0.25">
      <c r="I191" s="444"/>
      <c r="J191" s="444"/>
      <c r="K191" s="444"/>
      <c r="L191" s="444"/>
      <c r="M191" s="444"/>
      <c r="N191" s="444"/>
      <c r="O191" s="444"/>
      <c r="P191" s="444"/>
      <c r="Q191" s="444"/>
      <c r="R191" s="444"/>
      <c r="S191" s="444"/>
      <c r="T191" s="444"/>
      <c r="U191" s="444"/>
      <c r="V191" s="444"/>
      <c r="W191" s="444"/>
    </row>
    <row r="192" spans="9:23" x14ac:dyDescent="0.25">
      <c r="I192" s="444"/>
      <c r="J192" s="444"/>
      <c r="K192" s="444"/>
      <c r="L192" s="444"/>
      <c r="M192" s="444"/>
      <c r="N192" s="444"/>
      <c r="O192" s="444"/>
      <c r="P192" s="444"/>
      <c r="Q192" s="444"/>
      <c r="R192" s="444"/>
      <c r="S192" s="444"/>
      <c r="T192" s="444"/>
      <c r="U192" s="444"/>
      <c r="V192" s="444"/>
      <c r="W192" s="444"/>
    </row>
    <row r="193" spans="9:23" x14ac:dyDescent="0.25">
      <c r="I193" s="444"/>
      <c r="J193" s="444"/>
      <c r="K193" s="444"/>
      <c r="L193" s="444"/>
      <c r="M193" s="444"/>
      <c r="N193" s="444"/>
      <c r="O193" s="444"/>
      <c r="P193" s="444"/>
      <c r="Q193" s="444"/>
      <c r="R193" s="444"/>
      <c r="S193" s="444"/>
      <c r="T193" s="444"/>
      <c r="U193" s="444"/>
      <c r="V193" s="444"/>
      <c r="W193" s="444"/>
    </row>
    <row r="194" spans="9:23" x14ac:dyDescent="0.25">
      <c r="I194" s="444"/>
      <c r="J194" s="444"/>
      <c r="K194" s="444"/>
      <c r="L194" s="444"/>
      <c r="M194" s="444"/>
      <c r="N194" s="444"/>
      <c r="O194" s="444"/>
      <c r="P194" s="444"/>
      <c r="Q194" s="444"/>
      <c r="R194" s="444"/>
      <c r="S194" s="444"/>
      <c r="T194" s="444"/>
      <c r="U194" s="444"/>
      <c r="V194" s="444"/>
      <c r="W194" s="444"/>
    </row>
    <row r="195" spans="9:23" x14ac:dyDescent="0.25">
      <c r="I195" s="444"/>
      <c r="J195" s="444"/>
      <c r="K195" s="444"/>
      <c r="L195" s="444"/>
      <c r="M195" s="444"/>
      <c r="N195" s="444"/>
      <c r="O195" s="444"/>
      <c r="P195" s="444"/>
      <c r="Q195" s="444"/>
      <c r="R195" s="444"/>
      <c r="S195" s="444"/>
      <c r="T195" s="444"/>
      <c r="U195" s="444"/>
      <c r="V195" s="444"/>
      <c r="W195" s="444"/>
    </row>
    <row r="196" spans="9:23" x14ac:dyDescent="0.25">
      <c r="I196" s="444"/>
      <c r="J196" s="444"/>
      <c r="K196" s="444"/>
      <c r="L196" s="444"/>
      <c r="M196" s="444"/>
      <c r="N196" s="444"/>
      <c r="O196" s="444"/>
      <c r="P196" s="444"/>
      <c r="Q196" s="444"/>
      <c r="R196" s="444"/>
      <c r="S196" s="444"/>
      <c r="T196" s="444"/>
      <c r="U196" s="444"/>
      <c r="V196" s="444"/>
      <c r="W196" s="444"/>
    </row>
    <row r="197" spans="9:23" x14ac:dyDescent="0.25">
      <c r="I197" s="444"/>
      <c r="J197" s="444"/>
      <c r="K197" s="444"/>
      <c r="L197" s="444"/>
      <c r="M197" s="444"/>
      <c r="N197" s="444"/>
      <c r="O197" s="444"/>
      <c r="P197" s="444"/>
      <c r="Q197" s="444"/>
      <c r="R197" s="444"/>
      <c r="S197" s="444"/>
      <c r="T197" s="444"/>
      <c r="U197" s="444"/>
      <c r="V197" s="444"/>
      <c r="W197" s="444"/>
    </row>
    <row r="198" spans="9:23" x14ac:dyDescent="0.25">
      <c r="I198" s="444"/>
      <c r="J198" s="444"/>
      <c r="K198" s="444"/>
      <c r="L198" s="444"/>
      <c r="M198" s="444"/>
      <c r="N198" s="444"/>
      <c r="O198" s="444"/>
      <c r="P198" s="444"/>
      <c r="Q198" s="444"/>
      <c r="R198" s="444"/>
      <c r="S198" s="444"/>
      <c r="T198" s="444"/>
      <c r="U198" s="444"/>
      <c r="V198" s="444"/>
      <c r="W198" s="444"/>
    </row>
    <row r="199" spans="9:23" x14ac:dyDescent="0.25">
      <c r="I199" s="444"/>
      <c r="J199" s="444"/>
      <c r="K199" s="444"/>
      <c r="L199" s="444"/>
      <c r="M199" s="444"/>
      <c r="N199" s="444"/>
      <c r="O199" s="444"/>
      <c r="P199" s="444"/>
      <c r="Q199" s="444"/>
      <c r="R199" s="444"/>
      <c r="S199" s="444"/>
      <c r="T199" s="444"/>
      <c r="U199" s="444"/>
      <c r="V199" s="444"/>
      <c r="W199" s="444"/>
    </row>
    <row r="200" spans="9:23" x14ac:dyDescent="0.25">
      <c r="I200" s="444"/>
      <c r="J200" s="444"/>
      <c r="K200" s="444"/>
      <c r="L200" s="444"/>
      <c r="M200" s="444"/>
      <c r="N200" s="444"/>
      <c r="O200" s="444"/>
      <c r="P200" s="444"/>
      <c r="Q200" s="444"/>
      <c r="R200" s="444"/>
      <c r="S200" s="444"/>
      <c r="T200" s="444"/>
      <c r="U200" s="444"/>
      <c r="V200" s="444"/>
      <c r="W200" s="444"/>
    </row>
    <row r="201" spans="9:23" x14ac:dyDescent="0.25">
      <c r="I201" s="444"/>
      <c r="J201" s="444"/>
      <c r="K201" s="444"/>
      <c r="L201" s="444"/>
      <c r="M201" s="444"/>
      <c r="N201" s="444"/>
      <c r="O201" s="444"/>
      <c r="P201" s="444"/>
      <c r="Q201" s="444"/>
      <c r="R201" s="444"/>
      <c r="S201" s="444"/>
      <c r="T201" s="444"/>
      <c r="U201" s="444"/>
      <c r="V201" s="444"/>
      <c r="W201" s="444"/>
    </row>
    <row r="202" spans="9:23" x14ac:dyDescent="0.25">
      <c r="I202" s="444"/>
      <c r="J202" s="444"/>
      <c r="K202" s="444"/>
      <c r="L202" s="444"/>
      <c r="M202" s="444"/>
      <c r="N202" s="444"/>
      <c r="O202" s="444"/>
      <c r="P202" s="444"/>
      <c r="Q202" s="444"/>
      <c r="R202" s="444"/>
      <c r="S202" s="444"/>
      <c r="T202" s="444"/>
      <c r="U202" s="444"/>
      <c r="V202" s="444"/>
      <c r="W202" s="444"/>
    </row>
    <row r="203" spans="9:23" x14ac:dyDescent="0.25">
      <c r="I203" s="444"/>
      <c r="J203" s="444"/>
      <c r="K203" s="444"/>
      <c r="L203" s="444"/>
      <c r="M203" s="444"/>
      <c r="N203" s="444"/>
      <c r="O203" s="444"/>
      <c r="P203" s="444"/>
      <c r="Q203" s="444"/>
      <c r="R203" s="444"/>
      <c r="S203" s="444"/>
      <c r="T203" s="444"/>
      <c r="U203" s="444"/>
      <c r="V203" s="444"/>
      <c r="W203" s="444"/>
    </row>
    <row r="204" spans="9:23" x14ac:dyDescent="0.25">
      <c r="I204" s="444"/>
      <c r="J204" s="444"/>
      <c r="K204" s="444"/>
      <c r="L204" s="444"/>
      <c r="M204" s="444"/>
      <c r="N204" s="444"/>
      <c r="O204" s="444"/>
      <c r="P204" s="444"/>
      <c r="Q204" s="444"/>
      <c r="R204" s="444"/>
      <c r="S204" s="444"/>
      <c r="T204" s="444"/>
      <c r="U204" s="444"/>
      <c r="V204" s="444"/>
      <c r="W204" s="444"/>
    </row>
    <row r="205" spans="9:23" x14ac:dyDescent="0.25">
      <c r="I205" s="444"/>
      <c r="J205" s="444"/>
      <c r="K205" s="444"/>
      <c r="L205" s="444"/>
      <c r="M205" s="444"/>
      <c r="N205" s="444"/>
      <c r="O205" s="444"/>
      <c r="P205" s="444"/>
      <c r="Q205" s="444"/>
      <c r="R205" s="444"/>
      <c r="S205" s="444"/>
      <c r="T205" s="444"/>
      <c r="U205" s="444"/>
      <c r="V205" s="444"/>
      <c r="W205" s="444"/>
    </row>
    <row r="206" spans="9:23" x14ac:dyDescent="0.25">
      <c r="I206" s="444"/>
      <c r="J206" s="444"/>
      <c r="K206" s="444"/>
      <c r="L206" s="444"/>
      <c r="M206" s="444"/>
      <c r="N206" s="444"/>
      <c r="O206" s="444"/>
      <c r="P206" s="444"/>
      <c r="Q206" s="444"/>
      <c r="R206" s="444"/>
      <c r="S206" s="444"/>
      <c r="T206" s="444"/>
      <c r="U206" s="444"/>
      <c r="V206" s="444"/>
      <c r="W206" s="444"/>
    </row>
    <row r="207" spans="9:23" x14ac:dyDescent="0.25">
      <c r="I207" s="444"/>
      <c r="J207" s="444"/>
      <c r="K207" s="444"/>
      <c r="L207" s="444"/>
      <c r="M207" s="444"/>
      <c r="N207" s="444"/>
      <c r="O207" s="444"/>
      <c r="P207" s="444"/>
      <c r="Q207" s="444"/>
      <c r="R207" s="444"/>
      <c r="S207" s="444"/>
      <c r="T207" s="444"/>
      <c r="U207" s="444"/>
      <c r="V207" s="444"/>
      <c r="W207" s="444"/>
    </row>
    <row r="208" spans="9:23" x14ac:dyDescent="0.25">
      <c r="I208" s="444"/>
      <c r="J208" s="444"/>
      <c r="K208" s="444"/>
      <c r="L208" s="444"/>
      <c r="M208" s="444"/>
      <c r="N208" s="444"/>
      <c r="O208" s="444"/>
      <c r="P208" s="444"/>
      <c r="Q208" s="444"/>
      <c r="R208" s="444"/>
      <c r="S208" s="444"/>
      <c r="T208" s="444"/>
      <c r="U208" s="444"/>
      <c r="V208" s="444"/>
      <c r="W208" s="444"/>
    </row>
    <row r="209" spans="9:23" x14ac:dyDescent="0.25"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</row>
    <row r="210" spans="9:23" x14ac:dyDescent="0.25">
      <c r="I210" s="444"/>
      <c r="J210" s="444"/>
      <c r="K210" s="444"/>
      <c r="L210" s="444"/>
      <c r="M210" s="444"/>
      <c r="N210" s="444"/>
      <c r="O210" s="444"/>
      <c r="P210" s="444"/>
      <c r="Q210" s="444"/>
      <c r="R210" s="444"/>
      <c r="S210" s="444"/>
      <c r="T210" s="444"/>
      <c r="U210" s="444"/>
      <c r="V210" s="444"/>
      <c r="W210" s="444"/>
    </row>
    <row r="211" spans="9:23" x14ac:dyDescent="0.25">
      <c r="I211" s="444"/>
      <c r="J211" s="444"/>
      <c r="K211" s="444"/>
      <c r="L211" s="444"/>
      <c r="M211" s="444"/>
      <c r="N211" s="444"/>
      <c r="O211" s="444"/>
      <c r="P211" s="444"/>
      <c r="Q211" s="444"/>
      <c r="R211" s="444"/>
      <c r="S211" s="444"/>
      <c r="T211" s="444"/>
      <c r="U211" s="444"/>
      <c r="V211" s="444"/>
      <c r="W211" s="444"/>
    </row>
    <row r="212" spans="9:23" x14ac:dyDescent="0.25">
      <c r="I212" s="444"/>
      <c r="J212" s="444"/>
      <c r="K212" s="444"/>
      <c r="L212" s="444"/>
      <c r="M212" s="444"/>
      <c r="N212" s="444"/>
      <c r="O212" s="444"/>
      <c r="P212" s="444"/>
      <c r="Q212" s="444"/>
      <c r="R212" s="444"/>
      <c r="S212" s="444"/>
      <c r="T212" s="444"/>
      <c r="U212" s="444"/>
      <c r="V212" s="444"/>
      <c r="W212" s="444"/>
    </row>
    <row r="213" spans="9:23" x14ac:dyDescent="0.25">
      <c r="I213" s="444"/>
      <c r="J213" s="444"/>
      <c r="K213" s="444"/>
      <c r="L213" s="444"/>
      <c r="M213" s="444"/>
      <c r="N213" s="444"/>
      <c r="O213" s="444"/>
      <c r="P213" s="444"/>
      <c r="Q213" s="444"/>
      <c r="R213" s="444"/>
      <c r="S213" s="444"/>
      <c r="T213" s="444"/>
      <c r="U213" s="444"/>
      <c r="V213" s="444"/>
      <c r="W213" s="444"/>
    </row>
    <row r="214" spans="9:23" x14ac:dyDescent="0.25">
      <c r="I214" s="444"/>
      <c r="J214" s="444"/>
      <c r="K214" s="444"/>
      <c r="L214" s="444"/>
      <c r="M214" s="444"/>
      <c r="N214" s="444"/>
      <c r="O214" s="444"/>
      <c r="P214" s="444"/>
      <c r="Q214" s="444"/>
      <c r="R214" s="444"/>
      <c r="S214" s="444"/>
      <c r="T214" s="444"/>
      <c r="U214" s="444"/>
      <c r="V214" s="444"/>
      <c r="W214" s="444"/>
    </row>
    <row r="215" spans="9:23" x14ac:dyDescent="0.25">
      <c r="I215" s="444"/>
      <c r="J215" s="444"/>
      <c r="K215" s="444"/>
      <c r="L215" s="444"/>
      <c r="M215" s="444"/>
      <c r="N215" s="444"/>
      <c r="O215" s="444"/>
      <c r="P215" s="444"/>
      <c r="Q215" s="444"/>
      <c r="R215" s="444"/>
      <c r="S215" s="444"/>
      <c r="T215" s="444"/>
      <c r="U215" s="444"/>
      <c r="V215" s="444"/>
      <c r="W215" s="444"/>
    </row>
    <row r="216" spans="9:23" x14ac:dyDescent="0.25">
      <c r="I216" s="444"/>
      <c r="J216" s="444"/>
      <c r="K216" s="444"/>
      <c r="L216" s="444"/>
      <c r="M216" s="444"/>
      <c r="N216" s="444"/>
      <c r="O216" s="444"/>
      <c r="P216" s="444"/>
      <c r="Q216" s="444"/>
      <c r="R216" s="444"/>
      <c r="S216" s="444"/>
      <c r="T216" s="444"/>
      <c r="U216" s="444"/>
      <c r="V216" s="444"/>
      <c r="W216" s="444"/>
    </row>
    <row r="217" spans="9:23" x14ac:dyDescent="0.25">
      <c r="I217" s="444"/>
      <c r="J217" s="444"/>
      <c r="K217" s="444"/>
      <c r="L217" s="444"/>
      <c r="M217" s="444"/>
      <c r="N217" s="444"/>
      <c r="O217" s="444"/>
      <c r="P217" s="444"/>
      <c r="Q217" s="444"/>
      <c r="R217" s="444"/>
      <c r="S217" s="444"/>
      <c r="T217" s="444"/>
      <c r="U217" s="444"/>
      <c r="V217" s="444"/>
      <c r="W217" s="444"/>
    </row>
    <row r="218" spans="9:23" x14ac:dyDescent="0.25">
      <c r="I218" s="444"/>
      <c r="J218" s="444"/>
      <c r="K218" s="444"/>
      <c r="L218" s="444"/>
      <c r="M218" s="444"/>
      <c r="N218" s="444"/>
      <c r="O218" s="444"/>
      <c r="P218" s="444"/>
      <c r="Q218" s="444"/>
      <c r="R218" s="444"/>
      <c r="S218" s="444"/>
      <c r="T218" s="444"/>
      <c r="U218" s="444"/>
      <c r="V218" s="444"/>
      <c r="W218" s="444"/>
    </row>
    <row r="219" spans="9:23" x14ac:dyDescent="0.25">
      <c r="I219" s="444"/>
      <c r="J219" s="444"/>
      <c r="K219" s="444"/>
      <c r="L219" s="444"/>
      <c r="M219" s="444"/>
      <c r="N219" s="444"/>
      <c r="O219" s="444"/>
      <c r="P219" s="444"/>
      <c r="Q219" s="444"/>
      <c r="R219" s="444"/>
      <c r="S219" s="444"/>
      <c r="T219" s="444"/>
      <c r="U219" s="444"/>
      <c r="V219" s="444"/>
      <c r="W219" s="444"/>
    </row>
    <row r="220" spans="9:23" x14ac:dyDescent="0.25">
      <c r="I220" s="444"/>
      <c r="J220" s="444"/>
      <c r="K220" s="444"/>
      <c r="L220" s="444"/>
      <c r="M220" s="444"/>
      <c r="N220" s="444"/>
      <c r="O220" s="444"/>
      <c r="P220" s="444"/>
      <c r="Q220" s="444"/>
      <c r="R220" s="444"/>
      <c r="S220" s="444"/>
      <c r="T220" s="444"/>
      <c r="U220" s="444"/>
      <c r="V220" s="444"/>
      <c r="W220" s="444"/>
    </row>
    <row r="221" spans="9:23" x14ac:dyDescent="0.25">
      <c r="I221" s="444"/>
      <c r="J221" s="444"/>
      <c r="K221" s="444"/>
      <c r="L221" s="444"/>
      <c r="M221" s="444"/>
      <c r="N221" s="444"/>
      <c r="O221" s="444"/>
      <c r="P221" s="444"/>
      <c r="Q221" s="444"/>
      <c r="R221" s="444"/>
      <c r="S221" s="444"/>
      <c r="T221" s="444"/>
      <c r="U221" s="444"/>
      <c r="V221" s="444"/>
      <c r="W221" s="444"/>
    </row>
    <row r="222" spans="9:23" x14ac:dyDescent="0.25">
      <c r="I222" s="444"/>
      <c r="J222" s="444"/>
      <c r="K222" s="444"/>
      <c r="L222" s="444"/>
      <c r="M222" s="444"/>
      <c r="N222" s="444"/>
      <c r="O222" s="444"/>
      <c r="P222" s="444"/>
      <c r="Q222" s="444"/>
      <c r="R222" s="444"/>
      <c r="S222" s="444"/>
      <c r="T222" s="444"/>
      <c r="U222" s="444"/>
      <c r="V222" s="444"/>
      <c r="W222" s="444"/>
    </row>
    <row r="223" spans="9:23" x14ac:dyDescent="0.25">
      <c r="I223" s="444"/>
      <c r="J223" s="444"/>
      <c r="K223" s="444"/>
      <c r="L223" s="444"/>
      <c r="M223" s="444"/>
      <c r="N223" s="444"/>
      <c r="O223" s="444"/>
      <c r="P223" s="444"/>
      <c r="Q223" s="444"/>
      <c r="R223" s="444"/>
      <c r="S223" s="444"/>
      <c r="T223" s="444"/>
      <c r="U223" s="444"/>
      <c r="V223" s="444"/>
      <c r="W223" s="444"/>
    </row>
    <row r="224" spans="9:23" x14ac:dyDescent="0.25">
      <c r="I224" s="444"/>
      <c r="J224" s="444"/>
      <c r="K224" s="444"/>
      <c r="L224" s="444"/>
      <c r="M224" s="444"/>
      <c r="N224" s="444"/>
      <c r="O224" s="444"/>
      <c r="P224" s="444"/>
      <c r="Q224" s="444"/>
      <c r="R224" s="444"/>
      <c r="S224" s="444"/>
      <c r="T224" s="444"/>
      <c r="U224" s="444"/>
      <c r="V224" s="444"/>
      <c r="W224" s="444"/>
    </row>
    <row r="225" spans="9:23" x14ac:dyDescent="0.25">
      <c r="I225" s="444"/>
      <c r="J225" s="444"/>
      <c r="K225" s="444"/>
      <c r="L225" s="444"/>
      <c r="M225" s="444"/>
      <c r="N225" s="444"/>
      <c r="O225" s="444"/>
      <c r="P225" s="444"/>
      <c r="Q225" s="444"/>
      <c r="R225" s="444"/>
      <c r="S225" s="444"/>
      <c r="T225" s="444"/>
      <c r="U225" s="444"/>
      <c r="V225" s="444"/>
      <c r="W225" s="444"/>
    </row>
    <row r="226" spans="9:23" x14ac:dyDescent="0.25">
      <c r="I226" s="444"/>
      <c r="J226" s="444"/>
      <c r="K226" s="444"/>
      <c r="L226" s="444"/>
      <c r="M226" s="444"/>
      <c r="N226" s="444"/>
      <c r="O226" s="444"/>
      <c r="P226" s="444"/>
      <c r="Q226" s="444"/>
      <c r="R226" s="444"/>
      <c r="S226" s="444"/>
      <c r="T226" s="444"/>
      <c r="U226" s="444"/>
      <c r="V226" s="444"/>
      <c r="W226" s="444"/>
    </row>
    <row r="227" spans="9:23" x14ac:dyDescent="0.25">
      <c r="I227" s="444"/>
      <c r="J227" s="444"/>
      <c r="K227" s="444"/>
      <c r="L227" s="444"/>
      <c r="M227" s="444"/>
      <c r="N227" s="444"/>
      <c r="O227" s="444"/>
      <c r="P227" s="444"/>
      <c r="Q227" s="444"/>
      <c r="R227" s="444"/>
      <c r="S227" s="444"/>
      <c r="T227" s="444"/>
      <c r="U227" s="444"/>
      <c r="V227" s="444"/>
      <c r="W227" s="444"/>
    </row>
    <row r="228" spans="9:23" x14ac:dyDescent="0.25">
      <c r="I228" s="444"/>
      <c r="J228" s="444"/>
      <c r="K228" s="444"/>
      <c r="L228" s="444"/>
      <c r="M228" s="444"/>
      <c r="N228" s="444"/>
      <c r="O228" s="444"/>
      <c r="P228" s="444"/>
      <c r="Q228" s="444"/>
      <c r="R228" s="444"/>
      <c r="S228" s="444"/>
      <c r="T228" s="444"/>
      <c r="U228" s="444"/>
      <c r="V228" s="444"/>
      <c r="W228" s="444"/>
    </row>
    <row r="229" spans="9:23" x14ac:dyDescent="0.25">
      <c r="I229" s="444"/>
      <c r="J229" s="444"/>
      <c r="K229" s="444"/>
      <c r="L229" s="444"/>
      <c r="M229" s="444"/>
      <c r="N229" s="444"/>
      <c r="O229" s="444"/>
      <c r="P229" s="444"/>
      <c r="Q229" s="444"/>
      <c r="R229" s="444"/>
      <c r="S229" s="444"/>
      <c r="T229" s="444"/>
      <c r="U229" s="444"/>
      <c r="V229" s="444"/>
      <c r="W229" s="444"/>
    </row>
    <row r="230" spans="9:23" x14ac:dyDescent="0.25">
      <c r="I230" s="444"/>
      <c r="J230" s="444"/>
      <c r="K230" s="444"/>
      <c r="L230" s="444"/>
      <c r="M230" s="444"/>
      <c r="N230" s="444"/>
      <c r="O230" s="444"/>
      <c r="P230" s="444"/>
      <c r="Q230" s="444"/>
      <c r="R230" s="444"/>
      <c r="S230" s="444"/>
      <c r="T230" s="444"/>
      <c r="U230" s="444"/>
      <c r="V230" s="444"/>
      <c r="W230" s="444"/>
    </row>
    <row r="231" spans="9:23" x14ac:dyDescent="0.25">
      <c r="I231" s="444"/>
      <c r="J231" s="444"/>
      <c r="K231" s="444"/>
      <c r="L231" s="444"/>
      <c r="M231" s="444"/>
      <c r="N231" s="444"/>
      <c r="O231" s="444"/>
      <c r="P231" s="444"/>
      <c r="Q231" s="444"/>
      <c r="R231" s="444"/>
      <c r="S231" s="444"/>
      <c r="T231" s="444"/>
      <c r="U231" s="444"/>
      <c r="V231" s="444"/>
      <c r="W231" s="444"/>
    </row>
    <row r="232" spans="9:23" x14ac:dyDescent="0.25">
      <c r="I232" s="444"/>
      <c r="J232" s="444"/>
      <c r="K232" s="444"/>
      <c r="L232" s="444"/>
      <c r="M232" s="444"/>
      <c r="N232" s="444"/>
      <c r="O232" s="444"/>
      <c r="P232" s="444"/>
      <c r="Q232" s="444"/>
      <c r="R232" s="444"/>
      <c r="S232" s="444"/>
      <c r="T232" s="444"/>
      <c r="U232" s="444"/>
      <c r="V232" s="444"/>
      <c r="W232" s="444"/>
    </row>
    <row r="233" spans="9:23" x14ac:dyDescent="0.25">
      <c r="I233" s="444"/>
      <c r="J233" s="444"/>
      <c r="K233" s="444"/>
      <c r="L233" s="444"/>
      <c r="M233" s="444"/>
      <c r="N233" s="444"/>
      <c r="O233" s="444"/>
      <c r="P233" s="444"/>
      <c r="Q233" s="444"/>
      <c r="R233" s="444"/>
      <c r="S233" s="444"/>
      <c r="T233" s="444"/>
      <c r="U233" s="444"/>
      <c r="V233" s="444"/>
      <c r="W233" s="444"/>
    </row>
    <row r="234" spans="9:23" x14ac:dyDescent="0.25">
      <c r="I234" s="444"/>
      <c r="J234" s="444"/>
      <c r="K234" s="444"/>
      <c r="L234" s="444"/>
      <c r="M234" s="444"/>
      <c r="N234" s="444"/>
      <c r="O234" s="444"/>
      <c r="P234" s="444"/>
      <c r="Q234" s="444"/>
      <c r="R234" s="444"/>
      <c r="S234" s="444"/>
      <c r="T234" s="444"/>
      <c r="U234" s="444"/>
      <c r="V234" s="444"/>
      <c r="W234" s="444"/>
    </row>
    <row r="235" spans="9:23" x14ac:dyDescent="0.25">
      <c r="I235" s="444"/>
      <c r="J235" s="444"/>
      <c r="K235" s="444"/>
      <c r="L235" s="444"/>
      <c r="M235" s="444"/>
      <c r="N235" s="444"/>
      <c r="O235" s="444"/>
      <c r="P235" s="444"/>
      <c r="Q235" s="444"/>
      <c r="R235" s="444"/>
      <c r="S235" s="444"/>
      <c r="T235" s="444"/>
      <c r="U235" s="444"/>
      <c r="V235" s="444"/>
      <c r="W235" s="444"/>
    </row>
    <row r="236" spans="9:23" x14ac:dyDescent="0.25">
      <c r="I236" s="444"/>
      <c r="J236" s="444"/>
      <c r="K236" s="444"/>
      <c r="L236" s="444"/>
      <c r="M236" s="444"/>
      <c r="N236" s="444"/>
      <c r="O236" s="444"/>
      <c r="P236" s="444"/>
      <c r="Q236" s="444"/>
      <c r="R236" s="444"/>
      <c r="S236" s="444"/>
      <c r="T236" s="444"/>
      <c r="U236" s="444"/>
      <c r="V236" s="444"/>
      <c r="W236" s="444"/>
    </row>
    <row r="237" spans="9:23" x14ac:dyDescent="0.25">
      <c r="I237" s="444"/>
      <c r="J237" s="444"/>
      <c r="K237" s="444"/>
      <c r="L237" s="444"/>
      <c r="M237" s="444"/>
      <c r="N237" s="444"/>
      <c r="O237" s="444"/>
      <c r="P237" s="444"/>
      <c r="Q237" s="444"/>
      <c r="R237" s="444"/>
      <c r="S237" s="444"/>
      <c r="T237" s="444"/>
      <c r="U237" s="444"/>
      <c r="V237" s="444"/>
      <c r="W237" s="444"/>
    </row>
    <row r="238" spans="9:23" x14ac:dyDescent="0.25">
      <c r="I238" s="444"/>
      <c r="J238" s="444"/>
      <c r="K238" s="444"/>
      <c r="L238" s="444"/>
      <c r="M238" s="444"/>
      <c r="N238" s="444"/>
      <c r="O238" s="444"/>
      <c r="P238" s="444"/>
      <c r="Q238" s="444"/>
      <c r="R238" s="444"/>
      <c r="S238" s="444"/>
      <c r="T238" s="444"/>
      <c r="U238" s="444"/>
      <c r="V238" s="444"/>
      <c r="W238" s="444"/>
    </row>
    <row r="239" spans="9:23" x14ac:dyDescent="0.25">
      <c r="I239" s="444"/>
      <c r="J239" s="444"/>
      <c r="K239" s="444"/>
      <c r="L239" s="444"/>
      <c r="M239" s="444"/>
      <c r="N239" s="444"/>
      <c r="O239" s="444"/>
      <c r="P239" s="444"/>
      <c r="Q239" s="444"/>
      <c r="R239" s="444"/>
      <c r="S239" s="444"/>
      <c r="T239" s="444"/>
      <c r="U239" s="444"/>
      <c r="V239" s="444"/>
      <c r="W239" s="444"/>
    </row>
    <row r="240" spans="9:23" x14ac:dyDescent="0.25">
      <c r="I240" s="444"/>
      <c r="J240" s="444"/>
      <c r="K240" s="444"/>
      <c r="L240" s="444"/>
      <c r="M240" s="444"/>
      <c r="N240" s="444"/>
      <c r="O240" s="444"/>
      <c r="P240" s="444"/>
      <c r="Q240" s="444"/>
      <c r="R240" s="444"/>
      <c r="S240" s="444"/>
      <c r="T240" s="444"/>
      <c r="U240" s="444"/>
      <c r="V240" s="444"/>
      <c r="W240" s="444"/>
    </row>
    <row r="241" spans="9:23" x14ac:dyDescent="0.25">
      <c r="I241" s="444"/>
      <c r="J241" s="444"/>
      <c r="K241" s="444"/>
      <c r="L241" s="444"/>
      <c r="M241" s="444"/>
      <c r="N241" s="444"/>
      <c r="O241" s="444"/>
      <c r="P241" s="444"/>
      <c r="Q241" s="444"/>
      <c r="R241" s="444"/>
      <c r="S241" s="444"/>
      <c r="T241" s="444"/>
      <c r="U241" s="444"/>
      <c r="V241" s="444"/>
      <c r="W241" s="444"/>
    </row>
    <row r="242" spans="9:23" x14ac:dyDescent="0.25">
      <c r="I242" s="444"/>
      <c r="J242" s="444"/>
      <c r="K242" s="444"/>
      <c r="L242" s="444"/>
      <c r="M242" s="444"/>
      <c r="N242" s="444"/>
      <c r="O242" s="444"/>
      <c r="P242" s="444"/>
      <c r="Q242" s="444"/>
      <c r="R242" s="444"/>
      <c r="S242" s="444"/>
      <c r="T242" s="444"/>
      <c r="U242" s="444"/>
      <c r="V242" s="444"/>
      <c r="W242" s="444"/>
    </row>
    <row r="243" spans="9:23" x14ac:dyDescent="0.25">
      <c r="I243" s="444"/>
      <c r="J243" s="444"/>
      <c r="K243" s="444"/>
      <c r="L243" s="444"/>
      <c r="M243" s="444"/>
      <c r="N243" s="444"/>
      <c r="O243" s="444"/>
      <c r="P243" s="444"/>
      <c r="Q243" s="444"/>
      <c r="R243" s="444"/>
      <c r="S243" s="444"/>
      <c r="T243" s="444"/>
      <c r="U243" s="444"/>
      <c r="V243" s="444"/>
      <c r="W243" s="444"/>
    </row>
    <row r="244" spans="9:23" x14ac:dyDescent="0.25">
      <c r="I244" s="444"/>
      <c r="J244" s="444"/>
      <c r="K244" s="444"/>
      <c r="L244" s="444"/>
      <c r="M244" s="444"/>
      <c r="N244" s="444"/>
      <c r="O244" s="444"/>
      <c r="P244" s="444"/>
      <c r="Q244" s="444"/>
      <c r="R244" s="444"/>
      <c r="S244" s="444"/>
      <c r="T244" s="444"/>
      <c r="U244" s="444"/>
      <c r="V244" s="444"/>
      <c r="W244" s="444"/>
    </row>
    <row r="245" spans="9:23" x14ac:dyDescent="0.25">
      <c r="I245" s="444"/>
      <c r="J245" s="444"/>
      <c r="K245" s="444"/>
      <c r="L245" s="444"/>
      <c r="M245" s="444"/>
      <c r="N245" s="444"/>
      <c r="O245" s="444"/>
      <c r="P245" s="444"/>
      <c r="Q245" s="444"/>
      <c r="R245" s="444"/>
      <c r="S245" s="444"/>
      <c r="T245" s="444"/>
      <c r="U245" s="444"/>
      <c r="V245" s="444"/>
      <c r="W245" s="444"/>
    </row>
    <row r="246" spans="9:23" x14ac:dyDescent="0.25">
      <c r="I246" s="444"/>
      <c r="J246" s="444"/>
      <c r="K246" s="444"/>
      <c r="L246" s="444"/>
      <c r="M246" s="444"/>
      <c r="N246" s="444"/>
      <c r="O246" s="444"/>
      <c r="P246" s="444"/>
      <c r="Q246" s="444"/>
      <c r="R246" s="444"/>
      <c r="S246" s="444"/>
      <c r="T246" s="444"/>
      <c r="U246" s="444"/>
      <c r="V246" s="444"/>
      <c r="W246" s="444"/>
    </row>
    <row r="247" spans="9:23" x14ac:dyDescent="0.25">
      <c r="I247" s="444"/>
      <c r="J247" s="444"/>
      <c r="K247" s="444"/>
      <c r="L247" s="444"/>
      <c r="M247" s="444"/>
      <c r="N247" s="444"/>
      <c r="O247" s="444"/>
      <c r="P247" s="444"/>
      <c r="Q247" s="444"/>
      <c r="R247" s="444"/>
      <c r="S247" s="444"/>
      <c r="T247" s="444"/>
      <c r="U247" s="444"/>
      <c r="V247" s="444"/>
      <c r="W247" s="444"/>
    </row>
    <row r="248" spans="9:23" x14ac:dyDescent="0.25">
      <c r="I248" s="444"/>
      <c r="J248" s="444"/>
      <c r="K248" s="444"/>
      <c r="L248" s="444"/>
      <c r="M248" s="444"/>
      <c r="N248" s="444"/>
      <c r="O248" s="444"/>
      <c r="P248" s="444"/>
      <c r="Q248" s="444"/>
      <c r="R248" s="444"/>
      <c r="S248" s="444"/>
      <c r="T248" s="444"/>
      <c r="U248" s="444"/>
      <c r="V248" s="444"/>
      <c r="W248" s="444"/>
    </row>
    <row r="249" spans="9:23" x14ac:dyDescent="0.25">
      <c r="I249" s="444"/>
      <c r="J249" s="444"/>
      <c r="K249" s="444"/>
      <c r="L249" s="444"/>
      <c r="M249" s="444"/>
      <c r="N249" s="444"/>
      <c r="O249" s="444"/>
      <c r="P249" s="444"/>
      <c r="Q249" s="444"/>
      <c r="R249" s="444"/>
      <c r="S249" s="444"/>
      <c r="T249" s="444"/>
      <c r="U249" s="444"/>
      <c r="V249" s="444"/>
      <c r="W249" s="444"/>
    </row>
    <row r="250" spans="9:23" x14ac:dyDescent="0.25">
      <c r="I250" s="444"/>
      <c r="J250" s="444"/>
      <c r="K250" s="444"/>
      <c r="L250" s="444"/>
      <c r="M250" s="444"/>
      <c r="N250" s="444"/>
      <c r="O250" s="444"/>
      <c r="P250" s="444"/>
      <c r="Q250" s="444"/>
      <c r="R250" s="444"/>
      <c r="S250" s="444"/>
      <c r="T250" s="444"/>
      <c r="U250" s="444"/>
      <c r="V250" s="444"/>
      <c r="W250" s="444"/>
    </row>
    <row r="251" spans="9:23" x14ac:dyDescent="0.25">
      <c r="I251" s="444"/>
      <c r="J251" s="444"/>
      <c r="K251" s="444"/>
      <c r="L251" s="444"/>
      <c r="M251" s="444"/>
      <c r="N251" s="444"/>
      <c r="O251" s="444"/>
      <c r="P251" s="444"/>
      <c r="Q251" s="444"/>
      <c r="R251" s="444"/>
      <c r="S251" s="444"/>
      <c r="T251" s="444"/>
      <c r="U251" s="444"/>
      <c r="V251" s="444"/>
      <c r="W251" s="444"/>
    </row>
    <row r="252" spans="9:23" x14ac:dyDescent="0.25">
      <c r="I252" s="444"/>
      <c r="J252" s="444"/>
      <c r="K252" s="444"/>
      <c r="L252" s="444"/>
      <c r="M252" s="444"/>
      <c r="N252" s="444"/>
      <c r="O252" s="444"/>
      <c r="P252" s="444"/>
      <c r="Q252" s="444"/>
      <c r="R252" s="444"/>
      <c r="S252" s="444"/>
      <c r="T252" s="444"/>
      <c r="U252" s="444"/>
      <c r="V252" s="444"/>
      <c r="W252" s="444"/>
    </row>
    <row r="253" spans="9:23" x14ac:dyDescent="0.25">
      <c r="I253" s="444"/>
      <c r="J253" s="444"/>
      <c r="K253" s="444"/>
      <c r="L253" s="444"/>
      <c r="M253" s="444"/>
      <c r="N253" s="444"/>
      <c r="O253" s="444"/>
      <c r="P253" s="444"/>
      <c r="Q253" s="444"/>
      <c r="R253" s="444"/>
      <c r="S253" s="444"/>
      <c r="T253" s="444"/>
      <c r="U253" s="444"/>
      <c r="V253" s="444"/>
      <c r="W253" s="444"/>
    </row>
    <row r="254" spans="9:23" x14ac:dyDescent="0.25">
      <c r="I254" s="444"/>
      <c r="J254" s="444"/>
      <c r="K254" s="444"/>
      <c r="L254" s="444"/>
      <c r="M254" s="444"/>
      <c r="N254" s="444"/>
      <c r="O254" s="444"/>
      <c r="P254" s="444"/>
      <c r="Q254" s="444"/>
      <c r="R254" s="444"/>
      <c r="S254" s="444"/>
      <c r="T254" s="444"/>
      <c r="U254" s="444"/>
      <c r="V254" s="444"/>
      <c r="W254" s="444"/>
    </row>
    <row r="255" spans="9:23" x14ac:dyDescent="0.25">
      <c r="I255" s="444"/>
      <c r="J255" s="444"/>
      <c r="K255" s="444"/>
      <c r="L255" s="444"/>
      <c r="M255" s="444"/>
      <c r="N255" s="444"/>
      <c r="O255" s="444"/>
      <c r="P255" s="444"/>
      <c r="Q255" s="444"/>
      <c r="R255" s="444"/>
      <c r="S255" s="444"/>
      <c r="T255" s="444"/>
      <c r="U255" s="444"/>
      <c r="V255" s="444"/>
      <c r="W255" s="444"/>
    </row>
    <row r="256" spans="9:23" x14ac:dyDescent="0.25">
      <c r="I256" s="444"/>
      <c r="J256" s="444"/>
      <c r="K256" s="444"/>
      <c r="L256" s="444"/>
      <c r="M256" s="444"/>
      <c r="N256" s="444"/>
      <c r="O256" s="444"/>
      <c r="P256" s="444"/>
      <c r="Q256" s="444"/>
      <c r="R256" s="444"/>
      <c r="S256" s="444"/>
      <c r="T256" s="444"/>
      <c r="U256" s="444"/>
      <c r="V256" s="444"/>
      <c r="W256" s="444"/>
    </row>
    <row r="257" spans="9:23" x14ac:dyDescent="0.25">
      <c r="I257" s="444"/>
      <c r="J257" s="444"/>
      <c r="K257" s="444"/>
      <c r="L257" s="444"/>
      <c r="M257" s="444"/>
      <c r="N257" s="444"/>
      <c r="O257" s="444"/>
      <c r="P257" s="444"/>
      <c r="Q257" s="444"/>
      <c r="R257" s="444"/>
      <c r="S257" s="444"/>
      <c r="T257" s="444"/>
      <c r="U257" s="444"/>
      <c r="V257" s="444"/>
      <c r="W257" s="444"/>
    </row>
    <row r="258" spans="9:23" x14ac:dyDescent="0.25">
      <c r="I258" s="444"/>
      <c r="J258" s="444"/>
      <c r="K258" s="444"/>
      <c r="L258" s="444"/>
      <c r="M258" s="444"/>
      <c r="N258" s="444"/>
      <c r="O258" s="444"/>
      <c r="P258" s="444"/>
      <c r="Q258" s="444"/>
      <c r="R258" s="444"/>
      <c r="S258" s="444"/>
      <c r="T258" s="444"/>
      <c r="U258" s="444"/>
      <c r="V258" s="444"/>
      <c r="W258" s="444"/>
    </row>
    <row r="259" spans="9:23" x14ac:dyDescent="0.25">
      <c r="I259" s="444"/>
      <c r="J259" s="444"/>
      <c r="K259" s="444"/>
      <c r="L259" s="444"/>
      <c r="M259" s="444"/>
      <c r="N259" s="444"/>
      <c r="O259" s="444"/>
      <c r="P259" s="444"/>
      <c r="Q259" s="444"/>
      <c r="R259" s="444"/>
      <c r="S259" s="444"/>
      <c r="T259" s="444"/>
      <c r="U259" s="444"/>
      <c r="V259" s="444"/>
      <c r="W259" s="444"/>
    </row>
    <row r="260" spans="9:23" x14ac:dyDescent="0.25">
      <c r="I260" s="444"/>
      <c r="J260" s="444"/>
      <c r="K260" s="444"/>
      <c r="L260" s="444"/>
      <c r="M260" s="444"/>
      <c r="N260" s="444"/>
      <c r="O260" s="444"/>
      <c r="P260" s="444"/>
      <c r="Q260" s="444"/>
      <c r="R260" s="444"/>
      <c r="S260" s="444"/>
      <c r="T260" s="444"/>
      <c r="U260" s="444"/>
      <c r="V260" s="444"/>
      <c r="W260" s="444"/>
    </row>
    <row r="261" spans="9:23" x14ac:dyDescent="0.25">
      <c r="I261" s="444"/>
      <c r="J261" s="444"/>
      <c r="K261" s="444"/>
      <c r="L261" s="444"/>
      <c r="M261" s="444"/>
      <c r="N261" s="444"/>
      <c r="O261" s="444"/>
      <c r="P261" s="444"/>
      <c r="Q261" s="444"/>
      <c r="R261" s="444"/>
      <c r="S261" s="444"/>
      <c r="T261" s="444"/>
      <c r="U261" s="444"/>
      <c r="V261" s="444"/>
      <c r="W261" s="444"/>
    </row>
    <row r="262" spans="9:23" x14ac:dyDescent="0.25">
      <c r="I262" s="444"/>
      <c r="J262" s="444"/>
      <c r="K262" s="444"/>
      <c r="L262" s="444"/>
      <c r="M262" s="444"/>
      <c r="N262" s="444"/>
      <c r="O262" s="444"/>
      <c r="P262" s="444"/>
      <c r="Q262" s="444"/>
      <c r="R262" s="444"/>
      <c r="S262" s="444"/>
      <c r="T262" s="444"/>
      <c r="U262" s="444"/>
      <c r="V262" s="444"/>
      <c r="W262" s="444"/>
    </row>
    <row r="263" spans="9:23" x14ac:dyDescent="0.25">
      <c r="I263" s="444"/>
      <c r="J263" s="444"/>
      <c r="K263" s="444"/>
      <c r="L263" s="444"/>
      <c r="M263" s="444"/>
      <c r="N263" s="444"/>
      <c r="O263" s="444"/>
      <c r="P263" s="444"/>
      <c r="Q263" s="444"/>
      <c r="R263" s="444"/>
      <c r="S263" s="444"/>
      <c r="T263" s="444"/>
      <c r="U263" s="444"/>
      <c r="V263" s="444"/>
      <c r="W263" s="444"/>
    </row>
    <row r="264" spans="9:23" x14ac:dyDescent="0.25">
      <c r="I264" s="444"/>
      <c r="J264" s="444"/>
      <c r="K264" s="444"/>
      <c r="L264" s="444"/>
      <c r="M264" s="444"/>
      <c r="N264" s="444"/>
      <c r="O264" s="444"/>
      <c r="P264" s="444"/>
      <c r="Q264" s="444"/>
      <c r="R264" s="444"/>
      <c r="S264" s="444"/>
      <c r="T264" s="444"/>
      <c r="U264" s="444"/>
      <c r="V264" s="444"/>
      <c r="W264" s="444"/>
    </row>
    <row r="265" spans="9:23" x14ac:dyDescent="0.25">
      <c r="I265" s="444"/>
      <c r="J265" s="444"/>
      <c r="K265" s="444"/>
      <c r="L265" s="444"/>
      <c r="M265" s="444"/>
      <c r="N265" s="444"/>
      <c r="O265" s="444"/>
      <c r="P265" s="444"/>
      <c r="Q265" s="444"/>
      <c r="R265" s="444"/>
      <c r="S265" s="444"/>
      <c r="T265" s="444"/>
      <c r="U265" s="444"/>
      <c r="V265" s="444"/>
      <c r="W265" s="444"/>
    </row>
    <row r="266" spans="9:23" x14ac:dyDescent="0.25">
      <c r="I266" s="444"/>
      <c r="J266" s="444"/>
      <c r="K266" s="444"/>
      <c r="L266" s="444"/>
      <c r="M266" s="444"/>
      <c r="N266" s="444"/>
      <c r="O266" s="444"/>
      <c r="P266" s="444"/>
      <c r="Q266" s="444"/>
      <c r="R266" s="444"/>
      <c r="S266" s="444"/>
      <c r="T266" s="444"/>
      <c r="U266" s="444"/>
      <c r="V266" s="444"/>
      <c r="W266" s="444"/>
    </row>
    <row r="267" spans="9:23" x14ac:dyDescent="0.25">
      <c r="I267" s="444"/>
      <c r="J267" s="444"/>
      <c r="K267" s="444"/>
      <c r="L267" s="444"/>
      <c r="M267" s="444"/>
      <c r="N267" s="444"/>
      <c r="O267" s="444"/>
      <c r="P267" s="444"/>
      <c r="Q267" s="444"/>
      <c r="R267" s="444"/>
      <c r="S267" s="444"/>
      <c r="T267" s="444"/>
      <c r="U267" s="444"/>
      <c r="V267" s="444"/>
      <c r="W267" s="444"/>
    </row>
    <row r="268" spans="9:23" x14ac:dyDescent="0.25">
      <c r="I268" s="444"/>
      <c r="J268" s="444"/>
      <c r="K268" s="444"/>
      <c r="L268" s="444"/>
      <c r="M268" s="444"/>
      <c r="N268" s="444"/>
      <c r="O268" s="444"/>
      <c r="P268" s="444"/>
      <c r="Q268" s="444"/>
      <c r="R268" s="444"/>
      <c r="S268" s="444"/>
      <c r="T268" s="444"/>
      <c r="U268" s="444"/>
      <c r="V268" s="444"/>
      <c r="W268" s="444"/>
    </row>
    <row r="269" spans="9:23" x14ac:dyDescent="0.25">
      <c r="I269" s="444"/>
      <c r="J269" s="444"/>
      <c r="K269" s="444"/>
      <c r="L269" s="444"/>
      <c r="M269" s="444"/>
      <c r="N269" s="444"/>
      <c r="O269" s="444"/>
      <c r="P269" s="444"/>
      <c r="Q269" s="444"/>
      <c r="R269" s="444"/>
      <c r="S269" s="444"/>
      <c r="T269" s="444"/>
      <c r="U269" s="444"/>
      <c r="V269" s="444"/>
      <c r="W269" s="444"/>
    </row>
    <row r="270" spans="9:23" x14ac:dyDescent="0.25">
      <c r="I270" s="444"/>
      <c r="J270" s="444"/>
      <c r="K270" s="444"/>
      <c r="L270" s="444"/>
      <c r="M270" s="444"/>
      <c r="N270" s="444"/>
      <c r="O270" s="444"/>
      <c r="P270" s="444"/>
      <c r="Q270" s="444"/>
      <c r="R270" s="444"/>
      <c r="S270" s="444"/>
      <c r="T270" s="444"/>
      <c r="U270" s="444"/>
      <c r="V270" s="444"/>
      <c r="W270" s="444"/>
    </row>
    <row r="271" spans="9:23" x14ac:dyDescent="0.25">
      <c r="I271" s="444"/>
      <c r="J271" s="444"/>
      <c r="K271" s="444"/>
      <c r="L271" s="444"/>
      <c r="M271" s="444"/>
      <c r="N271" s="444"/>
      <c r="O271" s="444"/>
      <c r="P271" s="444"/>
      <c r="Q271" s="444"/>
      <c r="R271" s="444"/>
      <c r="S271" s="444"/>
      <c r="T271" s="444"/>
      <c r="U271" s="444"/>
      <c r="V271" s="444"/>
      <c r="W271" s="444"/>
    </row>
    <row r="272" spans="9:23" x14ac:dyDescent="0.25">
      <c r="I272" s="444"/>
      <c r="J272" s="444"/>
      <c r="K272" s="444"/>
      <c r="L272" s="444"/>
      <c r="M272" s="444"/>
      <c r="N272" s="444"/>
      <c r="O272" s="444"/>
      <c r="P272" s="444"/>
      <c r="Q272" s="444"/>
      <c r="R272" s="444"/>
      <c r="S272" s="444"/>
      <c r="T272" s="444"/>
      <c r="U272" s="444"/>
      <c r="V272" s="444"/>
      <c r="W272" s="444"/>
    </row>
    <row r="273" spans="9:23" x14ac:dyDescent="0.25">
      <c r="I273" s="444"/>
      <c r="J273" s="444"/>
      <c r="K273" s="444"/>
      <c r="L273" s="444"/>
      <c r="M273" s="444"/>
      <c r="N273" s="444"/>
      <c r="O273" s="444"/>
      <c r="P273" s="444"/>
      <c r="Q273" s="444"/>
      <c r="R273" s="444"/>
      <c r="S273" s="444"/>
      <c r="T273" s="444"/>
      <c r="U273" s="444"/>
      <c r="V273" s="444"/>
      <c r="W273" s="444"/>
    </row>
    <row r="274" spans="9:23" x14ac:dyDescent="0.25">
      <c r="I274" s="444"/>
      <c r="J274" s="444"/>
      <c r="K274" s="444"/>
      <c r="L274" s="444"/>
      <c r="M274" s="444"/>
      <c r="N274" s="444"/>
      <c r="O274" s="444"/>
      <c r="P274" s="444"/>
      <c r="Q274" s="444"/>
      <c r="R274" s="444"/>
      <c r="S274" s="444"/>
      <c r="T274" s="444"/>
      <c r="U274" s="444"/>
      <c r="V274" s="444"/>
      <c r="W274" s="444"/>
    </row>
    <row r="275" spans="9:23" x14ac:dyDescent="0.25">
      <c r="I275" s="444"/>
      <c r="J275" s="444"/>
      <c r="K275" s="444"/>
      <c r="L275" s="444"/>
      <c r="M275" s="444"/>
      <c r="N275" s="444"/>
      <c r="O275" s="444"/>
      <c r="P275" s="444"/>
      <c r="Q275" s="444"/>
      <c r="R275" s="444"/>
      <c r="S275" s="444"/>
      <c r="T275" s="444"/>
      <c r="U275" s="444"/>
      <c r="V275" s="444"/>
      <c r="W275" s="444"/>
    </row>
    <row r="276" spans="9:23" x14ac:dyDescent="0.25">
      <c r="I276" s="444"/>
      <c r="J276" s="444"/>
      <c r="K276" s="444"/>
      <c r="L276" s="444"/>
      <c r="M276" s="444"/>
      <c r="N276" s="444"/>
      <c r="O276" s="444"/>
      <c r="P276" s="444"/>
      <c r="Q276" s="444"/>
      <c r="R276" s="444"/>
      <c r="S276" s="444"/>
      <c r="T276" s="444"/>
      <c r="U276" s="444"/>
      <c r="V276" s="444"/>
      <c r="W276" s="444"/>
    </row>
    <row r="277" spans="9:23" x14ac:dyDescent="0.25">
      <c r="I277" s="444"/>
      <c r="J277" s="444"/>
      <c r="K277" s="444"/>
      <c r="L277" s="444"/>
      <c r="M277" s="444"/>
      <c r="N277" s="444"/>
      <c r="O277" s="444"/>
      <c r="P277" s="444"/>
      <c r="Q277" s="444"/>
      <c r="R277" s="444"/>
      <c r="S277" s="444"/>
      <c r="T277" s="444"/>
      <c r="U277" s="444"/>
      <c r="V277" s="444"/>
      <c r="W277" s="444"/>
    </row>
    <row r="278" spans="9:23" x14ac:dyDescent="0.25">
      <c r="I278" s="444"/>
      <c r="J278" s="444"/>
      <c r="K278" s="444"/>
      <c r="L278" s="444"/>
      <c r="M278" s="444"/>
      <c r="N278" s="444"/>
      <c r="O278" s="444"/>
      <c r="P278" s="444"/>
      <c r="Q278" s="444"/>
      <c r="R278" s="444"/>
      <c r="S278" s="444"/>
      <c r="T278" s="444"/>
      <c r="U278" s="444"/>
      <c r="V278" s="444"/>
      <c r="W278" s="444"/>
    </row>
    <row r="279" spans="9:23" x14ac:dyDescent="0.25">
      <c r="I279" s="444"/>
      <c r="J279" s="444"/>
      <c r="K279" s="444"/>
      <c r="L279" s="444"/>
      <c r="M279" s="444"/>
      <c r="N279" s="444"/>
      <c r="O279" s="444"/>
      <c r="P279" s="444"/>
      <c r="Q279" s="444"/>
      <c r="R279" s="444"/>
      <c r="S279" s="444"/>
      <c r="T279" s="444"/>
      <c r="U279" s="444"/>
      <c r="V279" s="444"/>
      <c r="W279" s="444"/>
    </row>
    <row r="280" spans="9:23" x14ac:dyDescent="0.25">
      <c r="I280" s="444"/>
      <c r="J280" s="444"/>
      <c r="K280" s="444"/>
      <c r="L280" s="444"/>
      <c r="M280" s="444"/>
      <c r="N280" s="444"/>
      <c r="O280" s="444"/>
      <c r="P280" s="444"/>
      <c r="Q280" s="444"/>
      <c r="R280" s="444"/>
      <c r="S280" s="444"/>
      <c r="T280" s="444"/>
      <c r="U280" s="444"/>
      <c r="V280" s="444"/>
      <c r="W280" s="444"/>
    </row>
    <row r="281" spans="9:23" x14ac:dyDescent="0.25">
      <c r="I281" s="444"/>
      <c r="J281" s="444"/>
      <c r="K281" s="444"/>
      <c r="L281" s="444"/>
      <c r="M281" s="444"/>
      <c r="N281" s="444"/>
      <c r="O281" s="444"/>
      <c r="P281" s="444"/>
      <c r="Q281" s="444"/>
      <c r="R281" s="444"/>
      <c r="S281" s="444"/>
      <c r="T281" s="444"/>
      <c r="U281" s="444"/>
      <c r="V281" s="444"/>
      <c r="W281" s="444"/>
    </row>
    <row r="282" spans="9:23" x14ac:dyDescent="0.25">
      <c r="I282" s="444"/>
      <c r="J282" s="444"/>
      <c r="K282" s="444"/>
      <c r="L282" s="444"/>
      <c r="M282" s="444"/>
      <c r="N282" s="444"/>
      <c r="O282" s="444"/>
      <c r="P282" s="444"/>
      <c r="Q282" s="444"/>
      <c r="R282" s="444"/>
      <c r="S282" s="444"/>
      <c r="T282" s="444"/>
      <c r="U282" s="444"/>
      <c r="V282" s="444"/>
      <c r="W282" s="444"/>
    </row>
    <row r="283" spans="9:23" x14ac:dyDescent="0.25">
      <c r="I283" s="444"/>
      <c r="J283" s="444"/>
      <c r="K283" s="444"/>
      <c r="L283" s="444"/>
      <c r="M283" s="444"/>
      <c r="N283" s="444"/>
      <c r="O283" s="444"/>
      <c r="P283" s="444"/>
      <c r="Q283" s="444"/>
      <c r="R283" s="444"/>
      <c r="S283" s="444"/>
      <c r="T283" s="444"/>
      <c r="U283" s="444"/>
      <c r="V283" s="444"/>
      <c r="W283" s="444"/>
    </row>
    <row r="284" spans="9:23" x14ac:dyDescent="0.25">
      <c r="I284" s="444"/>
      <c r="J284" s="444"/>
      <c r="K284" s="444"/>
      <c r="L284" s="444"/>
      <c r="M284" s="444"/>
      <c r="N284" s="444"/>
      <c r="O284" s="444"/>
      <c r="P284" s="444"/>
      <c r="Q284" s="444"/>
      <c r="R284" s="444"/>
      <c r="S284" s="444"/>
      <c r="T284" s="444"/>
      <c r="U284" s="444"/>
      <c r="V284" s="444"/>
      <c r="W284" s="444"/>
    </row>
    <row r="285" spans="9:23" x14ac:dyDescent="0.25">
      <c r="I285" s="444"/>
      <c r="J285" s="444"/>
      <c r="K285" s="444"/>
      <c r="L285" s="444"/>
      <c r="M285" s="444"/>
      <c r="N285" s="444"/>
      <c r="O285" s="444"/>
      <c r="P285" s="444"/>
      <c r="Q285" s="444"/>
      <c r="R285" s="444"/>
      <c r="S285" s="444"/>
      <c r="T285" s="444"/>
      <c r="U285" s="444"/>
      <c r="V285" s="444"/>
      <c r="W285" s="444"/>
    </row>
    <row r="286" spans="9:23" x14ac:dyDescent="0.25">
      <c r="I286" s="444"/>
      <c r="J286" s="444"/>
      <c r="K286" s="444"/>
      <c r="L286" s="444"/>
      <c r="M286" s="444"/>
      <c r="N286" s="444"/>
      <c r="O286" s="444"/>
      <c r="P286" s="444"/>
      <c r="Q286" s="444"/>
      <c r="R286" s="444"/>
      <c r="S286" s="444"/>
      <c r="T286" s="444"/>
      <c r="U286" s="444"/>
      <c r="V286" s="444"/>
      <c r="W286" s="444"/>
    </row>
    <row r="287" spans="9:23" x14ac:dyDescent="0.25">
      <c r="I287" s="444"/>
      <c r="J287" s="444"/>
      <c r="K287" s="444"/>
      <c r="L287" s="444"/>
      <c r="M287" s="444"/>
      <c r="N287" s="444"/>
      <c r="O287" s="444"/>
      <c r="P287" s="444"/>
      <c r="Q287" s="444"/>
      <c r="R287" s="444"/>
      <c r="S287" s="444"/>
      <c r="T287" s="444"/>
      <c r="U287" s="444"/>
      <c r="V287" s="444"/>
      <c r="W287" s="444"/>
    </row>
    <row r="288" spans="9:23" x14ac:dyDescent="0.25">
      <c r="I288" s="444"/>
      <c r="J288" s="444"/>
      <c r="K288" s="444"/>
      <c r="L288" s="444"/>
      <c r="M288" s="444"/>
      <c r="N288" s="444"/>
      <c r="O288" s="444"/>
      <c r="P288" s="444"/>
      <c r="Q288" s="444"/>
      <c r="R288" s="444"/>
      <c r="S288" s="444"/>
      <c r="T288" s="444"/>
      <c r="U288" s="444"/>
      <c r="V288" s="444"/>
      <c r="W288" s="444"/>
    </row>
    <row r="289" spans="9:23" x14ac:dyDescent="0.25">
      <c r="I289" s="444"/>
      <c r="J289" s="444"/>
      <c r="K289" s="444"/>
      <c r="L289" s="444"/>
      <c r="M289" s="444"/>
      <c r="N289" s="444"/>
      <c r="O289" s="444"/>
      <c r="P289" s="444"/>
      <c r="Q289" s="444"/>
      <c r="R289" s="444"/>
      <c r="S289" s="444"/>
      <c r="T289" s="444"/>
      <c r="U289" s="444"/>
      <c r="V289" s="444"/>
      <c r="W289" s="444"/>
    </row>
    <row r="290" spans="9:23" x14ac:dyDescent="0.25">
      <c r="I290" s="444"/>
      <c r="J290" s="444"/>
      <c r="K290" s="444"/>
      <c r="L290" s="444"/>
      <c r="M290" s="444"/>
      <c r="N290" s="444"/>
      <c r="O290" s="444"/>
      <c r="P290" s="444"/>
      <c r="Q290" s="444"/>
      <c r="R290" s="444"/>
      <c r="S290" s="444"/>
      <c r="T290" s="444"/>
      <c r="U290" s="444"/>
      <c r="V290" s="444"/>
      <c r="W290" s="444"/>
    </row>
    <row r="291" spans="9:23" x14ac:dyDescent="0.25">
      <c r="I291" s="444"/>
      <c r="J291" s="444"/>
      <c r="K291" s="444"/>
      <c r="L291" s="444"/>
      <c r="M291" s="444"/>
      <c r="N291" s="444"/>
      <c r="O291" s="444"/>
      <c r="P291" s="444"/>
      <c r="Q291" s="444"/>
      <c r="R291" s="444"/>
      <c r="S291" s="444"/>
      <c r="T291" s="444"/>
      <c r="U291" s="444"/>
      <c r="V291" s="444"/>
      <c r="W291" s="444"/>
    </row>
    <row r="292" spans="9:23" x14ac:dyDescent="0.25">
      <c r="I292" s="444"/>
      <c r="J292" s="444"/>
      <c r="K292" s="444"/>
      <c r="L292" s="444"/>
      <c r="M292" s="444"/>
      <c r="N292" s="444"/>
      <c r="O292" s="444"/>
      <c r="P292" s="444"/>
      <c r="Q292" s="444"/>
      <c r="R292" s="444"/>
      <c r="S292" s="444"/>
      <c r="T292" s="444"/>
      <c r="U292" s="444"/>
      <c r="V292" s="444"/>
      <c r="W292" s="444"/>
    </row>
    <row r="293" spans="9:23" x14ac:dyDescent="0.25">
      <c r="I293" s="444"/>
      <c r="J293" s="444"/>
      <c r="K293" s="444"/>
      <c r="L293" s="444"/>
      <c r="M293" s="444"/>
      <c r="N293" s="444"/>
      <c r="O293" s="444"/>
      <c r="P293" s="444"/>
      <c r="Q293" s="444"/>
      <c r="R293" s="444"/>
      <c r="S293" s="444"/>
      <c r="T293" s="444"/>
      <c r="U293" s="444"/>
      <c r="V293" s="444"/>
      <c r="W293" s="444"/>
    </row>
    <row r="294" spans="9:23" x14ac:dyDescent="0.25">
      <c r="I294" s="444"/>
      <c r="J294" s="444"/>
      <c r="K294" s="444"/>
      <c r="L294" s="444"/>
      <c r="M294" s="444"/>
      <c r="N294" s="444"/>
      <c r="O294" s="444"/>
      <c r="P294" s="444"/>
      <c r="Q294" s="444"/>
      <c r="R294" s="444"/>
      <c r="S294" s="444"/>
      <c r="T294" s="444"/>
      <c r="U294" s="444"/>
      <c r="V294" s="444"/>
      <c r="W294" s="444"/>
    </row>
    <row r="295" spans="9:23" x14ac:dyDescent="0.25">
      <c r="I295" s="444"/>
      <c r="J295" s="444"/>
      <c r="K295" s="444"/>
      <c r="L295" s="444"/>
      <c r="M295" s="444"/>
      <c r="N295" s="444"/>
      <c r="O295" s="444"/>
      <c r="P295" s="444"/>
      <c r="Q295" s="444"/>
      <c r="R295" s="444"/>
      <c r="S295" s="444"/>
      <c r="T295" s="444"/>
      <c r="U295" s="444"/>
      <c r="V295" s="444"/>
      <c r="W295" s="444"/>
    </row>
    <row r="296" spans="9:23" x14ac:dyDescent="0.25">
      <c r="I296" s="444"/>
      <c r="J296" s="444"/>
      <c r="K296" s="444"/>
      <c r="L296" s="444"/>
      <c r="M296" s="444"/>
      <c r="N296" s="444"/>
      <c r="O296" s="444"/>
      <c r="P296" s="444"/>
      <c r="Q296" s="444"/>
      <c r="R296" s="444"/>
      <c r="S296" s="444"/>
      <c r="T296" s="444"/>
      <c r="U296" s="444"/>
      <c r="V296" s="444"/>
      <c r="W296" s="444"/>
    </row>
    <row r="297" spans="9:23" x14ac:dyDescent="0.25"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</row>
    <row r="298" spans="9:23" x14ac:dyDescent="0.25">
      <c r="I298" s="444"/>
      <c r="J298" s="444"/>
      <c r="K298" s="444"/>
      <c r="L298" s="444"/>
      <c r="M298" s="444"/>
      <c r="N298" s="444"/>
      <c r="O298" s="444"/>
      <c r="P298" s="444"/>
      <c r="Q298" s="444"/>
      <c r="R298" s="444"/>
      <c r="S298" s="444"/>
      <c r="T298" s="444"/>
      <c r="U298" s="444"/>
      <c r="V298" s="444"/>
      <c r="W298" s="444"/>
    </row>
    <row r="299" spans="9:23" x14ac:dyDescent="0.25">
      <c r="I299" s="444"/>
      <c r="J299" s="444"/>
      <c r="K299" s="444"/>
      <c r="L299" s="444"/>
      <c r="M299" s="444"/>
      <c r="N299" s="444"/>
      <c r="O299" s="444"/>
      <c r="P299" s="444"/>
      <c r="Q299" s="444"/>
      <c r="R299" s="444"/>
      <c r="S299" s="444"/>
      <c r="T299" s="444"/>
      <c r="U299" s="444"/>
      <c r="V299" s="444"/>
      <c r="W299" s="444"/>
    </row>
    <row r="300" spans="9:23" x14ac:dyDescent="0.25">
      <c r="I300" s="444"/>
      <c r="J300" s="444"/>
      <c r="K300" s="444"/>
      <c r="L300" s="444"/>
      <c r="M300" s="444"/>
      <c r="N300" s="444"/>
      <c r="O300" s="444"/>
      <c r="P300" s="444"/>
      <c r="Q300" s="444"/>
      <c r="R300" s="444"/>
      <c r="S300" s="444"/>
      <c r="T300" s="444"/>
      <c r="U300" s="444"/>
      <c r="V300" s="444"/>
      <c r="W300" s="444"/>
    </row>
    <row r="301" spans="9:23" x14ac:dyDescent="0.25">
      <c r="I301" s="444"/>
      <c r="J301" s="444"/>
      <c r="K301" s="444"/>
      <c r="L301" s="444"/>
      <c r="M301" s="444"/>
      <c r="N301" s="444"/>
      <c r="O301" s="444"/>
      <c r="P301" s="444"/>
      <c r="Q301" s="444"/>
      <c r="R301" s="444"/>
      <c r="S301" s="444"/>
      <c r="T301" s="444"/>
      <c r="U301" s="444"/>
      <c r="V301" s="444"/>
      <c r="W301" s="444"/>
    </row>
    <row r="302" spans="9:23" x14ac:dyDescent="0.25">
      <c r="I302" s="444"/>
      <c r="J302" s="444"/>
      <c r="K302" s="444"/>
      <c r="L302" s="444"/>
      <c r="M302" s="444"/>
      <c r="N302" s="444"/>
      <c r="O302" s="444"/>
      <c r="P302" s="444"/>
      <c r="Q302" s="444"/>
      <c r="R302" s="444"/>
      <c r="S302" s="444"/>
      <c r="T302" s="444"/>
      <c r="U302" s="444"/>
      <c r="V302" s="444"/>
      <c r="W302" s="444"/>
    </row>
    <row r="303" spans="9:23" x14ac:dyDescent="0.25">
      <c r="I303" s="444"/>
      <c r="J303" s="444"/>
      <c r="K303" s="444"/>
      <c r="L303" s="444"/>
      <c r="M303" s="444"/>
      <c r="N303" s="444"/>
      <c r="O303" s="444"/>
      <c r="P303" s="444"/>
      <c r="Q303" s="444"/>
      <c r="R303" s="444"/>
      <c r="S303" s="444"/>
      <c r="T303" s="444"/>
      <c r="U303" s="444"/>
      <c r="V303" s="444"/>
      <c r="W303" s="444"/>
    </row>
    <row r="304" spans="9:23" x14ac:dyDescent="0.25">
      <c r="I304" s="444"/>
      <c r="J304" s="444"/>
      <c r="K304" s="444"/>
      <c r="L304" s="444"/>
      <c r="M304" s="444"/>
      <c r="N304" s="444"/>
      <c r="O304" s="444"/>
      <c r="P304" s="444"/>
      <c r="Q304" s="444"/>
      <c r="R304" s="444"/>
      <c r="S304" s="444"/>
      <c r="T304" s="444"/>
      <c r="U304" s="444"/>
      <c r="V304" s="444"/>
      <c r="W304" s="444"/>
    </row>
    <row r="305" spans="9:23" x14ac:dyDescent="0.25">
      <c r="I305" s="444"/>
      <c r="J305" s="444"/>
      <c r="K305" s="444"/>
      <c r="L305" s="444"/>
      <c r="M305" s="444"/>
      <c r="N305" s="444"/>
      <c r="O305" s="444"/>
      <c r="P305" s="444"/>
      <c r="Q305" s="444"/>
      <c r="R305" s="444"/>
      <c r="S305" s="444"/>
      <c r="T305" s="444"/>
      <c r="U305" s="444"/>
      <c r="V305" s="444"/>
      <c r="W305" s="444"/>
    </row>
    <row r="306" spans="9:23" x14ac:dyDescent="0.25">
      <c r="I306" s="444"/>
      <c r="J306" s="444"/>
      <c r="K306" s="444"/>
      <c r="L306" s="444"/>
      <c r="M306" s="444"/>
      <c r="N306" s="444"/>
      <c r="O306" s="444"/>
      <c r="P306" s="444"/>
      <c r="Q306" s="444"/>
      <c r="R306" s="444"/>
      <c r="S306" s="444"/>
      <c r="T306" s="444"/>
      <c r="U306" s="444"/>
      <c r="V306" s="444"/>
      <c r="W306" s="444"/>
    </row>
    <row r="307" spans="9:23" x14ac:dyDescent="0.25">
      <c r="I307" s="444"/>
      <c r="J307" s="444"/>
      <c r="K307" s="444"/>
      <c r="L307" s="444"/>
      <c r="M307" s="444"/>
      <c r="N307" s="444"/>
      <c r="O307" s="444"/>
      <c r="P307" s="444"/>
      <c r="Q307" s="444"/>
      <c r="R307" s="444"/>
      <c r="S307" s="444"/>
      <c r="T307" s="444"/>
      <c r="U307" s="444"/>
      <c r="V307" s="444"/>
      <c r="W307" s="444"/>
    </row>
    <row r="308" spans="9:23" x14ac:dyDescent="0.25">
      <c r="I308" s="444"/>
      <c r="J308" s="444"/>
      <c r="K308" s="444"/>
      <c r="L308" s="444"/>
      <c r="M308" s="444"/>
      <c r="N308" s="444"/>
      <c r="O308" s="444"/>
      <c r="P308" s="444"/>
      <c r="Q308" s="444"/>
      <c r="R308" s="444"/>
      <c r="S308" s="444"/>
      <c r="T308" s="444"/>
      <c r="U308" s="444"/>
      <c r="V308" s="444"/>
      <c r="W308" s="444"/>
    </row>
    <row r="309" spans="9:23" x14ac:dyDescent="0.25">
      <c r="I309" s="444"/>
      <c r="J309" s="444"/>
      <c r="K309" s="444"/>
      <c r="L309" s="444"/>
      <c r="M309" s="444"/>
      <c r="N309" s="444"/>
      <c r="O309" s="444"/>
      <c r="P309" s="444"/>
      <c r="Q309" s="444"/>
      <c r="R309" s="444"/>
      <c r="S309" s="444"/>
      <c r="T309" s="444"/>
      <c r="U309" s="444"/>
      <c r="V309" s="444"/>
      <c r="W309" s="444"/>
    </row>
    <row r="310" spans="9:23" x14ac:dyDescent="0.25">
      <c r="I310" s="444"/>
      <c r="J310" s="444"/>
      <c r="K310" s="444"/>
      <c r="L310" s="444"/>
      <c r="M310" s="444"/>
      <c r="N310" s="444"/>
      <c r="O310" s="444"/>
      <c r="P310" s="444"/>
      <c r="Q310" s="444"/>
      <c r="R310" s="444"/>
      <c r="S310" s="444"/>
      <c r="T310" s="444"/>
      <c r="U310" s="444"/>
      <c r="V310" s="444"/>
      <c r="W310" s="444"/>
    </row>
    <row r="311" spans="9:23" x14ac:dyDescent="0.25">
      <c r="I311" s="444"/>
      <c r="J311" s="444"/>
      <c r="K311" s="444"/>
      <c r="L311" s="444"/>
      <c r="M311" s="444"/>
      <c r="N311" s="444"/>
      <c r="O311" s="444"/>
      <c r="P311" s="444"/>
      <c r="Q311" s="444"/>
      <c r="R311" s="444"/>
      <c r="S311" s="444"/>
      <c r="T311" s="444"/>
      <c r="U311" s="444"/>
      <c r="V311" s="444"/>
      <c r="W311" s="444"/>
    </row>
    <row r="312" spans="9:23" x14ac:dyDescent="0.25">
      <c r="I312" s="444"/>
      <c r="J312" s="444"/>
      <c r="K312" s="444"/>
      <c r="L312" s="444"/>
      <c r="M312" s="444"/>
      <c r="N312" s="444"/>
      <c r="O312" s="444"/>
      <c r="P312" s="444"/>
      <c r="Q312" s="444"/>
      <c r="R312" s="444"/>
      <c r="S312" s="444"/>
      <c r="T312" s="444"/>
      <c r="U312" s="444"/>
      <c r="V312" s="444"/>
      <c r="W312" s="444"/>
    </row>
    <row r="313" spans="9:23" x14ac:dyDescent="0.25">
      <c r="I313" s="444"/>
      <c r="J313" s="444"/>
      <c r="K313" s="444"/>
      <c r="L313" s="444"/>
      <c r="M313" s="444"/>
      <c r="N313" s="444"/>
      <c r="O313" s="444"/>
      <c r="P313" s="444"/>
      <c r="Q313" s="444"/>
      <c r="R313" s="444"/>
      <c r="S313" s="444"/>
      <c r="T313" s="444"/>
      <c r="U313" s="444"/>
      <c r="V313" s="444"/>
      <c r="W313" s="444"/>
    </row>
    <row r="314" spans="9:23" x14ac:dyDescent="0.25">
      <c r="I314" s="444"/>
      <c r="J314" s="444"/>
      <c r="K314" s="444"/>
      <c r="L314" s="444"/>
      <c r="M314" s="444"/>
      <c r="N314" s="444"/>
      <c r="O314" s="444"/>
      <c r="P314" s="444"/>
      <c r="Q314" s="444"/>
      <c r="R314" s="444"/>
      <c r="S314" s="444"/>
      <c r="T314" s="444"/>
      <c r="U314" s="444"/>
      <c r="V314" s="444"/>
      <c r="W314" s="444"/>
    </row>
    <row r="315" spans="9:23" x14ac:dyDescent="0.25">
      <c r="I315" s="444"/>
      <c r="J315" s="444"/>
      <c r="K315" s="444"/>
      <c r="L315" s="444"/>
      <c r="M315" s="444"/>
      <c r="N315" s="444"/>
      <c r="O315" s="444"/>
      <c r="P315" s="444"/>
      <c r="Q315" s="444"/>
      <c r="R315" s="444"/>
      <c r="S315" s="444"/>
      <c r="T315" s="444"/>
      <c r="U315" s="444"/>
      <c r="V315" s="444"/>
      <c r="W315" s="444"/>
    </row>
    <row r="316" spans="9:23" x14ac:dyDescent="0.25">
      <c r="I316" s="444"/>
      <c r="J316" s="444"/>
      <c r="K316" s="444"/>
      <c r="L316" s="444"/>
      <c r="M316" s="444"/>
      <c r="N316" s="444"/>
      <c r="O316" s="444"/>
      <c r="P316" s="444"/>
      <c r="Q316" s="444"/>
      <c r="R316" s="444"/>
      <c r="S316" s="444"/>
      <c r="T316" s="444"/>
      <c r="U316" s="444"/>
      <c r="V316" s="444"/>
      <c r="W316" s="444"/>
    </row>
    <row r="317" spans="9:23" x14ac:dyDescent="0.25">
      <c r="I317" s="444"/>
      <c r="J317" s="444"/>
      <c r="K317" s="444"/>
      <c r="L317" s="444"/>
      <c r="M317" s="444"/>
      <c r="N317" s="444"/>
      <c r="O317" s="444"/>
      <c r="P317" s="444"/>
      <c r="Q317" s="444"/>
      <c r="R317" s="444"/>
      <c r="S317" s="444"/>
      <c r="T317" s="444"/>
      <c r="U317" s="444"/>
      <c r="V317" s="444"/>
      <c r="W317" s="444"/>
    </row>
    <row r="318" spans="9:23" x14ac:dyDescent="0.25">
      <c r="I318" s="444"/>
      <c r="J318" s="444"/>
      <c r="K318" s="444"/>
      <c r="L318" s="444"/>
      <c r="M318" s="444"/>
      <c r="N318" s="444"/>
      <c r="O318" s="444"/>
      <c r="P318" s="444"/>
      <c r="Q318" s="444"/>
      <c r="R318" s="444"/>
      <c r="S318" s="444"/>
      <c r="T318" s="444"/>
      <c r="U318" s="444"/>
      <c r="V318" s="444"/>
      <c r="W318" s="444"/>
    </row>
    <row r="319" spans="9:23" x14ac:dyDescent="0.25">
      <c r="I319" s="444"/>
      <c r="J319" s="444"/>
      <c r="K319" s="444"/>
      <c r="L319" s="444"/>
      <c r="M319" s="444"/>
      <c r="N319" s="444"/>
      <c r="O319" s="444"/>
      <c r="P319" s="444"/>
      <c r="Q319" s="444"/>
      <c r="R319" s="444"/>
      <c r="S319" s="444"/>
      <c r="T319" s="444"/>
      <c r="U319" s="444"/>
      <c r="V319" s="444"/>
      <c r="W319" s="444"/>
    </row>
    <row r="320" spans="9:23" x14ac:dyDescent="0.25">
      <c r="I320" s="444"/>
      <c r="J320" s="444"/>
      <c r="K320" s="444"/>
      <c r="L320" s="444"/>
      <c r="M320" s="444"/>
      <c r="N320" s="444"/>
      <c r="O320" s="444"/>
      <c r="P320" s="444"/>
      <c r="Q320" s="444"/>
      <c r="R320" s="444"/>
      <c r="S320" s="444"/>
      <c r="T320" s="444"/>
      <c r="U320" s="444"/>
      <c r="V320" s="444"/>
      <c r="W320" s="444"/>
    </row>
    <row r="321" spans="9:23" x14ac:dyDescent="0.25">
      <c r="I321" s="444"/>
      <c r="J321" s="444"/>
      <c r="K321" s="444"/>
      <c r="L321" s="444"/>
      <c r="M321" s="444"/>
      <c r="N321" s="444"/>
      <c r="O321" s="444"/>
      <c r="P321" s="444"/>
      <c r="Q321" s="444"/>
      <c r="R321" s="444"/>
      <c r="S321" s="444"/>
      <c r="T321" s="444"/>
      <c r="U321" s="444"/>
      <c r="V321" s="444"/>
      <c r="W321" s="444"/>
    </row>
    <row r="322" spans="9:23" x14ac:dyDescent="0.25">
      <c r="I322" s="444"/>
      <c r="J322" s="444"/>
      <c r="K322" s="444"/>
      <c r="L322" s="444"/>
      <c r="M322" s="444"/>
      <c r="N322" s="444"/>
      <c r="O322" s="444"/>
      <c r="P322" s="444"/>
      <c r="Q322" s="444"/>
      <c r="R322" s="444"/>
      <c r="S322" s="444"/>
      <c r="T322" s="444"/>
      <c r="U322" s="444"/>
      <c r="V322" s="444"/>
      <c r="W322" s="444"/>
    </row>
    <row r="323" spans="9:23" x14ac:dyDescent="0.25">
      <c r="I323" s="444"/>
      <c r="J323" s="444"/>
      <c r="K323" s="444"/>
      <c r="L323" s="444"/>
      <c r="M323" s="444"/>
      <c r="N323" s="444"/>
      <c r="O323" s="444"/>
      <c r="P323" s="444"/>
      <c r="Q323" s="444"/>
      <c r="R323" s="444"/>
      <c r="S323" s="444"/>
      <c r="T323" s="444"/>
      <c r="U323" s="444"/>
      <c r="V323" s="444"/>
      <c r="W323" s="444"/>
    </row>
    <row r="324" spans="9:23" x14ac:dyDescent="0.25">
      <c r="I324" s="444"/>
      <c r="J324" s="444"/>
      <c r="K324" s="444"/>
      <c r="L324" s="444"/>
      <c r="M324" s="444"/>
      <c r="N324" s="444"/>
      <c r="O324" s="444"/>
      <c r="P324" s="444"/>
      <c r="Q324" s="444"/>
      <c r="R324" s="444"/>
      <c r="S324" s="444"/>
      <c r="T324" s="444"/>
      <c r="U324" s="444"/>
      <c r="V324" s="444"/>
      <c r="W324" s="444"/>
    </row>
    <row r="325" spans="9:23" x14ac:dyDescent="0.25">
      <c r="I325" s="444"/>
      <c r="J325" s="444"/>
      <c r="K325" s="444"/>
      <c r="L325" s="444"/>
      <c r="M325" s="444"/>
      <c r="N325" s="444"/>
      <c r="O325" s="444"/>
      <c r="P325" s="444"/>
      <c r="Q325" s="444"/>
      <c r="R325" s="444"/>
      <c r="S325" s="444"/>
      <c r="T325" s="444"/>
      <c r="U325" s="444"/>
      <c r="V325" s="444"/>
      <c r="W325" s="444"/>
    </row>
    <row r="326" spans="9:23" x14ac:dyDescent="0.25"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</row>
  </sheetData>
  <mergeCells count="4">
    <mergeCell ref="F3:G3"/>
    <mergeCell ref="K25:Q25"/>
    <mergeCell ref="A1:D2"/>
    <mergeCell ref="L3:R3"/>
  </mergeCells>
  <conditionalFormatting sqref="L27:Q38">
    <cfRule type="cellIs" dxfId="10" priority="2" operator="greaterThan">
      <formula>0</formula>
    </cfRule>
  </conditionalFormatting>
  <conditionalFormatting sqref="M5:R16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zoomScaleNormal="100" workbookViewId="0">
      <selection activeCell="G26" sqref="G26:H26"/>
    </sheetView>
  </sheetViews>
  <sheetFormatPr defaultRowHeight="15" x14ac:dyDescent="0.25"/>
  <cols>
    <col min="1" max="1" width="16.7109375" customWidth="1"/>
    <col min="2" max="2" width="40.140625" style="446" customWidth="1"/>
    <col min="3" max="3" width="51.140625" style="438" customWidth="1"/>
    <col min="4" max="4" width="34.42578125" style="445" customWidth="1"/>
    <col min="7" max="7" width="14.7109375" customWidth="1"/>
    <col min="8" max="8" width="23.140625" customWidth="1"/>
    <col min="9" max="9" width="20.5703125" customWidth="1"/>
    <col min="12" max="12" width="14.85546875" customWidth="1"/>
    <col min="20" max="20" width="17.85546875" customWidth="1"/>
    <col min="21" max="21" width="17.5703125" customWidth="1"/>
    <col min="22" max="22" width="15.42578125" customWidth="1"/>
  </cols>
  <sheetData>
    <row r="1" spans="1:22" ht="15.75" thickBot="1" x14ac:dyDescent="0.3">
      <c r="A1" s="551" t="s">
        <v>586</v>
      </c>
      <c r="B1" s="552"/>
      <c r="C1" s="552"/>
      <c r="D1" s="553"/>
    </row>
    <row r="2" spans="1:22" x14ac:dyDescent="0.25">
      <c r="A2" s="554"/>
      <c r="B2" s="555"/>
      <c r="C2" s="555"/>
      <c r="D2" s="556"/>
      <c r="G2" s="494" t="s">
        <v>586</v>
      </c>
      <c r="H2" s="495"/>
      <c r="I2" s="435"/>
    </row>
    <row r="3" spans="1:22" ht="30.75" thickBot="1" x14ac:dyDescent="0.3">
      <c r="A3" s="616" t="s">
        <v>390</v>
      </c>
      <c r="B3" s="617" t="s">
        <v>578</v>
      </c>
      <c r="C3" s="618" t="s">
        <v>580</v>
      </c>
      <c r="D3" s="619" t="s">
        <v>579</v>
      </c>
      <c r="G3" s="90"/>
      <c r="H3" s="434"/>
      <c r="I3" s="100"/>
      <c r="L3" s="563" t="s">
        <v>625</v>
      </c>
      <c r="M3" s="564"/>
      <c r="N3" s="564"/>
      <c r="O3" s="564"/>
      <c r="P3" s="564"/>
      <c r="Q3" s="564"/>
      <c r="R3" s="565"/>
      <c r="S3" s="5"/>
      <c r="T3" s="5"/>
      <c r="U3" s="5"/>
      <c r="V3" s="5"/>
    </row>
    <row r="4" spans="1:22" x14ac:dyDescent="0.25">
      <c r="A4" s="594" t="s">
        <v>0</v>
      </c>
      <c r="B4" s="567">
        <v>1400</v>
      </c>
      <c r="C4" s="623">
        <f>D4-B4</f>
        <v>0</v>
      </c>
      <c r="D4" s="567">
        <v>1400</v>
      </c>
      <c r="G4" s="138" t="s">
        <v>390</v>
      </c>
      <c r="H4" s="137" t="s">
        <v>389</v>
      </c>
      <c r="I4" s="136" t="s">
        <v>388</v>
      </c>
      <c r="L4" s="346" t="s">
        <v>528</v>
      </c>
      <c r="M4" s="347" t="s">
        <v>529</v>
      </c>
      <c r="N4" s="347" t="s">
        <v>530</v>
      </c>
      <c r="O4" s="347" t="s">
        <v>531</v>
      </c>
      <c r="P4" s="348" t="s">
        <v>532</v>
      </c>
      <c r="Q4" s="349" t="s">
        <v>582</v>
      </c>
      <c r="R4" s="328" t="s">
        <v>417</v>
      </c>
      <c r="S4" s="5"/>
      <c r="T4" s="5"/>
      <c r="U4" s="5"/>
      <c r="V4" s="5"/>
    </row>
    <row r="5" spans="1:22" x14ac:dyDescent="0.25">
      <c r="A5" s="594" t="s">
        <v>2</v>
      </c>
      <c r="B5" s="567">
        <v>299.28333333333347</v>
      </c>
      <c r="C5" s="623">
        <f t="shared" ref="C5:C34" si="0">D5-B5</f>
        <v>0.71666666666652645</v>
      </c>
      <c r="D5" s="567">
        <v>300</v>
      </c>
      <c r="G5" s="440" t="s">
        <v>2</v>
      </c>
      <c r="H5" s="626">
        <v>1</v>
      </c>
      <c r="I5" s="622">
        <f>(H5/299)*100</f>
        <v>0.33444816053511706</v>
      </c>
      <c r="L5" s="60" t="s">
        <v>84</v>
      </c>
      <c r="M5" s="350">
        <v>0</v>
      </c>
      <c r="N5" s="350">
        <f>1</f>
        <v>1</v>
      </c>
      <c r="O5" s="351">
        <f>1</f>
        <v>1</v>
      </c>
      <c r="P5" s="351">
        <v>0</v>
      </c>
      <c r="Q5" s="352">
        <f>4+1+1</f>
        <v>6</v>
      </c>
      <c r="R5" s="353">
        <f>SUM(M5:Q5)</f>
        <v>8</v>
      </c>
      <c r="S5" s="5"/>
      <c r="T5" s="5"/>
      <c r="U5" s="5"/>
      <c r="V5" s="5"/>
    </row>
    <row r="6" spans="1:22" x14ac:dyDescent="0.25">
      <c r="A6" s="594" t="s">
        <v>3</v>
      </c>
      <c r="B6" s="567">
        <v>126.884</v>
      </c>
      <c r="C6" s="623">
        <f t="shared" si="0"/>
        <v>23.116</v>
      </c>
      <c r="D6" s="567">
        <v>150</v>
      </c>
      <c r="G6" s="439" t="s">
        <v>3</v>
      </c>
      <c r="H6" s="626">
        <v>23</v>
      </c>
      <c r="I6" s="622">
        <f>(H6/127)*100</f>
        <v>18.110236220472441</v>
      </c>
      <c r="L6" s="60" t="s">
        <v>85</v>
      </c>
      <c r="M6" s="350">
        <v>0</v>
      </c>
      <c r="N6" s="350">
        <f>1+1</f>
        <v>2</v>
      </c>
      <c r="O6" s="350">
        <v>0</v>
      </c>
      <c r="P6" s="350">
        <v>0</v>
      </c>
      <c r="Q6" s="350">
        <f>2+4+2+2+2+1+1</f>
        <v>14</v>
      </c>
      <c r="R6" s="60">
        <f t="shared" ref="R6:R15" si="1">SUM(M6:Q6)</f>
        <v>16</v>
      </c>
      <c r="S6" s="5"/>
      <c r="T6" s="5"/>
      <c r="U6" s="5"/>
      <c r="V6" s="5"/>
    </row>
    <row r="7" spans="1:22" x14ac:dyDescent="0.25">
      <c r="A7" s="594" t="s">
        <v>4</v>
      </c>
      <c r="B7" s="567">
        <v>300</v>
      </c>
      <c r="C7" s="623">
        <f t="shared" si="0"/>
        <v>0</v>
      </c>
      <c r="D7" s="567">
        <v>300</v>
      </c>
      <c r="G7" s="439" t="s">
        <v>5</v>
      </c>
      <c r="H7" s="626">
        <v>120</v>
      </c>
      <c r="I7" s="622">
        <f>(H7/630)*100</f>
        <v>19.047619047619047</v>
      </c>
      <c r="L7" s="60" t="s">
        <v>86</v>
      </c>
      <c r="M7" s="350">
        <f>1</f>
        <v>1</v>
      </c>
      <c r="N7" s="350">
        <f>1+1</f>
        <v>2</v>
      </c>
      <c r="O7" s="350">
        <v>0</v>
      </c>
      <c r="P7" s="350">
        <v>0</v>
      </c>
      <c r="Q7" s="350">
        <f>2+2</f>
        <v>4</v>
      </c>
      <c r="R7" s="60">
        <f t="shared" si="1"/>
        <v>7</v>
      </c>
      <c r="S7" s="5"/>
      <c r="T7" s="457" t="s">
        <v>534</v>
      </c>
      <c r="U7" s="457" t="s">
        <v>535</v>
      </c>
      <c r="V7" s="355" t="s">
        <v>536</v>
      </c>
    </row>
    <row r="8" spans="1:22" x14ac:dyDescent="0.25">
      <c r="A8" s="594" t="s">
        <v>5</v>
      </c>
      <c r="B8" s="567">
        <v>630.1819999999999</v>
      </c>
      <c r="C8" s="623">
        <f t="shared" si="0"/>
        <v>119.8180000000001</v>
      </c>
      <c r="D8" s="567">
        <v>750</v>
      </c>
      <c r="G8" s="439" t="s">
        <v>6</v>
      </c>
      <c r="H8" s="626">
        <v>205</v>
      </c>
      <c r="I8" s="622">
        <f>(H8/995)*100</f>
        <v>20.603015075376884</v>
      </c>
      <c r="L8" s="60" t="s">
        <v>87</v>
      </c>
      <c r="M8" s="350">
        <f>1</f>
        <v>1</v>
      </c>
      <c r="N8" s="350">
        <f>1</f>
        <v>1</v>
      </c>
      <c r="O8" s="350">
        <f>1</f>
        <v>1</v>
      </c>
      <c r="P8" s="350">
        <f>1+1+1</f>
        <v>3</v>
      </c>
      <c r="Q8" s="352">
        <f>4+4+2+6+2+3+3+8+8+9+1</f>
        <v>50</v>
      </c>
      <c r="R8" s="60">
        <f t="shared" si="1"/>
        <v>56</v>
      </c>
      <c r="S8" s="5"/>
      <c r="T8" s="61" t="s">
        <v>529</v>
      </c>
      <c r="U8" s="61">
        <v>100</v>
      </c>
      <c r="V8" s="454">
        <v>15</v>
      </c>
    </row>
    <row r="9" spans="1:22" x14ac:dyDescent="0.25">
      <c r="A9" s="594" t="s">
        <v>6</v>
      </c>
      <c r="B9" s="567">
        <v>994.8813333333336</v>
      </c>
      <c r="C9" s="623">
        <f t="shared" si="0"/>
        <v>205.1186666666664</v>
      </c>
      <c r="D9" s="567">
        <v>1200</v>
      </c>
      <c r="G9" s="440" t="s">
        <v>7</v>
      </c>
      <c r="H9" s="626">
        <v>9</v>
      </c>
      <c r="I9" s="622">
        <f>(H9/591)*100</f>
        <v>1.5228426395939088</v>
      </c>
      <c r="L9" s="60" t="s">
        <v>88</v>
      </c>
      <c r="M9" s="350">
        <f>1+1+1</f>
        <v>3</v>
      </c>
      <c r="N9" s="350">
        <v>0</v>
      </c>
      <c r="O9" s="350">
        <v>0</v>
      </c>
      <c r="P9" s="350">
        <f>1</f>
        <v>1</v>
      </c>
      <c r="Q9" s="350">
        <f>1+2+6</f>
        <v>9</v>
      </c>
      <c r="R9" s="60">
        <f t="shared" si="1"/>
        <v>13</v>
      </c>
      <c r="S9" s="459"/>
      <c r="T9" s="356" t="s">
        <v>530</v>
      </c>
      <c r="U9" s="356">
        <v>150</v>
      </c>
      <c r="V9" s="455">
        <v>16.3689</v>
      </c>
    </row>
    <row r="10" spans="1:22" x14ac:dyDescent="0.25">
      <c r="A10" s="594" t="s">
        <v>7</v>
      </c>
      <c r="B10" s="567">
        <v>590.9300000000004</v>
      </c>
      <c r="C10" s="623">
        <f t="shared" si="0"/>
        <v>9.0699999999995953</v>
      </c>
      <c r="D10" s="567">
        <v>600</v>
      </c>
      <c r="G10" s="439" t="s">
        <v>9</v>
      </c>
      <c r="H10" s="626">
        <v>103</v>
      </c>
      <c r="I10" s="622">
        <f>(H10/497)*100</f>
        <v>20.724346076458751</v>
      </c>
      <c r="L10" s="60" t="s">
        <v>89</v>
      </c>
      <c r="M10" s="350">
        <v>0</v>
      </c>
      <c r="N10" s="350">
        <f>1</f>
        <v>1</v>
      </c>
      <c r="O10" s="350">
        <v>0</v>
      </c>
      <c r="P10" s="350">
        <f>1+1</f>
        <v>2</v>
      </c>
      <c r="Q10" s="350">
        <f>2+2+1</f>
        <v>5</v>
      </c>
      <c r="R10" s="60">
        <f t="shared" si="1"/>
        <v>8</v>
      </c>
      <c r="S10" s="458"/>
      <c r="T10" s="356" t="s">
        <v>531</v>
      </c>
      <c r="U10" s="356">
        <v>200</v>
      </c>
      <c r="V10" s="455">
        <v>16.746700000000001</v>
      </c>
    </row>
    <row r="11" spans="1:22" x14ac:dyDescent="0.25">
      <c r="A11" s="594" t="s">
        <v>8</v>
      </c>
      <c r="B11" s="567">
        <v>600</v>
      </c>
      <c r="C11" s="623">
        <f t="shared" si="0"/>
        <v>0</v>
      </c>
      <c r="D11" s="567">
        <v>600</v>
      </c>
      <c r="G11" s="439" t="s">
        <v>11</v>
      </c>
      <c r="H11" s="626">
        <v>68</v>
      </c>
      <c r="I11" s="622">
        <f>(H11/382)*100</f>
        <v>17.801047120418847</v>
      </c>
      <c r="L11" s="60" t="s">
        <v>90</v>
      </c>
      <c r="M11" s="350">
        <f>1</f>
        <v>1</v>
      </c>
      <c r="N11" s="350">
        <v>0</v>
      </c>
      <c r="O11" s="350">
        <v>0</v>
      </c>
      <c r="P11" s="350">
        <v>0</v>
      </c>
      <c r="Q11" s="350">
        <f>2+3</f>
        <v>5</v>
      </c>
      <c r="R11" s="60">
        <f t="shared" si="1"/>
        <v>6</v>
      </c>
      <c r="S11" s="458"/>
      <c r="T11" s="356" t="s">
        <v>532</v>
      </c>
      <c r="U11" s="356">
        <v>250</v>
      </c>
      <c r="V11" s="455">
        <v>16.886600000000001</v>
      </c>
    </row>
    <row r="12" spans="1:22" x14ac:dyDescent="0.25">
      <c r="A12" s="594" t="s">
        <v>9</v>
      </c>
      <c r="B12" s="567">
        <v>496.93333333333328</v>
      </c>
      <c r="C12" s="623">
        <f t="shared" si="0"/>
        <v>103.06666666666672</v>
      </c>
      <c r="D12" s="567">
        <v>600</v>
      </c>
      <c r="G12" s="439" t="s">
        <v>12</v>
      </c>
      <c r="H12" s="626">
        <v>146</v>
      </c>
      <c r="I12" s="622">
        <f>(H12/604)*100</f>
        <v>24.172185430463578</v>
      </c>
      <c r="L12" s="60" t="s">
        <v>91</v>
      </c>
      <c r="M12" s="350">
        <f>1+1</f>
        <v>2</v>
      </c>
      <c r="N12" s="350">
        <f>1</f>
        <v>1</v>
      </c>
      <c r="O12" s="350">
        <f>1</f>
        <v>1</v>
      </c>
      <c r="P12" s="350">
        <v>0</v>
      </c>
      <c r="Q12" s="350">
        <f>1+1+3+1+1+1</f>
        <v>8</v>
      </c>
      <c r="R12" s="60">
        <f t="shared" si="1"/>
        <v>12</v>
      </c>
      <c r="S12" s="459"/>
      <c r="T12" s="357" t="s">
        <v>582</v>
      </c>
      <c r="U12" s="357">
        <v>300</v>
      </c>
      <c r="V12" s="456">
        <v>17</v>
      </c>
    </row>
    <row r="13" spans="1:22" x14ac:dyDescent="0.25">
      <c r="A13" s="594" t="s">
        <v>10</v>
      </c>
      <c r="B13" s="567">
        <v>300</v>
      </c>
      <c r="C13" s="623">
        <f t="shared" si="0"/>
        <v>0</v>
      </c>
      <c r="D13" s="567">
        <v>300</v>
      </c>
      <c r="G13" s="439" t="s">
        <v>13</v>
      </c>
      <c r="H13" s="626">
        <v>10</v>
      </c>
      <c r="I13" s="622">
        <f>(H13/90)*100</f>
        <v>11.111111111111111</v>
      </c>
      <c r="L13" s="60" t="s">
        <v>92</v>
      </c>
      <c r="M13" s="350">
        <v>0</v>
      </c>
      <c r="N13" s="352">
        <f>1</f>
        <v>1</v>
      </c>
      <c r="O13" s="350">
        <v>0</v>
      </c>
      <c r="P13" s="350">
        <v>0</v>
      </c>
      <c r="Q13" s="352">
        <f>1+8+1+1</f>
        <v>11</v>
      </c>
      <c r="R13" s="60">
        <f t="shared" si="1"/>
        <v>12</v>
      </c>
      <c r="S13" s="459"/>
      <c r="T13" s="459"/>
      <c r="U13" s="459"/>
      <c r="V13" s="5"/>
    </row>
    <row r="14" spans="1:22" x14ac:dyDescent="0.25">
      <c r="A14" s="594" t="s">
        <v>11</v>
      </c>
      <c r="B14" s="567">
        <v>382.3186666666669</v>
      </c>
      <c r="C14" s="623">
        <f t="shared" si="0"/>
        <v>67.6813333333331</v>
      </c>
      <c r="D14" s="567">
        <v>450</v>
      </c>
      <c r="G14" s="439" t="s">
        <v>14</v>
      </c>
      <c r="H14" s="626">
        <v>352</v>
      </c>
      <c r="I14" s="622">
        <f>(H14/1448)*100</f>
        <v>24.30939226519337</v>
      </c>
      <c r="L14" s="60" t="s">
        <v>93</v>
      </c>
      <c r="M14" s="350">
        <v>0</v>
      </c>
      <c r="N14" s="350">
        <f>1</f>
        <v>1</v>
      </c>
      <c r="O14" s="350">
        <v>0</v>
      </c>
      <c r="P14" s="352">
        <v>0</v>
      </c>
      <c r="Q14" s="352">
        <f>8+1</f>
        <v>9</v>
      </c>
      <c r="R14" s="60">
        <f t="shared" si="1"/>
        <v>10</v>
      </c>
      <c r="S14" s="459"/>
      <c r="T14" s="459"/>
      <c r="U14" s="459"/>
      <c r="V14" s="5"/>
    </row>
    <row r="15" spans="1:22" x14ac:dyDescent="0.25">
      <c r="A15" s="594" t="s">
        <v>12</v>
      </c>
      <c r="B15" s="567">
        <v>603.9799999999999</v>
      </c>
      <c r="C15" s="623">
        <f t="shared" si="0"/>
        <v>146.0200000000001</v>
      </c>
      <c r="D15" s="567">
        <v>750</v>
      </c>
      <c r="G15" s="440" t="s">
        <v>15</v>
      </c>
      <c r="H15" s="626">
        <v>16</v>
      </c>
      <c r="I15" s="622">
        <f>(H15/834)*100</f>
        <v>1.9184652278177456</v>
      </c>
      <c r="L15" s="60" t="s">
        <v>94</v>
      </c>
      <c r="M15" s="350">
        <v>0</v>
      </c>
      <c r="N15" s="350">
        <f>1</f>
        <v>1</v>
      </c>
      <c r="O15" s="352">
        <f>1</f>
        <v>1</v>
      </c>
      <c r="P15" s="352">
        <f>1</f>
        <v>1</v>
      </c>
      <c r="Q15" s="352">
        <f>9+1</f>
        <v>10</v>
      </c>
      <c r="R15" s="60">
        <f t="shared" si="1"/>
        <v>13</v>
      </c>
      <c r="S15" s="18"/>
      <c r="T15" s="18"/>
      <c r="U15" s="459"/>
      <c r="V15" s="5"/>
    </row>
    <row r="16" spans="1:22" x14ac:dyDescent="0.25">
      <c r="A16" s="594" t="s">
        <v>13</v>
      </c>
      <c r="B16" s="567">
        <v>90.122000000000014</v>
      </c>
      <c r="C16" s="623">
        <f t="shared" si="0"/>
        <v>9.8779999999999859</v>
      </c>
      <c r="D16" s="567">
        <v>100</v>
      </c>
      <c r="G16" s="439" t="s">
        <v>16</v>
      </c>
      <c r="H16" s="626">
        <v>332</v>
      </c>
      <c r="I16" s="622">
        <f>(H16/568)*100</f>
        <v>58.450704225352112</v>
      </c>
      <c r="L16" s="358" t="s">
        <v>508</v>
      </c>
      <c r="M16" s="350">
        <v>0</v>
      </c>
      <c r="N16" s="359">
        <f>1</f>
        <v>1</v>
      </c>
      <c r="O16" s="359">
        <v>0</v>
      </c>
      <c r="P16" s="359">
        <f>1</f>
        <v>1</v>
      </c>
      <c r="Q16" s="359">
        <f>1</f>
        <v>1</v>
      </c>
      <c r="R16" s="358">
        <f>SUM(M16:Q16)</f>
        <v>3</v>
      </c>
    </row>
    <row r="17" spans="1:23" x14ac:dyDescent="0.25">
      <c r="A17" s="594" t="s">
        <v>14</v>
      </c>
      <c r="B17" s="567">
        <v>1447.7946666666669</v>
      </c>
      <c r="C17" s="623">
        <f t="shared" si="0"/>
        <v>352.2053333333331</v>
      </c>
      <c r="D17" s="567">
        <v>1800</v>
      </c>
      <c r="G17" s="439" t="s">
        <v>17</v>
      </c>
      <c r="H17" s="626">
        <v>8</v>
      </c>
      <c r="I17" s="622">
        <f>(H17/992)*100</f>
        <v>0.80645161290322576</v>
      </c>
      <c r="L17" s="328" t="s">
        <v>537</v>
      </c>
      <c r="M17" s="360">
        <f t="shared" ref="M17:R17" si="2">SUM(M5:M16)</f>
        <v>8</v>
      </c>
      <c r="N17" s="360">
        <f t="shared" si="2"/>
        <v>12</v>
      </c>
      <c r="O17" s="360">
        <f t="shared" si="2"/>
        <v>4</v>
      </c>
      <c r="P17" s="360">
        <f t="shared" si="2"/>
        <v>8</v>
      </c>
      <c r="Q17" s="360">
        <f t="shared" si="2"/>
        <v>132</v>
      </c>
      <c r="R17" s="361">
        <f t="shared" si="2"/>
        <v>164</v>
      </c>
    </row>
    <row r="18" spans="1:23" x14ac:dyDescent="0.25">
      <c r="A18" s="594" t="s">
        <v>15</v>
      </c>
      <c r="B18" s="567">
        <v>833.82799999999997</v>
      </c>
      <c r="C18" s="623">
        <f t="shared" si="0"/>
        <v>16.172000000000025</v>
      </c>
      <c r="D18" s="567">
        <v>850</v>
      </c>
      <c r="G18" s="439" t="s">
        <v>19</v>
      </c>
      <c r="H18" s="626">
        <v>832</v>
      </c>
      <c r="I18" s="622">
        <f>(H18/1568)*100</f>
        <v>53.061224489795919</v>
      </c>
      <c r="L18" s="328" t="s">
        <v>536</v>
      </c>
      <c r="M18" s="362">
        <f>PRODUCT(M17*V8)</f>
        <v>120</v>
      </c>
      <c r="N18" s="452">
        <f>PRODUCT(N17*V9)</f>
        <v>196.42680000000001</v>
      </c>
      <c r="O18" s="452">
        <f>PRODUCT(O17*V10)</f>
        <v>66.986800000000002</v>
      </c>
      <c r="P18" s="452">
        <f>PRODUCT(P17*V11)</f>
        <v>135.09280000000001</v>
      </c>
      <c r="Q18" s="452">
        <f>PRODUCT(Q17*V12)</f>
        <v>2244</v>
      </c>
      <c r="R18" s="453">
        <f>SUM(M18:Q18)</f>
        <v>2762.5064000000002</v>
      </c>
    </row>
    <row r="19" spans="1:23" x14ac:dyDescent="0.25">
      <c r="A19" s="594" t="s">
        <v>16</v>
      </c>
      <c r="B19" s="567">
        <v>568.42466666666678</v>
      </c>
      <c r="C19" s="623">
        <f t="shared" si="0"/>
        <v>331.57533333333322</v>
      </c>
      <c r="D19" s="567">
        <v>900</v>
      </c>
      <c r="G19" s="439" t="s">
        <v>20</v>
      </c>
      <c r="H19" s="626">
        <v>1137</v>
      </c>
      <c r="I19" s="622">
        <f>(H19/1813)*100</f>
        <v>62.713734142305569</v>
      </c>
      <c r="L19" s="328" t="s">
        <v>535</v>
      </c>
      <c r="M19" s="362">
        <f>M17*U8</f>
        <v>800</v>
      </c>
      <c r="N19" s="362">
        <f>N17*U9</f>
        <v>1800</v>
      </c>
      <c r="O19" s="362">
        <f>O17*U10</f>
        <v>800</v>
      </c>
      <c r="P19" s="362">
        <f>P17*U11</f>
        <v>2000</v>
      </c>
      <c r="Q19" s="362">
        <f>Q17*U12</f>
        <v>39600</v>
      </c>
      <c r="R19" s="328">
        <f>SUM(M19:Q19)</f>
        <v>45000</v>
      </c>
    </row>
    <row r="20" spans="1:23" x14ac:dyDescent="0.25">
      <c r="A20" s="594" t="s">
        <v>17</v>
      </c>
      <c r="B20" s="567">
        <v>991.82799999999997</v>
      </c>
      <c r="C20" s="623">
        <f t="shared" si="0"/>
        <v>8.1720000000000255</v>
      </c>
      <c r="D20" s="567">
        <v>1000</v>
      </c>
      <c r="G20" s="439" t="s">
        <v>21</v>
      </c>
      <c r="H20" s="626">
        <v>123</v>
      </c>
      <c r="I20" s="622">
        <f>(H20/4279)*100</f>
        <v>2.8745033886422062</v>
      </c>
    </row>
    <row r="21" spans="1:23" x14ac:dyDescent="0.25">
      <c r="A21" s="594" t="s">
        <v>18</v>
      </c>
      <c r="B21" s="567">
        <v>2400</v>
      </c>
      <c r="C21" s="623">
        <f t="shared" si="0"/>
        <v>0</v>
      </c>
      <c r="D21" s="567">
        <v>2400</v>
      </c>
      <c r="G21" s="439" t="s">
        <v>22</v>
      </c>
      <c r="H21" s="626">
        <v>56</v>
      </c>
      <c r="I21" s="622">
        <f>(H21/194)*100</f>
        <v>28.865979381443296</v>
      </c>
    </row>
    <row r="22" spans="1:23" x14ac:dyDescent="0.25">
      <c r="A22" s="594" t="s">
        <v>19</v>
      </c>
      <c r="B22" s="567">
        <v>1568.05</v>
      </c>
      <c r="C22" s="623">
        <f t="shared" si="0"/>
        <v>831.95</v>
      </c>
      <c r="D22" s="567">
        <v>2400</v>
      </c>
      <c r="G22" s="439" t="s">
        <v>23</v>
      </c>
      <c r="H22" s="626">
        <v>39</v>
      </c>
      <c r="I22" s="622">
        <f>(H22/61)*100</f>
        <v>63.934426229508205</v>
      </c>
      <c r="K22" s="444"/>
      <c r="L22" s="444"/>
      <c r="M22" s="444"/>
      <c r="N22" s="444"/>
      <c r="O22" s="444"/>
      <c r="P22" s="444"/>
      <c r="Q22" s="444"/>
      <c r="R22" s="444"/>
      <c r="S22" s="444"/>
      <c r="T22" s="444"/>
      <c r="U22" s="444"/>
      <c r="V22" s="444"/>
      <c r="W22" s="444"/>
    </row>
    <row r="23" spans="1:23" x14ac:dyDescent="0.25">
      <c r="A23" s="594" t="s">
        <v>20</v>
      </c>
      <c r="B23" s="567">
        <v>1812.59</v>
      </c>
      <c r="C23" s="623">
        <f t="shared" si="0"/>
        <v>1137.4100000000001</v>
      </c>
      <c r="D23" s="567">
        <v>2950</v>
      </c>
      <c r="G23" s="440" t="s">
        <v>28</v>
      </c>
      <c r="H23" s="626">
        <v>1</v>
      </c>
      <c r="I23" s="622">
        <f>(H23/199)*100</f>
        <v>0.50251256281407031</v>
      </c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  <c r="V23" s="444"/>
      <c r="W23" s="444"/>
    </row>
    <row r="24" spans="1:23" ht="15.75" thickBot="1" x14ac:dyDescent="0.3">
      <c r="A24" s="594" t="s">
        <v>21</v>
      </c>
      <c r="B24" s="567">
        <v>427.41</v>
      </c>
      <c r="C24" s="623">
        <f t="shared" si="0"/>
        <v>122.58999999999997</v>
      </c>
      <c r="D24" s="567">
        <v>550</v>
      </c>
      <c r="G24" s="439" t="s">
        <v>31</v>
      </c>
      <c r="H24" s="626">
        <v>35</v>
      </c>
      <c r="I24" s="622">
        <f>(H24/115)*100</f>
        <v>30.434782608695656</v>
      </c>
      <c r="K24" s="444"/>
      <c r="L24" s="621"/>
      <c r="M24" s="621"/>
      <c r="N24" s="621"/>
      <c r="O24" s="621"/>
      <c r="P24" s="621"/>
      <c r="Q24" s="621"/>
      <c r="R24" s="621"/>
      <c r="S24" s="460"/>
      <c r="T24" s="460"/>
      <c r="U24" s="460"/>
      <c r="V24" s="460"/>
      <c r="W24" s="444"/>
    </row>
    <row r="25" spans="1:23" x14ac:dyDescent="0.25">
      <c r="A25" s="594" t="s">
        <v>22</v>
      </c>
      <c r="B25" s="567">
        <v>194.33600000000001</v>
      </c>
      <c r="C25" s="623">
        <f t="shared" si="0"/>
        <v>55.663999999999987</v>
      </c>
      <c r="D25" s="567">
        <v>250</v>
      </c>
      <c r="G25" s="441" t="s">
        <v>417</v>
      </c>
      <c r="H25" s="627">
        <f>SUM(H5:H24)</f>
        <v>3616</v>
      </c>
      <c r="I25" s="442"/>
      <c r="K25" s="444"/>
      <c r="L25" s="377"/>
      <c r="M25" s="378"/>
      <c r="N25" s="378"/>
      <c r="O25" s="378"/>
      <c r="P25" s="458"/>
      <c r="Q25" s="458"/>
      <c r="R25" s="458"/>
      <c r="S25" s="460"/>
      <c r="T25" s="460"/>
      <c r="U25" s="460"/>
      <c r="V25" s="460"/>
      <c r="W25" s="444"/>
    </row>
    <row r="26" spans="1:23" ht="15.75" thickBot="1" x14ac:dyDescent="0.3">
      <c r="A26" s="594" t="s">
        <v>23</v>
      </c>
      <c r="B26" s="567">
        <v>61.036666666666846</v>
      </c>
      <c r="C26" s="623">
        <f t="shared" si="0"/>
        <v>38.963333333333154</v>
      </c>
      <c r="D26" s="567">
        <v>100</v>
      </c>
      <c r="G26" s="628" t="s">
        <v>365</v>
      </c>
      <c r="H26" s="629">
        <f>H25/18884</f>
        <v>0.1914848549036221</v>
      </c>
      <c r="I26" s="447"/>
      <c r="K26" s="444"/>
      <c r="L26" s="459"/>
      <c r="M26" s="350"/>
      <c r="N26" s="350"/>
      <c r="O26" s="350"/>
      <c r="P26" s="350"/>
      <c r="Q26" s="352"/>
      <c r="R26" s="459"/>
      <c r="S26" s="460"/>
      <c r="T26" s="460"/>
      <c r="U26" s="460"/>
      <c r="V26" s="460"/>
      <c r="W26" s="444"/>
    </row>
    <row r="27" spans="1:23" x14ac:dyDescent="0.25">
      <c r="A27" s="594" t="s">
        <v>24</v>
      </c>
      <c r="B27" s="567">
        <v>99.999999999999986</v>
      </c>
      <c r="C27" s="623">
        <f t="shared" si="0"/>
        <v>0</v>
      </c>
      <c r="D27" s="567">
        <v>100</v>
      </c>
      <c r="I27" s="444"/>
      <c r="K27" s="444"/>
      <c r="L27" s="459"/>
      <c r="M27" s="350"/>
      <c r="N27" s="350"/>
      <c r="O27" s="350"/>
      <c r="P27" s="350"/>
      <c r="Q27" s="352"/>
      <c r="R27" s="459"/>
      <c r="S27" s="460"/>
      <c r="T27" s="460"/>
      <c r="U27" s="460"/>
      <c r="V27" s="460"/>
      <c r="W27" s="444"/>
    </row>
    <row r="28" spans="1:23" x14ac:dyDescent="0.25">
      <c r="A28" s="594" t="s">
        <v>25</v>
      </c>
      <c r="B28" s="567">
        <v>300</v>
      </c>
      <c r="C28" s="623">
        <f t="shared" si="0"/>
        <v>0</v>
      </c>
      <c r="D28" s="567">
        <v>300</v>
      </c>
      <c r="K28" s="444"/>
      <c r="L28" s="459"/>
      <c r="M28" s="350"/>
      <c r="N28" s="350"/>
      <c r="O28" s="350"/>
      <c r="P28" s="350"/>
      <c r="Q28" s="352"/>
      <c r="R28" s="459"/>
      <c r="S28" s="460"/>
      <c r="T28" s="193"/>
      <c r="U28" s="193"/>
      <c r="V28" s="193"/>
      <c r="W28" s="444"/>
    </row>
    <row r="29" spans="1:23" x14ac:dyDescent="0.25">
      <c r="A29" s="594" t="s">
        <v>26</v>
      </c>
      <c r="B29" s="567">
        <v>300.00000000000011</v>
      </c>
      <c r="C29" s="623">
        <f t="shared" si="0"/>
        <v>0</v>
      </c>
      <c r="D29" s="567">
        <v>300</v>
      </c>
      <c r="K29" s="444"/>
      <c r="L29" s="459"/>
      <c r="M29" s="350"/>
      <c r="N29" s="350"/>
      <c r="O29" s="350"/>
      <c r="P29" s="350"/>
      <c r="Q29" s="352"/>
      <c r="R29" s="459"/>
      <c r="S29" s="460"/>
      <c r="T29" s="64"/>
      <c r="U29" s="64"/>
      <c r="V29" s="460"/>
      <c r="W29" s="444"/>
    </row>
    <row r="30" spans="1:23" x14ac:dyDescent="0.25">
      <c r="A30" s="594" t="s">
        <v>27</v>
      </c>
      <c r="B30" s="567">
        <v>300</v>
      </c>
      <c r="C30" s="623">
        <f t="shared" si="0"/>
        <v>0</v>
      </c>
      <c r="D30" s="567">
        <v>300</v>
      </c>
      <c r="K30" s="444"/>
      <c r="L30" s="459"/>
      <c r="M30" s="350"/>
      <c r="N30" s="350"/>
      <c r="O30" s="350"/>
      <c r="P30" s="350"/>
      <c r="Q30" s="352"/>
      <c r="R30" s="459"/>
      <c r="S30" s="459"/>
      <c r="T30" s="352"/>
      <c r="U30" s="352"/>
      <c r="V30" s="459"/>
      <c r="W30" s="444"/>
    </row>
    <row r="31" spans="1:23" x14ac:dyDescent="0.25">
      <c r="A31" s="594" t="s">
        <v>28</v>
      </c>
      <c r="B31" s="567">
        <v>199.1133333333328</v>
      </c>
      <c r="C31" s="623">
        <f t="shared" si="0"/>
        <v>0.88666666666719607</v>
      </c>
      <c r="D31" s="567">
        <v>200</v>
      </c>
      <c r="K31" s="444"/>
      <c r="L31" s="459"/>
      <c r="M31" s="350"/>
      <c r="N31" s="350"/>
      <c r="O31" s="350"/>
      <c r="P31" s="350"/>
      <c r="Q31" s="352"/>
      <c r="R31" s="459"/>
      <c r="S31" s="458"/>
      <c r="T31" s="352"/>
      <c r="U31" s="352"/>
      <c r="V31" s="459"/>
      <c r="W31" s="444"/>
    </row>
    <row r="32" spans="1:23" x14ac:dyDescent="0.25">
      <c r="A32" s="594" t="s">
        <v>29</v>
      </c>
      <c r="B32" s="567">
        <v>150</v>
      </c>
      <c r="C32" s="623">
        <f t="shared" si="0"/>
        <v>0</v>
      </c>
      <c r="D32" s="567">
        <v>150</v>
      </c>
      <c r="G32" s="444"/>
      <c r="H32" s="444"/>
      <c r="I32" s="444"/>
      <c r="J32" s="444"/>
      <c r="K32" s="444"/>
      <c r="L32" s="459"/>
      <c r="M32" s="350"/>
      <c r="N32" s="350"/>
      <c r="O32" s="350"/>
      <c r="P32" s="350"/>
      <c r="Q32" s="352"/>
      <c r="R32" s="459"/>
      <c r="S32" s="458"/>
      <c r="T32" s="352"/>
      <c r="U32" s="352"/>
      <c r="V32" s="459"/>
      <c r="W32" s="444"/>
    </row>
    <row r="33" spans="1:23" x14ac:dyDescent="0.25">
      <c r="A33" s="594" t="s">
        <v>30</v>
      </c>
      <c r="B33" s="567">
        <v>300</v>
      </c>
      <c r="C33" s="623">
        <f t="shared" si="0"/>
        <v>0</v>
      </c>
      <c r="D33" s="567">
        <v>300</v>
      </c>
      <c r="K33" s="444"/>
      <c r="L33" s="459"/>
      <c r="M33" s="350"/>
      <c r="N33" s="350"/>
      <c r="O33" s="352"/>
      <c r="P33" s="352"/>
      <c r="Q33" s="352"/>
      <c r="R33" s="459"/>
      <c r="S33" s="459"/>
      <c r="T33" s="352"/>
      <c r="U33" s="352"/>
      <c r="V33" s="459"/>
      <c r="W33" s="444"/>
    </row>
    <row r="34" spans="1:23" ht="15.75" thickBot="1" x14ac:dyDescent="0.3">
      <c r="A34" s="607" t="s">
        <v>31</v>
      </c>
      <c r="B34" s="570">
        <v>114.51333333333309</v>
      </c>
      <c r="C34" s="624">
        <f t="shared" si="0"/>
        <v>35.486666666666906</v>
      </c>
      <c r="D34" s="570">
        <v>150</v>
      </c>
      <c r="K34" s="444"/>
      <c r="L34" s="459"/>
      <c r="M34" s="352"/>
      <c r="N34" s="352"/>
      <c r="O34" s="352"/>
      <c r="P34" s="352"/>
      <c r="Q34" s="352"/>
      <c r="R34" s="459"/>
      <c r="S34" s="459"/>
      <c r="T34" s="459"/>
      <c r="U34" s="459"/>
      <c r="V34" s="460"/>
      <c r="W34" s="444"/>
    </row>
    <row r="35" spans="1:23" ht="15.75" thickBot="1" x14ac:dyDescent="0.3">
      <c r="A35" s="611" t="s">
        <v>622</v>
      </c>
      <c r="B35" s="612">
        <f>SUM(B4:B34)</f>
        <v>18884.439333333332</v>
      </c>
      <c r="C35" s="625">
        <f>SUM(C4:C34)</f>
        <v>3615.5606666666663</v>
      </c>
      <c r="D35" s="613">
        <f>SUM(D4:D34)</f>
        <v>22500</v>
      </c>
      <c r="K35" s="444"/>
      <c r="L35" s="459"/>
      <c r="M35" s="352"/>
      <c r="N35" s="350"/>
      <c r="O35" s="352"/>
      <c r="P35" s="352"/>
      <c r="Q35" s="352"/>
      <c r="R35" s="459"/>
      <c r="S35" s="459"/>
      <c r="T35" s="459"/>
      <c r="U35" s="459"/>
      <c r="V35" s="460"/>
      <c r="W35" s="444"/>
    </row>
    <row r="36" spans="1:23" x14ac:dyDescent="0.25">
      <c r="B36"/>
      <c r="C36"/>
      <c r="D36"/>
      <c r="K36" s="444"/>
      <c r="L36" s="459"/>
      <c r="M36" s="352"/>
      <c r="N36" s="350"/>
      <c r="O36" s="352"/>
      <c r="P36" s="352"/>
      <c r="Q36" s="352"/>
      <c r="R36" s="459"/>
      <c r="S36" s="18"/>
      <c r="T36" s="18"/>
      <c r="U36" s="459"/>
      <c r="V36" s="460"/>
      <c r="W36" s="444"/>
    </row>
    <row r="37" spans="1:23" x14ac:dyDescent="0.25">
      <c r="K37" s="444"/>
      <c r="L37" s="459"/>
      <c r="M37" s="352"/>
      <c r="N37" s="352"/>
      <c r="O37" s="352"/>
      <c r="P37" s="352"/>
      <c r="Q37" s="352"/>
      <c r="R37" s="459"/>
      <c r="S37" s="459"/>
      <c r="T37" s="444"/>
      <c r="U37" s="459"/>
      <c r="V37" s="460"/>
      <c r="W37" s="444"/>
    </row>
    <row r="38" spans="1:23" x14ac:dyDescent="0.25">
      <c r="K38" s="444"/>
      <c r="L38" s="458"/>
      <c r="M38" s="352"/>
      <c r="N38" s="352"/>
      <c r="O38" s="352"/>
      <c r="P38" s="352"/>
      <c r="Q38" s="352"/>
      <c r="R38" s="379"/>
      <c r="S38" s="459"/>
      <c r="T38" s="444"/>
      <c r="U38" s="459"/>
      <c r="V38" s="460"/>
      <c r="W38" s="444"/>
    </row>
    <row r="39" spans="1:23" x14ac:dyDescent="0.25">
      <c r="K39" s="444"/>
      <c r="L39" s="458"/>
      <c r="M39" s="459"/>
      <c r="N39" s="459"/>
      <c r="O39" s="459"/>
      <c r="P39" s="459"/>
      <c r="Q39" s="459"/>
      <c r="R39" s="458"/>
      <c r="S39" s="459"/>
      <c r="T39" s="444"/>
      <c r="U39" s="459"/>
      <c r="V39" s="460"/>
      <c r="W39" s="444"/>
    </row>
    <row r="40" spans="1:23" x14ac:dyDescent="0.25">
      <c r="K40" s="444"/>
      <c r="L40" s="458"/>
      <c r="M40" s="459"/>
      <c r="N40" s="459"/>
      <c r="O40" s="459"/>
      <c r="P40" s="459"/>
      <c r="Q40" s="459"/>
      <c r="R40" s="458"/>
      <c r="S40" s="459"/>
      <c r="T40" s="444"/>
      <c r="U40" s="459"/>
      <c r="V40" s="460"/>
      <c r="W40" s="444"/>
    </row>
    <row r="41" spans="1:23" x14ac:dyDescent="0.25">
      <c r="K41" s="444"/>
      <c r="L41" s="444"/>
      <c r="M41" s="460"/>
      <c r="N41" s="460"/>
      <c r="O41" s="460"/>
      <c r="P41" s="444"/>
      <c r="Q41" s="444"/>
      <c r="R41" s="444"/>
      <c r="S41" s="444"/>
      <c r="T41" s="444"/>
      <c r="U41" s="444"/>
      <c r="V41" s="444"/>
      <c r="W41" s="444"/>
    </row>
    <row r="42" spans="1:23" x14ac:dyDescent="0.25">
      <c r="K42" s="444"/>
      <c r="L42" s="444"/>
      <c r="M42" s="444"/>
      <c r="N42" s="444"/>
      <c r="O42" s="444"/>
      <c r="P42" s="444"/>
      <c r="Q42" s="444"/>
      <c r="R42" s="444"/>
      <c r="S42" s="444"/>
      <c r="T42" s="444"/>
      <c r="U42" s="444"/>
      <c r="V42" s="444"/>
      <c r="W42" s="444"/>
    </row>
    <row r="43" spans="1:23" x14ac:dyDescent="0.25">
      <c r="K43" s="444"/>
      <c r="L43" s="444"/>
      <c r="M43" s="444"/>
      <c r="N43" s="444"/>
      <c r="O43" s="444"/>
      <c r="P43" s="444"/>
      <c r="Q43" s="444"/>
      <c r="R43" s="444"/>
      <c r="S43" s="444"/>
      <c r="T43" s="444"/>
      <c r="U43" s="444"/>
      <c r="V43" s="444"/>
      <c r="W43" s="444"/>
    </row>
    <row r="44" spans="1:23" x14ac:dyDescent="0.25"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</row>
    <row r="45" spans="1:23" x14ac:dyDescent="0.25">
      <c r="K45" s="444"/>
      <c r="L45" s="444"/>
      <c r="M45" s="444"/>
      <c r="N45" s="444"/>
      <c r="O45" s="444"/>
      <c r="P45" s="444"/>
      <c r="Q45" s="444"/>
      <c r="R45" s="444"/>
      <c r="S45" s="444"/>
      <c r="T45" s="444"/>
      <c r="U45" s="444"/>
      <c r="V45" s="444"/>
      <c r="W45" s="444"/>
    </row>
  </sheetData>
  <mergeCells count="4">
    <mergeCell ref="G2:H2"/>
    <mergeCell ref="L24:R24"/>
    <mergeCell ref="A1:D2"/>
    <mergeCell ref="L3:R3"/>
  </mergeCells>
  <conditionalFormatting sqref="M26:R37">
    <cfRule type="cellIs" dxfId="8" priority="4" operator="greaterThan">
      <formula>0</formula>
    </cfRule>
  </conditionalFormatting>
  <conditionalFormatting sqref="R5:R16">
    <cfRule type="cellIs" dxfId="7" priority="3" operator="greaterThan">
      <formula>0</formula>
    </cfRule>
  </conditionalFormatting>
  <conditionalFormatting sqref="M5:Q1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96"/>
  <sheetViews>
    <sheetView topLeftCell="A46" zoomScale="120" zoomScaleNormal="120" workbookViewId="0">
      <selection activeCell="E63" sqref="E63"/>
    </sheetView>
  </sheetViews>
  <sheetFormatPr defaultRowHeight="15" x14ac:dyDescent="0.25"/>
  <cols>
    <col min="2" max="2" width="35" customWidth="1"/>
    <col min="3" max="3" width="24.7109375" customWidth="1"/>
    <col min="4" max="4" width="22.42578125" customWidth="1"/>
    <col min="7" max="7" width="21.140625" customWidth="1"/>
    <col min="8" max="8" width="23.85546875" customWidth="1"/>
    <col min="9" max="9" width="22.7109375" customWidth="1"/>
    <col min="12" max="12" width="26.42578125" customWidth="1"/>
    <col min="13" max="13" width="20.85546875" customWidth="1"/>
    <col min="14" max="14" width="20.140625" customWidth="1"/>
    <col min="16" max="16" width="14" customWidth="1"/>
    <col min="17" max="17" width="23.85546875" customWidth="1"/>
    <col min="18" max="19" width="25.42578125" customWidth="1"/>
    <col min="20" max="20" width="17.85546875" customWidth="1"/>
  </cols>
  <sheetData>
    <row r="3" spans="2:21" x14ac:dyDescent="0.25">
      <c r="F3" s="255"/>
      <c r="G3" s="255"/>
      <c r="H3" s="255"/>
    </row>
    <row r="4" spans="2:21" x14ac:dyDescent="0.25">
      <c r="B4" s="378"/>
      <c r="C4" s="378"/>
      <c r="D4" s="378"/>
      <c r="F4" s="461"/>
      <c r="G4" s="461"/>
      <c r="H4" s="406"/>
      <c r="I4" s="255"/>
      <c r="J4" s="255"/>
      <c r="K4" s="407"/>
      <c r="L4" s="407"/>
      <c r="M4" s="407"/>
      <c r="N4" s="407"/>
      <c r="O4" s="255"/>
      <c r="P4" s="255"/>
      <c r="Q4" s="255"/>
      <c r="R4" s="255"/>
      <c r="S4" s="255"/>
      <c r="T4" s="255"/>
      <c r="U4" s="255"/>
    </row>
    <row r="5" spans="2:21" x14ac:dyDescent="0.25">
      <c r="B5" s="328" t="s">
        <v>564</v>
      </c>
      <c r="C5" s="328" t="s">
        <v>576</v>
      </c>
      <c r="D5" s="328" t="s">
        <v>577</v>
      </c>
      <c r="F5" s="407"/>
      <c r="G5" s="407"/>
      <c r="H5" s="407"/>
      <c r="I5" s="255"/>
      <c r="J5" s="255"/>
      <c r="K5" s="407"/>
      <c r="L5" s="407"/>
      <c r="M5" s="407"/>
      <c r="N5" s="407"/>
      <c r="O5" s="255"/>
      <c r="P5" s="407"/>
      <c r="Q5" s="298"/>
      <c r="R5" s="407"/>
      <c r="S5" s="407"/>
      <c r="T5" s="255"/>
      <c r="U5" s="255"/>
    </row>
    <row r="6" spans="2:21" x14ac:dyDescent="0.25">
      <c r="B6" s="422" t="s">
        <v>571</v>
      </c>
      <c r="C6" s="328">
        <v>10850</v>
      </c>
      <c r="D6" s="328">
        <v>1073.6500000000001</v>
      </c>
      <c r="F6" s="406"/>
      <c r="G6" s="407"/>
      <c r="H6" s="407"/>
      <c r="I6" s="407"/>
      <c r="J6" s="407"/>
      <c r="K6" s="406"/>
      <c r="L6" s="406"/>
      <c r="M6" s="406"/>
      <c r="N6" s="407"/>
      <c r="O6" s="255"/>
      <c r="P6" s="521"/>
      <c r="Q6" s="521"/>
      <c r="R6" s="521"/>
      <c r="S6" s="407"/>
      <c r="T6" s="521"/>
      <c r="U6" s="521"/>
    </row>
    <row r="7" spans="2:21" x14ac:dyDescent="0.25">
      <c r="B7" s="329" t="s">
        <v>570</v>
      </c>
      <c r="C7" s="329">
        <v>1800</v>
      </c>
      <c r="D7" s="329">
        <v>245.47559999999999</v>
      </c>
      <c r="F7" s="407"/>
      <c r="G7" s="461"/>
      <c r="H7" s="461"/>
      <c r="I7" s="461"/>
      <c r="J7" s="406"/>
      <c r="K7" s="407"/>
      <c r="L7" s="407"/>
      <c r="M7" s="407"/>
      <c r="N7" s="406"/>
      <c r="O7" s="255"/>
      <c r="P7" s="407"/>
      <c r="Q7" s="407"/>
      <c r="R7" s="407"/>
      <c r="S7" s="407"/>
      <c r="T7" s="407"/>
      <c r="U7" s="407"/>
    </row>
    <row r="8" spans="2:21" x14ac:dyDescent="0.25">
      <c r="B8" s="329" t="s">
        <v>542</v>
      </c>
      <c r="C8" s="329">
        <v>1750</v>
      </c>
      <c r="D8" s="329">
        <v>219.5823</v>
      </c>
      <c r="F8" s="407"/>
      <c r="G8" s="407"/>
      <c r="H8" s="407"/>
      <c r="I8" s="407"/>
      <c r="J8" s="407"/>
      <c r="K8" s="407"/>
      <c r="L8" s="407"/>
      <c r="M8" s="407"/>
      <c r="N8" s="407"/>
      <c r="O8" s="255"/>
      <c r="P8" s="406"/>
      <c r="Q8" s="406"/>
      <c r="R8" s="406"/>
      <c r="S8" s="406"/>
      <c r="T8" s="406"/>
      <c r="U8" s="406"/>
    </row>
    <row r="9" spans="2:21" x14ac:dyDescent="0.25">
      <c r="B9" s="329" t="s">
        <v>573</v>
      </c>
      <c r="C9" s="329">
        <v>7100</v>
      </c>
      <c r="D9" s="329">
        <v>716.08079999999995</v>
      </c>
      <c r="F9" s="407"/>
      <c r="G9" s="406"/>
      <c r="H9" s="406"/>
      <c r="I9" s="406"/>
      <c r="J9" s="406"/>
      <c r="K9" s="407"/>
      <c r="L9" s="407"/>
      <c r="M9" s="407"/>
      <c r="N9" s="407"/>
      <c r="O9" s="255"/>
      <c r="P9" s="407"/>
      <c r="Q9" s="407"/>
      <c r="R9" s="407"/>
      <c r="S9" s="407"/>
      <c r="T9" s="407"/>
      <c r="U9" s="407"/>
    </row>
    <row r="10" spans="2:21" x14ac:dyDescent="0.25">
      <c r="B10" s="329" t="s">
        <v>574</v>
      </c>
      <c r="C10" s="329">
        <v>4300</v>
      </c>
      <c r="D10" s="329">
        <v>506.51139999999998</v>
      </c>
      <c r="F10" s="407"/>
      <c r="G10" s="407"/>
      <c r="H10" s="407"/>
      <c r="I10" s="407"/>
      <c r="J10" s="407"/>
      <c r="K10" s="407"/>
      <c r="L10" s="407"/>
      <c r="M10" s="407"/>
      <c r="N10" s="407"/>
      <c r="O10" s="255"/>
      <c r="P10" s="407"/>
      <c r="Q10" s="407"/>
      <c r="R10" s="407"/>
      <c r="S10" s="407"/>
      <c r="T10" s="407"/>
      <c r="U10" s="407"/>
    </row>
    <row r="11" spans="2:21" x14ac:dyDescent="0.25">
      <c r="B11" s="329" t="s">
        <v>575</v>
      </c>
      <c r="C11" s="329">
        <v>9700</v>
      </c>
      <c r="D11" s="329">
        <v>1027.5519999999999</v>
      </c>
      <c r="F11" s="407"/>
      <c r="G11" s="407"/>
      <c r="H11" s="407"/>
      <c r="I11" s="407"/>
      <c r="J11" s="407"/>
      <c r="K11" s="407"/>
      <c r="L11" s="407"/>
      <c r="M11" s="407"/>
      <c r="N11" s="407"/>
      <c r="O11" s="255"/>
      <c r="P11" s="407"/>
      <c r="Q11" s="407"/>
      <c r="R11" s="407"/>
      <c r="S11" s="407"/>
      <c r="T11" s="407"/>
      <c r="U11" s="407"/>
    </row>
    <row r="12" spans="2:21" x14ac:dyDescent="0.25">
      <c r="B12" s="329" t="s">
        <v>565</v>
      </c>
      <c r="C12" s="329">
        <v>2500</v>
      </c>
      <c r="D12" s="329">
        <v>313.68900000000002</v>
      </c>
      <c r="F12" s="407"/>
      <c r="G12" s="407"/>
      <c r="H12" s="407"/>
      <c r="I12" s="407"/>
      <c r="J12" s="407"/>
      <c r="K12" s="407"/>
      <c r="L12" s="407"/>
      <c r="M12" s="407"/>
      <c r="N12" s="407"/>
      <c r="O12" s="255"/>
      <c r="P12" s="407"/>
      <c r="Q12" s="407"/>
      <c r="R12" s="407"/>
      <c r="S12" s="407"/>
      <c r="T12" s="407"/>
      <c r="U12" s="407"/>
    </row>
    <row r="13" spans="2:21" x14ac:dyDescent="0.25">
      <c r="B13" s="329" t="s">
        <v>566</v>
      </c>
      <c r="C13" s="329">
        <v>1300</v>
      </c>
      <c r="D13" s="329">
        <v>158.21340000000001</v>
      </c>
      <c r="F13" s="407"/>
      <c r="G13" s="407"/>
      <c r="H13" s="407"/>
      <c r="I13" s="407"/>
      <c r="J13" s="407"/>
      <c r="K13" s="407"/>
      <c r="L13" s="407"/>
      <c r="M13" s="407"/>
      <c r="N13" s="407"/>
      <c r="O13" s="255"/>
      <c r="P13" s="407"/>
      <c r="Q13" s="407"/>
      <c r="R13" s="407"/>
      <c r="S13" s="407"/>
      <c r="T13" s="407"/>
      <c r="U13" s="407"/>
    </row>
    <row r="14" spans="2:21" x14ac:dyDescent="0.25">
      <c r="B14" s="329" t="s">
        <v>567</v>
      </c>
      <c r="C14" s="329">
        <v>1000</v>
      </c>
      <c r="D14" s="329">
        <v>125.4756</v>
      </c>
      <c r="F14" s="407"/>
      <c r="G14" s="407"/>
      <c r="H14" s="407"/>
      <c r="I14" s="407"/>
      <c r="J14" s="407"/>
      <c r="K14" s="407"/>
      <c r="L14" s="407"/>
      <c r="M14" s="407"/>
      <c r="N14" s="407"/>
      <c r="O14" s="255"/>
      <c r="P14" s="407"/>
      <c r="Q14" s="407"/>
      <c r="R14" s="255"/>
      <c r="S14" s="255"/>
      <c r="T14" s="407"/>
      <c r="U14" s="407"/>
    </row>
    <row r="15" spans="2:21" x14ac:dyDescent="0.25">
      <c r="B15" s="329" t="s">
        <v>567</v>
      </c>
      <c r="C15" s="329">
        <v>600</v>
      </c>
      <c r="D15" s="329">
        <v>77.737799999999993</v>
      </c>
      <c r="F15" s="18"/>
      <c r="G15" s="407"/>
      <c r="H15" s="407"/>
      <c r="I15" s="407"/>
      <c r="J15" s="407"/>
      <c r="K15" s="407"/>
      <c r="L15" s="407"/>
      <c r="M15" s="407"/>
      <c r="N15" s="407"/>
      <c r="O15" s="255"/>
      <c r="P15" s="407"/>
      <c r="Q15" s="407"/>
      <c r="R15" s="255"/>
      <c r="S15" s="255"/>
      <c r="T15" s="407"/>
      <c r="U15" s="407"/>
    </row>
    <row r="16" spans="2:21" x14ac:dyDescent="0.25">
      <c r="B16" s="329" t="s">
        <v>568</v>
      </c>
      <c r="C16" s="329">
        <v>400</v>
      </c>
      <c r="D16" s="329">
        <v>60</v>
      </c>
      <c r="F16" s="18"/>
      <c r="G16" s="407"/>
      <c r="H16" s="407"/>
      <c r="I16" s="407"/>
      <c r="J16" s="255"/>
      <c r="K16" s="407"/>
      <c r="L16" s="407"/>
      <c r="M16" s="407"/>
      <c r="N16" s="255"/>
      <c r="O16" s="255"/>
      <c r="P16" s="407"/>
      <c r="Q16" s="407"/>
      <c r="R16" s="255"/>
      <c r="S16" s="255"/>
      <c r="T16" s="407"/>
      <c r="U16" s="407"/>
    </row>
    <row r="17" spans="2:21" x14ac:dyDescent="0.25">
      <c r="B17" s="329" t="s">
        <v>585</v>
      </c>
      <c r="C17" s="329">
        <v>0</v>
      </c>
      <c r="D17" s="329">
        <v>0</v>
      </c>
      <c r="F17" s="407"/>
      <c r="G17" s="18"/>
      <c r="H17" s="18"/>
      <c r="I17" s="255"/>
      <c r="J17" s="255"/>
      <c r="K17" s="407"/>
      <c r="L17" s="407"/>
      <c r="M17" s="407"/>
      <c r="N17" s="255"/>
      <c r="O17" s="255"/>
      <c r="P17" s="18"/>
      <c r="Q17" s="18"/>
      <c r="R17" s="255"/>
      <c r="S17" s="255"/>
      <c r="T17" s="18"/>
      <c r="U17" s="18"/>
    </row>
    <row r="18" spans="2:21" x14ac:dyDescent="0.25">
      <c r="B18" s="329" t="s">
        <v>584</v>
      </c>
      <c r="C18" s="329">
        <v>0</v>
      </c>
      <c r="D18" s="329">
        <v>0</v>
      </c>
      <c r="F18" s="255"/>
      <c r="G18" s="18"/>
      <c r="H18" s="18"/>
      <c r="I18" s="407"/>
      <c r="J18" s="255"/>
      <c r="K18" s="407"/>
      <c r="L18" s="407"/>
      <c r="M18" s="407"/>
      <c r="N18" s="255"/>
      <c r="O18" s="255"/>
      <c r="P18" s="18"/>
      <c r="Q18" s="18"/>
      <c r="R18" s="255"/>
      <c r="S18" s="255"/>
      <c r="T18" s="18"/>
      <c r="U18" s="18"/>
    </row>
    <row r="19" spans="2:21" x14ac:dyDescent="0.25">
      <c r="B19" s="329" t="s">
        <v>587</v>
      </c>
      <c r="C19" s="329">
        <v>0</v>
      </c>
      <c r="D19" s="329">
        <v>0</v>
      </c>
      <c r="F19" s="255"/>
      <c r="G19" s="461"/>
      <c r="H19" s="461"/>
      <c r="I19" s="461"/>
      <c r="J19" s="255"/>
      <c r="K19" s="407"/>
      <c r="L19" s="407"/>
      <c r="M19" s="407"/>
      <c r="N19" s="255"/>
      <c r="O19" s="255"/>
      <c r="P19" s="255"/>
      <c r="Q19" s="255"/>
      <c r="R19" s="298"/>
      <c r="S19" s="298"/>
      <c r="T19" s="407"/>
      <c r="U19" s="255"/>
    </row>
    <row r="20" spans="2:21" x14ac:dyDescent="0.25">
      <c r="B20" s="329" t="s">
        <v>586</v>
      </c>
      <c r="C20" s="329">
        <v>0</v>
      </c>
      <c r="D20" s="329">
        <v>0</v>
      </c>
      <c r="F20" s="255"/>
      <c r="G20" s="407"/>
      <c r="H20" s="407"/>
      <c r="I20" s="407"/>
      <c r="J20" s="255"/>
      <c r="K20" s="407"/>
      <c r="L20" s="407"/>
      <c r="M20" s="407"/>
      <c r="N20" s="255"/>
      <c r="O20" s="255"/>
      <c r="P20" s="255"/>
      <c r="Q20" s="521"/>
      <c r="R20" s="521"/>
      <c r="S20" s="407"/>
      <c r="T20" s="407"/>
      <c r="U20" s="255"/>
    </row>
    <row r="21" spans="2:21" x14ac:dyDescent="0.25">
      <c r="B21" s="407"/>
      <c r="C21" s="407"/>
      <c r="D21" s="407"/>
      <c r="F21" s="255"/>
      <c r="G21" s="406"/>
      <c r="H21" s="406"/>
      <c r="I21" s="406"/>
      <c r="J21" s="255"/>
      <c r="K21" s="407"/>
      <c r="L21" s="407"/>
      <c r="M21" s="407"/>
      <c r="N21" s="255"/>
      <c r="O21" s="255"/>
      <c r="P21" s="255"/>
      <c r="Q21" s="407"/>
      <c r="R21" s="407"/>
      <c r="S21" s="407"/>
      <c r="T21" s="407"/>
      <c r="U21" s="255"/>
    </row>
    <row r="22" spans="2:21" x14ac:dyDescent="0.25">
      <c r="B22" s="407"/>
      <c r="C22" s="407"/>
      <c r="D22" s="407"/>
      <c r="F22" s="255"/>
      <c r="G22" s="407"/>
      <c r="H22" s="407"/>
      <c r="I22" s="407"/>
      <c r="J22" s="255"/>
      <c r="K22" s="407"/>
      <c r="L22" s="407"/>
      <c r="M22" s="407"/>
      <c r="N22" s="255"/>
      <c r="O22" s="255"/>
      <c r="P22" s="255"/>
      <c r="Q22" s="407"/>
      <c r="R22" s="298"/>
      <c r="S22" s="298"/>
      <c r="T22" s="407"/>
      <c r="U22" s="255"/>
    </row>
    <row r="23" spans="2:21" x14ac:dyDescent="0.25">
      <c r="B23" s="18"/>
      <c r="C23" s="407"/>
      <c r="D23" s="407"/>
      <c r="F23" s="255"/>
      <c r="G23" s="407"/>
      <c r="H23" s="407"/>
      <c r="I23" s="407"/>
      <c r="J23" s="255"/>
      <c r="K23" s="407"/>
      <c r="L23" s="407"/>
      <c r="M23" s="407"/>
      <c r="N23" s="255"/>
      <c r="O23" s="255"/>
      <c r="P23" s="255"/>
      <c r="Q23" s="521"/>
      <c r="R23" s="521"/>
      <c r="S23" s="521"/>
      <c r="T23" s="521"/>
      <c r="U23" s="255"/>
    </row>
    <row r="24" spans="2:21" x14ac:dyDescent="0.25">
      <c r="B24" s="18"/>
      <c r="C24" s="407"/>
      <c r="D24" s="407"/>
      <c r="F24" s="255"/>
      <c r="G24" s="407"/>
      <c r="H24" s="407"/>
      <c r="I24" s="407"/>
      <c r="J24" s="255"/>
      <c r="K24" s="407"/>
      <c r="L24" s="407"/>
      <c r="M24" s="407"/>
      <c r="N24" s="407"/>
      <c r="O24" s="255"/>
      <c r="P24" s="255"/>
      <c r="Q24" s="407"/>
      <c r="R24" s="407"/>
      <c r="S24" s="407"/>
      <c r="T24" s="407"/>
      <c r="U24" s="255"/>
    </row>
    <row r="25" spans="2:21" x14ac:dyDescent="0.25">
      <c r="B25" s="255"/>
      <c r="C25" s="255"/>
      <c r="D25" s="255"/>
      <c r="F25" s="255"/>
      <c r="G25" s="407"/>
      <c r="H25" s="407"/>
      <c r="I25" s="407"/>
      <c r="J25" s="255"/>
      <c r="K25" s="407"/>
      <c r="L25" s="407"/>
      <c r="M25" s="407"/>
      <c r="N25" s="407"/>
      <c r="O25" s="255"/>
      <c r="P25" s="255"/>
      <c r="Q25" s="406"/>
      <c r="R25" s="406"/>
      <c r="S25" s="406"/>
      <c r="T25" s="406"/>
      <c r="U25" s="255"/>
    </row>
    <row r="26" spans="2:21" x14ac:dyDescent="0.25">
      <c r="B26" s="461"/>
      <c r="C26" s="461"/>
      <c r="D26" s="461"/>
      <c r="E26" s="255"/>
      <c r="F26" s="255"/>
      <c r="G26" s="407"/>
      <c r="H26" s="407"/>
      <c r="I26" s="407"/>
      <c r="J26" s="255"/>
      <c r="K26" s="407"/>
      <c r="L26" s="407"/>
      <c r="M26" s="407"/>
      <c r="N26" s="255"/>
      <c r="O26" s="255"/>
      <c r="P26" s="255"/>
      <c r="Q26" s="407"/>
      <c r="R26" s="407"/>
      <c r="S26" s="407"/>
      <c r="T26" s="407"/>
      <c r="U26" s="255"/>
    </row>
    <row r="27" spans="2:21" x14ac:dyDescent="0.25">
      <c r="B27" s="461"/>
      <c r="C27" s="461"/>
      <c r="D27" s="461"/>
      <c r="E27" s="255"/>
      <c r="F27" s="255"/>
      <c r="G27" s="407"/>
      <c r="H27" s="407"/>
      <c r="I27" s="407"/>
      <c r="J27" s="255"/>
      <c r="K27" s="18"/>
      <c r="L27" s="18"/>
      <c r="M27" s="407"/>
      <c r="N27" s="255"/>
      <c r="O27" s="255"/>
      <c r="P27" s="255"/>
      <c r="Q27" s="407"/>
      <c r="R27" s="407"/>
      <c r="S27" s="407"/>
      <c r="T27" s="407"/>
      <c r="U27" s="255"/>
    </row>
    <row r="28" spans="2:21" x14ac:dyDescent="0.25">
      <c r="B28" s="303"/>
      <c r="C28" s="303"/>
      <c r="D28" s="303"/>
      <c r="E28" s="255"/>
      <c r="F28" s="255"/>
      <c r="G28" s="407"/>
      <c r="H28" s="407"/>
      <c r="I28" s="407"/>
      <c r="J28" s="255"/>
      <c r="K28" s="18"/>
      <c r="L28" s="18"/>
      <c r="M28" s="407"/>
      <c r="N28" s="255"/>
      <c r="O28" s="255"/>
      <c r="P28" s="255"/>
      <c r="Q28" s="407"/>
      <c r="R28" s="407"/>
      <c r="S28" s="407"/>
      <c r="T28" s="407"/>
      <c r="U28" s="255"/>
    </row>
    <row r="29" spans="2:21" x14ac:dyDescent="0.25">
      <c r="B29" s="328" t="s">
        <v>495</v>
      </c>
      <c r="C29" s="328" t="s">
        <v>496</v>
      </c>
      <c r="D29" s="302"/>
      <c r="E29" s="255"/>
      <c r="G29" s="18"/>
      <c r="H29" s="18"/>
      <c r="I29" s="335"/>
      <c r="Q29" s="407"/>
      <c r="R29" s="407"/>
      <c r="S29" s="407"/>
      <c r="T29" s="407"/>
    </row>
    <row r="30" spans="2:21" x14ac:dyDescent="0.25">
      <c r="B30" s="329" t="s">
        <v>497</v>
      </c>
      <c r="C30" s="329">
        <v>799</v>
      </c>
      <c r="D30" s="303"/>
      <c r="E30" s="255"/>
      <c r="G30" s="17"/>
      <c r="H30" s="17"/>
      <c r="I30" s="5"/>
      <c r="Q30" s="407"/>
      <c r="R30" s="407"/>
      <c r="S30" s="407"/>
      <c r="T30" s="407"/>
    </row>
    <row r="31" spans="2:21" x14ac:dyDescent="0.25">
      <c r="B31" s="329" t="s">
        <v>498</v>
      </c>
      <c r="C31" s="329">
        <v>603</v>
      </c>
      <c r="D31" s="303"/>
      <c r="E31" s="255"/>
      <c r="Q31" s="407"/>
      <c r="R31" s="407"/>
      <c r="S31" s="407"/>
      <c r="T31" s="407"/>
    </row>
    <row r="32" spans="2:21" x14ac:dyDescent="0.25">
      <c r="B32" s="329" t="s">
        <v>499</v>
      </c>
      <c r="C32" s="329">
        <v>275.5</v>
      </c>
      <c r="D32" s="303"/>
      <c r="E32" s="255"/>
      <c r="Q32" s="407"/>
      <c r="R32" s="407"/>
      <c r="S32" s="407"/>
      <c r="T32" s="407"/>
    </row>
    <row r="33" spans="2:20" x14ac:dyDescent="0.25">
      <c r="B33" s="329" t="s">
        <v>500</v>
      </c>
      <c r="C33" s="329">
        <v>94</v>
      </c>
      <c r="D33" s="303"/>
      <c r="E33" s="255"/>
      <c r="Q33" s="407"/>
      <c r="R33" s="407"/>
      <c r="S33" s="407"/>
      <c r="T33" s="407"/>
    </row>
    <row r="34" spans="2:20" x14ac:dyDescent="0.25">
      <c r="B34" s="303"/>
      <c r="C34" s="303"/>
      <c r="D34" s="303"/>
      <c r="E34" s="255"/>
      <c r="Q34" s="407"/>
      <c r="R34" s="407"/>
      <c r="S34" s="407"/>
      <c r="T34" s="407"/>
    </row>
    <row r="35" spans="2:20" x14ac:dyDescent="0.25">
      <c r="B35" s="303"/>
      <c r="C35" s="303"/>
      <c r="D35" s="303"/>
      <c r="E35" s="255"/>
      <c r="Q35" s="407"/>
      <c r="R35" s="407"/>
      <c r="S35" s="407"/>
      <c r="T35" s="407"/>
    </row>
    <row r="36" spans="2:20" x14ac:dyDescent="0.25">
      <c r="B36" s="303"/>
      <c r="C36" s="303"/>
      <c r="D36" s="303"/>
      <c r="E36" s="255"/>
      <c r="Q36" s="407"/>
      <c r="R36" s="407"/>
      <c r="S36" s="407"/>
      <c r="T36" s="407"/>
    </row>
    <row r="37" spans="2:20" x14ac:dyDescent="0.25">
      <c r="B37" s="303"/>
      <c r="C37" s="303"/>
      <c r="D37" s="303"/>
      <c r="E37" s="255"/>
      <c r="Q37" s="407"/>
      <c r="R37" s="407"/>
      <c r="S37" s="407"/>
      <c r="T37" s="417"/>
    </row>
    <row r="38" spans="2:20" x14ac:dyDescent="0.25">
      <c r="B38" s="407"/>
      <c r="C38" s="407"/>
      <c r="D38" s="407"/>
      <c r="E38" s="255"/>
      <c r="Q38" s="407"/>
      <c r="R38" s="407"/>
      <c r="S38" s="407"/>
      <c r="T38" s="417"/>
    </row>
    <row r="39" spans="2:20" x14ac:dyDescent="0.25">
      <c r="B39" s="407"/>
      <c r="C39" s="407"/>
      <c r="D39" s="407"/>
      <c r="E39" s="255"/>
      <c r="Q39" s="407"/>
      <c r="R39" s="407"/>
      <c r="S39" s="407"/>
      <c r="T39" s="417"/>
    </row>
    <row r="40" spans="2:20" x14ac:dyDescent="0.25">
      <c r="B40" s="378"/>
      <c r="C40" s="378"/>
      <c r="D40" s="378"/>
      <c r="E40" s="255"/>
      <c r="G40" s="459"/>
      <c r="H40" s="459"/>
      <c r="I40" s="459"/>
      <c r="J40" s="444"/>
      <c r="Q40" s="407"/>
      <c r="R40" s="407"/>
      <c r="S40" s="407"/>
      <c r="T40" s="417"/>
    </row>
    <row r="41" spans="2:20" x14ac:dyDescent="0.25">
      <c r="B41" s="458"/>
      <c r="C41" s="458"/>
      <c r="D41" s="458"/>
      <c r="G41" s="459"/>
      <c r="H41" s="459"/>
      <c r="I41" s="459"/>
      <c r="Q41" s="407"/>
      <c r="R41" s="407"/>
      <c r="S41" s="407"/>
      <c r="T41" s="417"/>
    </row>
    <row r="42" spans="2:20" x14ac:dyDescent="0.25">
      <c r="B42" s="459"/>
      <c r="C42" s="459"/>
      <c r="D42" s="459"/>
      <c r="G42" s="459"/>
      <c r="H42" s="459"/>
      <c r="I42" s="459"/>
      <c r="Q42" s="407"/>
      <c r="R42" s="407"/>
      <c r="S42" s="407"/>
      <c r="T42" s="417"/>
    </row>
    <row r="43" spans="2:20" x14ac:dyDescent="0.25">
      <c r="B43" s="459"/>
      <c r="C43" s="459"/>
      <c r="D43" s="459"/>
      <c r="G43" s="459"/>
      <c r="H43" s="459"/>
      <c r="I43" s="459"/>
      <c r="Q43" s="18"/>
      <c r="R43" s="18"/>
      <c r="S43" s="18"/>
      <c r="T43" s="417"/>
    </row>
    <row r="44" spans="2:20" x14ac:dyDescent="0.25">
      <c r="B44" s="459"/>
      <c r="C44" s="459"/>
      <c r="D44" s="459"/>
      <c r="G44" s="459"/>
      <c r="H44" s="459"/>
      <c r="I44" s="459"/>
      <c r="Q44" s="18"/>
      <c r="R44" s="18"/>
      <c r="S44" s="18"/>
      <c r="T44" s="417"/>
    </row>
    <row r="45" spans="2:20" x14ac:dyDescent="0.25">
      <c r="B45" s="459"/>
      <c r="C45" s="459"/>
      <c r="D45" s="459"/>
      <c r="G45" s="459"/>
      <c r="H45" s="459"/>
      <c r="I45" s="459"/>
      <c r="Q45" s="255"/>
      <c r="R45" s="255"/>
      <c r="S45" s="255"/>
      <c r="T45" s="255"/>
    </row>
    <row r="46" spans="2:20" x14ac:dyDescent="0.25">
      <c r="B46" s="18"/>
      <c r="C46" s="18"/>
      <c r="D46" s="459"/>
      <c r="G46" s="459"/>
      <c r="H46" s="459"/>
      <c r="I46" s="459"/>
    </row>
    <row r="47" spans="2:20" x14ac:dyDescent="0.25">
      <c r="B47" s="328" t="s">
        <v>564</v>
      </c>
      <c r="C47" s="328" t="s">
        <v>626</v>
      </c>
      <c r="D47" s="328" t="s">
        <v>627</v>
      </c>
      <c r="E47" s="328" t="s">
        <v>628</v>
      </c>
    </row>
    <row r="48" spans="2:20" x14ac:dyDescent="0.25">
      <c r="B48" s="329" t="s">
        <v>571</v>
      </c>
      <c r="C48" s="329">
        <v>47800</v>
      </c>
      <c r="D48" s="329">
        <v>10850</v>
      </c>
      <c r="E48" s="329">
        <v>58650</v>
      </c>
    </row>
    <row r="49" spans="2:5" x14ac:dyDescent="0.25">
      <c r="B49" s="329" t="s">
        <v>570</v>
      </c>
      <c r="C49" s="329">
        <v>47800</v>
      </c>
      <c r="D49" s="329">
        <v>1800</v>
      </c>
      <c r="E49" s="329">
        <v>49600</v>
      </c>
    </row>
    <row r="50" spans="2:5" x14ac:dyDescent="0.25">
      <c r="B50" s="329" t="s">
        <v>542</v>
      </c>
      <c r="C50" s="329">
        <v>47800</v>
      </c>
      <c r="D50" s="329">
        <v>1750</v>
      </c>
      <c r="E50" s="329">
        <v>49550</v>
      </c>
    </row>
    <row r="51" spans="2:5" x14ac:dyDescent="0.25">
      <c r="B51" s="329" t="s">
        <v>573</v>
      </c>
      <c r="C51" s="329">
        <v>47800</v>
      </c>
      <c r="D51" s="329">
        <v>7100</v>
      </c>
      <c r="E51" s="329">
        <v>54900</v>
      </c>
    </row>
    <row r="52" spans="2:5" x14ac:dyDescent="0.25">
      <c r="B52" s="329" t="s">
        <v>574</v>
      </c>
      <c r="C52" s="329">
        <v>47800</v>
      </c>
      <c r="D52" s="329">
        <v>4300</v>
      </c>
      <c r="E52" s="329">
        <v>52100</v>
      </c>
    </row>
    <row r="53" spans="2:5" x14ac:dyDescent="0.25">
      <c r="B53" s="329" t="s">
        <v>575</v>
      </c>
      <c r="C53" s="329">
        <v>47800</v>
      </c>
      <c r="D53" s="329">
        <v>9700</v>
      </c>
      <c r="E53" s="329">
        <v>57500</v>
      </c>
    </row>
    <row r="54" spans="2:5" x14ac:dyDescent="0.25">
      <c r="B54" s="329" t="s">
        <v>565</v>
      </c>
      <c r="C54" s="329">
        <v>47800</v>
      </c>
      <c r="D54" s="329">
        <v>2500</v>
      </c>
      <c r="E54" s="329">
        <v>50300</v>
      </c>
    </row>
    <row r="55" spans="2:5" x14ac:dyDescent="0.25">
      <c r="B55" s="329" t="s">
        <v>629</v>
      </c>
      <c r="C55" s="329">
        <v>47800</v>
      </c>
      <c r="D55" s="329">
        <v>1300</v>
      </c>
      <c r="E55" s="329">
        <v>49100</v>
      </c>
    </row>
    <row r="56" spans="2:5" x14ac:dyDescent="0.25">
      <c r="B56" s="329" t="s">
        <v>567</v>
      </c>
      <c r="C56" s="329">
        <v>47800</v>
      </c>
      <c r="D56" s="329">
        <v>1000</v>
      </c>
      <c r="E56" s="329">
        <v>48800</v>
      </c>
    </row>
    <row r="57" spans="2:5" x14ac:dyDescent="0.25">
      <c r="B57" s="329" t="s">
        <v>630</v>
      </c>
      <c r="C57" s="329">
        <v>47800</v>
      </c>
      <c r="D57" s="329">
        <v>600</v>
      </c>
      <c r="E57" s="329">
        <v>48400</v>
      </c>
    </row>
    <row r="58" spans="2:5" x14ac:dyDescent="0.25">
      <c r="B58" s="329" t="s">
        <v>568</v>
      </c>
      <c r="C58" s="329">
        <v>47800</v>
      </c>
      <c r="D58" s="329">
        <v>400</v>
      </c>
      <c r="E58" s="329">
        <v>48200</v>
      </c>
    </row>
    <row r="59" spans="2:5" x14ac:dyDescent="0.25">
      <c r="B59" s="329" t="s">
        <v>585</v>
      </c>
      <c r="C59" s="329"/>
      <c r="D59" s="329">
        <v>0</v>
      </c>
      <c r="E59" s="329"/>
    </row>
    <row r="60" spans="2:5" x14ac:dyDescent="0.25">
      <c r="B60" s="329" t="s">
        <v>587</v>
      </c>
      <c r="C60" s="329"/>
      <c r="D60" s="329">
        <v>0</v>
      </c>
      <c r="E60" s="329">
        <v>45200</v>
      </c>
    </row>
    <row r="61" spans="2:5" x14ac:dyDescent="0.25">
      <c r="B61" s="329" t="s">
        <v>584</v>
      </c>
      <c r="C61" s="329"/>
      <c r="D61" s="329">
        <v>0</v>
      </c>
      <c r="E61" s="329"/>
    </row>
    <row r="62" spans="2:5" x14ac:dyDescent="0.25">
      <c r="B62" s="329" t="s">
        <v>586</v>
      </c>
      <c r="C62" s="329"/>
      <c r="D62" s="329">
        <v>0</v>
      </c>
      <c r="E62" s="329">
        <v>45000</v>
      </c>
    </row>
    <row r="63" spans="2:5" x14ac:dyDescent="0.25">
      <c r="B63" s="460"/>
      <c r="C63" s="460"/>
      <c r="D63" s="460"/>
    </row>
    <row r="64" spans="2:5" x14ac:dyDescent="0.25">
      <c r="B64" s="193"/>
      <c r="C64" s="460"/>
      <c r="D64" s="460"/>
    </row>
    <row r="65" spans="2:4" x14ac:dyDescent="0.25">
      <c r="B65" s="328" t="s">
        <v>564</v>
      </c>
      <c r="C65" s="328" t="s">
        <v>628</v>
      </c>
      <c r="D65" s="328" t="s">
        <v>577</v>
      </c>
    </row>
    <row r="66" spans="2:4" x14ac:dyDescent="0.25">
      <c r="B66" s="329" t="s">
        <v>571</v>
      </c>
      <c r="C66" s="329">
        <v>58650</v>
      </c>
      <c r="D66" s="329">
        <v>5167</v>
      </c>
    </row>
    <row r="67" spans="2:4" x14ac:dyDescent="0.25">
      <c r="B67" s="329" t="s">
        <v>570</v>
      </c>
      <c r="C67" s="329">
        <v>49600</v>
      </c>
      <c r="D67" s="329">
        <v>4339</v>
      </c>
    </row>
    <row r="68" spans="2:4" x14ac:dyDescent="0.25">
      <c r="B68" s="329" t="s">
        <v>542</v>
      </c>
      <c r="C68" s="329">
        <v>49550</v>
      </c>
      <c r="D68" s="329">
        <v>4313</v>
      </c>
    </row>
    <row r="69" spans="2:4" x14ac:dyDescent="0.25">
      <c r="B69" s="329" t="s">
        <v>573</v>
      </c>
      <c r="C69" s="329">
        <v>54900</v>
      </c>
      <c r="D69" s="329">
        <v>4809</v>
      </c>
    </row>
    <row r="70" spans="2:4" x14ac:dyDescent="0.25">
      <c r="B70" s="329" t="s">
        <v>574</v>
      </c>
      <c r="C70" s="329">
        <v>52100</v>
      </c>
      <c r="D70" s="329">
        <v>4599</v>
      </c>
    </row>
    <row r="71" spans="2:4" x14ac:dyDescent="0.25">
      <c r="B71" s="329" t="s">
        <v>575</v>
      </c>
      <c r="C71" s="329">
        <v>57500</v>
      </c>
      <c r="D71" s="329">
        <v>5121</v>
      </c>
    </row>
    <row r="72" spans="2:4" x14ac:dyDescent="0.25">
      <c r="B72" s="329" t="s">
        <v>565</v>
      </c>
      <c r="C72" s="329">
        <v>50300</v>
      </c>
      <c r="D72" s="329">
        <v>4407</v>
      </c>
    </row>
    <row r="73" spans="2:4" x14ac:dyDescent="0.25">
      <c r="B73" s="329" t="s">
        <v>629</v>
      </c>
      <c r="C73" s="329">
        <v>49100</v>
      </c>
      <c r="D73" s="329">
        <v>4251</v>
      </c>
    </row>
    <row r="74" spans="2:4" x14ac:dyDescent="0.25">
      <c r="B74" s="329" t="s">
        <v>567</v>
      </c>
      <c r="C74" s="329">
        <v>48800</v>
      </c>
      <c r="D74" s="329">
        <v>4219</v>
      </c>
    </row>
    <row r="75" spans="2:4" x14ac:dyDescent="0.25">
      <c r="B75" s="329" t="s">
        <v>630</v>
      </c>
      <c r="C75" s="329">
        <v>48400</v>
      </c>
      <c r="D75" s="329">
        <v>4171</v>
      </c>
    </row>
    <row r="76" spans="2:4" x14ac:dyDescent="0.25">
      <c r="B76" s="329" t="s">
        <v>568</v>
      </c>
      <c r="C76" s="329">
        <v>48200</v>
      </c>
      <c r="D76" s="329">
        <v>4153</v>
      </c>
    </row>
    <row r="77" spans="2:4" x14ac:dyDescent="0.25">
      <c r="B77" s="329" t="s">
        <v>585</v>
      </c>
      <c r="C77" s="329"/>
      <c r="D77" s="329"/>
    </row>
    <row r="78" spans="2:4" x14ac:dyDescent="0.25">
      <c r="B78" s="329" t="s">
        <v>587</v>
      </c>
      <c r="C78" s="329">
        <v>45200</v>
      </c>
      <c r="D78" s="329">
        <v>2762</v>
      </c>
    </row>
    <row r="79" spans="2:4" x14ac:dyDescent="0.25">
      <c r="B79" s="329" t="s">
        <v>584</v>
      </c>
      <c r="C79" s="329"/>
      <c r="D79" s="329"/>
    </row>
    <row r="80" spans="2:4" x14ac:dyDescent="0.25">
      <c r="B80" s="329" t="s">
        <v>586</v>
      </c>
      <c r="C80" s="329">
        <v>45000</v>
      </c>
      <c r="D80" s="329">
        <v>2763</v>
      </c>
    </row>
    <row r="93" spans="7:9" x14ac:dyDescent="0.25">
      <c r="G93" s="459"/>
      <c r="H93" s="459"/>
      <c r="I93" s="459"/>
    </row>
    <row r="94" spans="7:9" x14ac:dyDescent="0.25">
      <c r="G94" s="459"/>
      <c r="H94" s="459"/>
      <c r="I94" s="459"/>
    </row>
    <row r="95" spans="7:9" x14ac:dyDescent="0.25">
      <c r="G95" s="459"/>
      <c r="H95" s="459"/>
      <c r="I95" s="459"/>
    </row>
    <row r="96" spans="7:9" x14ac:dyDescent="0.25">
      <c r="G96" s="459"/>
      <c r="H96" s="459"/>
      <c r="I96" s="459"/>
    </row>
  </sheetData>
  <mergeCells count="9">
    <mergeCell ref="F4:G4"/>
    <mergeCell ref="G7:I7"/>
    <mergeCell ref="P6:R6"/>
    <mergeCell ref="T6:U6"/>
    <mergeCell ref="B27:D27"/>
    <mergeCell ref="G19:I19"/>
    <mergeCell ref="Q23:T23"/>
    <mergeCell ref="B26:D26"/>
    <mergeCell ref="Q20:R20"/>
  </mergeCells>
  <conditionalFormatting sqref="M59:M70">
    <cfRule type="cellIs" dxfId="5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R7" sqref="R7"/>
    </sheetView>
  </sheetViews>
  <sheetFormatPr defaultRowHeight="15" x14ac:dyDescent="0.25"/>
  <cols>
    <col min="2" max="2" width="16.140625" customWidth="1"/>
    <col min="3" max="3" width="12.5703125" customWidth="1"/>
    <col min="4" max="4" width="11.42578125" customWidth="1"/>
    <col min="5" max="5" width="16.42578125" customWidth="1"/>
    <col min="7" max="7" width="13.140625" customWidth="1"/>
    <col min="8" max="8" width="15.7109375" customWidth="1"/>
    <col min="9" max="9" width="13.28515625" customWidth="1"/>
    <col min="10" max="10" width="14.85546875" customWidth="1"/>
    <col min="11" max="11" width="15.28515625" customWidth="1"/>
    <col min="12" max="12" width="13.28515625" customWidth="1"/>
    <col min="13" max="13" width="14" customWidth="1"/>
    <col min="14" max="14" width="15.7109375" customWidth="1"/>
  </cols>
  <sheetData>
    <row r="1" spans="1:15" x14ac:dyDescent="0.25">
      <c r="A1" s="22"/>
      <c r="B1" s="22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5">
      <c r="A2" s="22"/>
      <c r="B2" s="52" t="s">
        <v>81</v>
      </c>
      <c r="C2" s="34" t="s">
        <v>82</v>
      </c>
      <c r="D2" s="34" t="s">
        <v>82</v>
      </c>
      <c r="E2" s="34" t="s">
        <v>82</v>
      </c>
      <c r="F2" s="34" t="s">
        <v>82</v>
      </c>
      <c r="G2" s="34" t="s">
        <v>82</v>
      </c>
      <c r="H2" s="34" t="s">
        <v>82</v>
      </c>
      <c r="I2" s="34" t="s">
        <v>82</v>
      </c>
      <c r="J2" s="34" t="s">
        <v>82</v>
      </c>
      <c r="K2" s="34" t="s">
        <v>82</v>
      </c>
      <c r="L2" s="34" t="s">
        <v>82</v>
      </c>
      <c r="M2" s="34" t="s">
        <v>82</v>
      </c>
      <c r="N2" s="34" t="s">
        <v>82</v>
      </c>
      <c r="O2" s="36"/>
    </row>
    <row r="3" spans="1:15" x14ac:dyDescent="0.25">
      <c r="A3" s="22"/>
      <c r="B3" s="33" t="s">
        <v>83</v>
      </c>
      <c r="C3" s="35" t="s">
        <v>84</v>
      </c>
      <c r="D3" s="35" t="s">
        <v>85</v>
      </c>
      <c r="E3" s="35" t="s">
        <v>86</v>
      </c>
      <c r="F3" s="35" t="s">
        <v>87</v>
      </c>
      <c r="G3" s="35" t="s">
        <v>88</v>
      </c>
      <c r="H3" s="35" t="s">
        <v>89</v>
      </c>
      <c r="I3" s="35" t="s">
        <v>90</v>
      </c>
      <c r="J3" s="35" t="s">
        <v>91</v>
      </c>
      <c r="K3" s="35" t="s">
        <v>92</v>
      </c>
      <c r="L3" s="35" t="s">
        <v>93</v>
      </c>
      <c r="M3" s="35" t="s">
        <v>94</v>
      </c>
      <c r="N3" s="35" t="s">
        <v>95</v>
      </c>
      <c r="O3" s="36"/>
    </row>
    <row r="4" spans="1:15" x14ac:dyDescent="0.25">
      <c r="A4" s="24" t="s">
        <v>96</v>
      </c>
      <c r="B4" s="23" t="s">
        <v>97</v>
      </c>
      <c r="C4" s="40">
        <v>0</v>
      </c>
      <c r="D4" s="41">
        <v>46014</v>
      </c>
      <c r="E4" s="41">
        <v>8457</v>
      </c>
      <c r="F4" s="41">
        <v>160501</v>
      </c>
      <c r="G4" s="41">
        <v>30828</v>
      </c>
      <c r="H4" s="41">
        <v>10992</v>
      </c>
      <c r="I4" s="41">
        <v>3859</v>
      </c>
      <c r="J4" s="41">
        <v>16578</v>
      </c>
      <c r="K4" s="41">
        <v>31065</v>
      </c>
      <c r="L4" s="41">
        <v>62829</v>
      </c>
      <c r="M4" s="41">
        <v>11073</v>
      </c>
      <c r="N4" s="42">
        <v>2825</v>
      </c>
      <c r="O4" s="43"/>
    </row>
    <row r="5" spans="1:15" x14ac:dyDescent="0.25">
      <c r="A5" s="22"/>
      <c r="B5" s="56" t="s">
        <v>98</v>
      </c>
      <c r="C5" s="44"/>
      <c r="D5" s="25" t="s">
        <v>99</v>
      </c>
      <c r="E5" s="37" t="s">
        <v>100</v>
      </c>
      <c r="F5" s="37" t="s">
        <v>101</v>
      </c>
      <c r="G5" s="37" t="s">
        <v>102</v>
      </c>
      <c r="H5" s="37" t="s">
        <v>103</v>
      </c>
      <c r="I5" s="37" t="s">
        <v>104</v>
      </c>
      <c r="J5" s="37" t="s">
        <v>105</v>
      </c>
      <c r="K5" s="37" t="s">
        <v>106</v>
      </c>
      <c r="L5" s="37" t="s">
        <v>107</v>
      </c>
      <c r="M5" s="37" t="s">
        <v>108</v>
      </c>
      <c r="N5" s="38" t="s">
        <v>109</v>
      </c>
      <c r="O5" s="34"/>
    </row>
    <row r="6" spans="1:15" x14ac:dyDescent="0.25">
      <c r="A6" s="22"/>
      <c r="B6" s="56" t="s">
        <v>110</v>
      </c>
      <c r="C6" s="44"/>
      <c r="D6" s="37" t="s">
        <v>111</v>
      </c>
      <c r="E6" s="37" t="s">
        <v>112</v>
      </c>
      <c r="F6" s="25"/>
      <c r="G6" s="25"/>
      <c r="H6" s="25"/>
      <c r="I6" s="37" t="s">
        <v>113</v>
      </c>
      <c r="J6" s="25"/>
      <c r="K6" s="37" t="s">
        <v>114</v>
      </c>
      <c r="L6" s="37" t="s">
        <v>115</v>
      </c>
      <c r="M6" s="37" t="s">
        <v>116</v>
      </c>
      <c r="N6" s="38" t="s">
        <v>117</v>
      </c>
      <c r="O6" s="43"/>
    </row>
    <row r="7" spans="1:15" x14ac:dyDescent="0.25">
      <c r="A7" s="22"/>
      <c r="B7" s="54" t="s">
        <v>118</v>
      </c>
      <c r="C7" s="44"/>
      <c r="D7" s="37" t="s">
        <v>119</v>
      </c>
      <c r="E7" s="25"/>
      <c r="F7" s="25"/>
      <c r="G7" s="25"/>
      <c r="H7" s="25"/>
      <c r="I7" s="25"/>
      <c r="J7" s="25"/>
      <c r="K7" s="25"/>
      <c r="L7" s="25"/>
      <c r="M7" s="25"/>
      <c r="N7" s="45"/>
      <c r="O7" s="43"/>
    </row>
    <row r="8" spans="1:15" x14ac:dyDescent="0.25">
      <c r="A8" s="22"/>
      <c r="B8" s="54" t="s">
        <v>120</v>
      </c>
      <c r="C8" s="44"/>
      <c r="D8" s="37" t="s">
        <v>121</v>
      </c>
      <c r="E8" s="39"/>
      <c r="F8" s="25"/>
      <c r="G8" s="25"/>
      <c r="H8" s="25"/>
      <c r="I8" s="25"/>
      <c r="J8" s="25"/>
      <c r="K8" s="25"/>
      <c r="L8" s="25"/>
      <c r="M8" s="25"/>
      <c r="N8" s="45"/>
      <c r="O8" s="43"/>
    </row>
    <row r="9" spans="1:15" x14ac:dyDescent="0.25">
      <c r="A9" s="22"/>
      <c r="B9" s="53"/>
      <c r="C9" s="44"/>
      <c r="D9" s="39"/>
      <c r="E9" s="39"/>
      <c r="F9" s="25"/>
      <c r="G9" s="25"/>
      <c r="H9" s="25"/>
      <c r="I9" s="25"/>
      <c r="J9" s="25"/>
      <c r="K9" s="25"/>
      <c r="L9" s="25"/>
      <c r="M9" s="25"/>
      <c r="N9" s="45"/>
      <c r="O9" s="43"/>
    </row>
    <row r="10" spans="1:15" x14ac:dyDescent="0.25">
      <c r="A10" s="24" t="s">
        <v>96</v>
      </c>
      <c r="B10" s="23" t="s">
        <v>122</v>
      </c>
      <c r="C10" s="46">
        <v>66416</v>
      </c>
      <c r="D10" s="47">
        <v>0</v>
      </c>
      <c r="E10" s="47">
        <v>289284</v>
      </c>
      <c r="F10" s="47">
        <v>153338</v>
      </c>
      <c r="G10" s="47">
        <v>129031</v>
      </c>
      <c r="H10" s="47">
        <v>288209</v>
      </c>
      <c r="I10" s="47">
        <v>202853</v>
      </c>
      <c r="J10" s="47">
        <v>94177</v>
      </c>
      <c r="K10" s="47">
        <v>57798</v>
      </c>
      <c r="L10" s="47">
        <v>33491</v>
      </c>
      <c r="M10" s="47">
        <v>61408</v>
      </c>
      <c r="N10" s="48">
        <v>9404</v>
      </c>
      <c r="O10" s="43"/>
    </row>
    <row r="11" spans="1:15" x14ac:dyDescent="0.25">
      <c r="A11" s="22"/>
      <c r="B11" s="56" t="s">
        <v>98</v>
      </c>
      <c r="C11" s="29" t="s">
        <v>123</v>
      </c>
      <c r="D11" s="28"/>
      <c r="E11" s="26" t="s">
        <v>124</v>
      </c>
      <c r="F11" s="26" t="s">
        <v>125</v>
      </c>
      <c r="G11" s="26" t="s">
        <v>126</v>
      </c>
      <c r="H11" s="26" t="s">
        <v>127</v>
      </c>
      <c r="I11" s="26" t="s">
        <v>128</v>
      </c>
      <c r="J11" s="26" t="s">
        <v>129</v>
      </c>
      <c r="K11" s="26" t="s">
        <v>130</v>
      </c>
      <c r="L11" s="26" t="s">
        <v>131</v>
      </c>
      <c r="M11" s="26" t="s">
        <v>132</v>
      </c>
      <c r="N11" s="27" t="s">
        <v>133</v>
      </c>
      <c r="O11" s="34"/>
    </row>
    <row r="12" spans="1:15" x14ac:dyDescent="0.25">
      <c r="A12" s="22"/>
      <c r="B12" s="56" t="s">
        <v>110</v>
      </c>
      <c r="C12" s="29" t="s">
        <v>134</v>
      </c>
      <c r="D12" s="28"/>
      <c r="E12" s="28"/>
      <c r="F12" s="28"/>
      <c r="G12" s="28"/>
      <c r="H12" s="28"/>
      <c r="I12" s="28"/>
      <c r="J12" s="28"/>
      <c r="K12" s="28"/>
      <c r="L12" s="26" t="s">
        <v>135</v>
      </c>
      <c r="M12" s="26" t="s">
        <v>136</v>
      </c>
      <c r="N12" s="27" t="s">
        <v>137</v>
      </c>
      <c r="O12" s="43"/>
    </row>
    <row r="13" spans="1:15" x14ac:dyDescent="0.25">
      <c r="A13" s="22"/>
      <c r="B13" s="54" t="s">
        <v>118</v>
      </c>
      <c r="C13" s="29" t="s">
        <v>138</v>
      </c>
      <c r="D13" s="28"/>
      <c r="E13" s="28"/>
      <c r="F13" s="28"/>
      <c r="G13" s="28"/>
      <c r="H13" s="28"/>
      <c r="I13" s="28"/>
      <c r="J13" s="28"/>
      <c r="K13" s="28"/>
      <c r="L13" s="28"/>
      <c r="M13" s="26" t="s">
        <v>139</v>
      </c>
      <c r="N13" s="30"/>
      <c r="O13" s="43"/>
    </row>
    <row r="14" spans="1:15" x14ac:dyDescent="0.25">
      <c r="A14" s="22"/>
      <c r="B14" s="54" t="s">
        <v>120</v>
      </c>
      <c r="C14" s="29" t="s">
        <v>140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0"/>
      <c r="O14" s="43"/>
    </row>
    <row r="15" spans="1:15" x14ac:dyDescent="0.25">
      <c r="A15" s="22"/>
      <c r="B15" s="22"/>
      <c r="C15" s="31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0"/>
      <c r="O15" s="43"/>
    </row>
    <row r="16" spans="1:15" x14ac:dyDescent="0.25">
      <c r="A16" s="24" t="s">
        <v>96</v>
      </c>
      <c r="B16" s="23" t="s">
        <v>141</v>
      </c>
      <c r="C16" s="46">
        <v>1300</v>
      </c>
      <c r="D16" s="47">
        <v>20517</v>
      </c>
      <c r="E16" s="47">
        <v>0</v>
      </c>
      <c r="F16" s="47">
        <v>30950</v>
      </c>
      <c r="G16" s="47">
        <v>2570</v>
      </c>
      <c r="H16" s="47">
        <v>1392</v>
      </c>
      <c r="I16" s="47">
        <v>2056</v>
      </c>
      <c r="J16" s="47">
        <v>1381</v>
      </c>
      <c r="K16" s="47">
        <v>4927</v>
      </c>
      <c r="L16" s="47">
        <v>1987</v>
      </c>
      <c r="M16" s="47">
        <v>3137</v>
      </c>
      <c r="N16" s="48">
        <v>959</v>
      </c>
      <c r="O16" s="43"/>
    </row>
    <row r="17" spans="1:15" x14ac:dyDescent="0.25">
      <c r="A17" s="22"/>
      <c r="B17" s="56" t="s">
        <v>98</v>
      </c>
      <c r="C17" s="32" t="s">
        <v>142</v>
      </c>
      <c r="D17" s="28" t="s">
        <v>143</v>
      </c>
      <c r="E17" s="28"/>
      <c r="F17" s="28" t="s">
        <v>144</v>
      </c>
      <c r="G17" s="28" t="s">
        <v>145</v>
      </c>
      <c r="H17" s="28" t="s">
        <v>146</v>
      </c>
      <c r="I17" s="28" t="s">
        <v>147</v>
      </c>
      <c r="J17" s="28" t="s">
        <v>148</v>
      </c>
      <c r="K17" s="28" t="s">
        <v>149</v>
      </c>
      <c r="L17" s="28" t="s">
        <v>150</v>
      </c>
      <c r="M17" s="28" t="s">
        <v>151</v>
      </c>
      <c r="N17" s="30" t="s">
        <v>152</v>
      </c>
      <c r="O17" s="43"/>
    </row>
    <row r="18" spans="1:15" x14ac:dyDescent="0.25">
      <c r="A18" s="22"/>
      <c r="B18" s="56" t="s">
        <v>110</v>
      </c>
      <c r="C18" s="32" t="s">
        <v>153</v>
      </c>
      <c r="D18" s="28"/>
      <c r="E18" s="28"/>
      <c r="F18" s="28"/>
      <c r="G18" s="28"/>
      <c r="H18" s="28" t="s">
        <v>154</v>
      </c>
      <c r="I18" s="28" t="s">
        <v>155</v>
      </c>
      <c r="J18" s="28" t="s">
        <v>156</v>
      </c>
      <c r="K18" s="28" t="s">
        <v>157</v>
      </c>
      <c r="L18" s="28"/>
      <c r="M18" s="28"/>
      <c r="N18" s="30"/>
      <c r="O18" s="43"/>
    </row>
    <row r="19" spans="1:15" x14ac:dyDescent="0.25">
      <c r="A19" s="22"/>
      <c r="B19" s="54" t="s">
        <v>118</v>
      </c>
      <c r="C19" s="32"/>
      <c r="D19" s="28"/>
      <c r="E19" s="28"/>
      <c r="F19" s="28"/>
      <c r="G19" s="28"/>
      <c r="H19" s="28" t="s">
        <v>158</v>
      </c>
      <c r="I19" s="28" t="s">
        <v>159</v>
      </c>
      <c r="J19" s="28" t="s">
        <v>160</v>
      </c>
      <c r="K19" s="28"/>
      <c r="L19" s="28"/>
      <c r="M19" s="28"/>
      <c r="N19" s="30"/>
      <c r="O19" s="43"/>
    </row>
    <row r="20" spans="1:15" x14ac:dyDescent="0.25">
      <c r="A20" s="22"/>
      <c r="B20" s="55"/>
      <c r="C20" s="3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0"/>
      <c r="O20" s="43"/>
    </row>
    <row r="21" spans="1:15" x14ac:dyDescent="0.25">
      <c r="A21" s="24" t="s">
        <v>96</v>
      </c>
      <c r="B21" s="23" t="s">
        <v>161</v>
      </c>
      <c r="C21" s="46">
        <v>326552</v>
      </c>
      <c r="D21" s="47">
        <v>187586</v>
      </c>
      <c r="E21" s="47">
        <v>248705</v>
      </c>
      <c r="F21" s="47">
        <v>0</v>
      </c>
      <c r="G21" s="47">
        <v>585106</v>
      </c>
      <c r="H21" s="47">
        <v>251547</v>
      </c>
      <c r="I21" s="47">
        <v>197741</v>
      </c>
      <c r="J21" s="47">
        <v>437475</v>
      </c>
      <c r="K21" s="47">
        <v>815546</v>
      </c>
      <c r="L21" s="47">
        <v>573542</v>
      </c>
      <c r="M21" s="47">
        <v>726204</v>
      </c>
      <c r="N21" s="48">
        <v>162990</v>
      </c>
      <c r="O21" s="43"/>
    </row>
    <row r="22" spans="1:15" x14ac:dyDescent="0.25">
      <c r="A22" s="22"/>
      <c r="B22" s="57" t="s">
        <v>98</v>
      </c>
      <c r="C22" s="32" t="s">
        <v>162</v>
      </c>
      <c r="D22" s="28" t="s">
        <v>163</v>
      </c>
      <c r="E22" s="28" t="s">
        <v>164</v>
      </c>
      <c r="F22" s="28"/>
      <c r="G22" s="28" t="s">
        <v>165</v>
      </c>
      <c r="H22" s="28" t="s">
        <v>166</v>
      </c>
      <c r="I22" s="28" t="s">
        <v>167</v>
      </c>
      <c r="J22" s="28" t="s">
        <v>168</v>
      </c>
      <c r="K22" s="28" t="s">
        <v>169</v>
      </c>
      <c r="L22" s="28" t="s">
        <v>170</v>
      </c>
      <c r="M22" s="28" t="s">
        <v>171</v>
      </c>
      <c r="N22" s="30" t="s">
        <v>172</v>
      </c>
      <c r="O22" s="43"/>
    </row>
    <row r="23" spans="1:15" x14ac:dyDescent="0.25">
      <c r="A23" s="22"/>
      <c r="B23" s="23"/>
      <c r="C23" s="32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0"/>
      <c r="O23" s="43"/>
    </row>
    <row r="24" spans="1:15" x14ac:dyDescent="0.25">
      <c r="A24" s="24" t="s">
        <v>96</v>
      </c>
      <c r="B24" s="23" t="s">
        <v>173</v>
      </c>
      <c r="C24" s="46">
        <v>65451</v>
      </c>
      <c r="D24" s="47">
        <v>17912</v>
      </c>
      <c r="E24" s="47">
        <v>7330</v>
      </c>
      <c r="F24" s="47">
        <v>37049</v>
      </c>
      <c r="G24" s="47">
        <v>0</v>
      </c>
      <c r="H24" s="47">
        <v>20275</v>
      </c>
      <c r="I24" s="47">
        <v>7220</v>
      </c>
      <c r="J24" s="47">
        <v>4477</v>
      </c>
      <c r="K24" s="47">
        <v>11310</v>
      </c>
      <c r="L24" s="47">
        <v>4413</v>
      </c>
      <c r="M24" s="47">
        <v>7492</v>
      </c>
      <c r="N24" s="48">
        <v>1652</v>
      </c>
      <c r="O24" s="43"/>
    </row>
    <row r="25" spans="1:15" x14ac:dyDescent="0.25">
      <c r="A25" s="22"/>
      <c r="B25" s="56" t="s">
        <v>98</v>
      </c>
      <c r="C25" s="32" t="s">
        <v>174</v>
      </c>
      <c r="D25" s="28" t="s">
        <v>175</v>
      </c>
      <c r="E25" s="28" t="s">
        <v>176</v>
      </c>
      <c r="F25" s="28" t="s">
        <v>177</v>
      </c>
      <c r="G25" s="28"/>
      <c r="H25" s="28" t="s">
        <v>178</v>
      </c>
      <c r="I25" s="28" t="s">
        <v>179</v>
      </c>
      <c r="J25" s="28" t="s">
        <v>180</v>
      </c>
      <c r="K25" s="28" t="s">
        <v>181</v>
      </c>
      <c r="L25" s="28" t="s">
        <v>182</v>
      </c>
      <c r="M25" s="28" t="s">
        <v>183</v>
      </c>
      <c r="N25" s="30" t="s">
        <v>184</v>
      </c>
      <c r="O25" s="43"/>
    </row>
    <row r="26" spans="1:15" x14ac:dyDescent="0.25">
      <c r="A26" s="22"/>
      <c r="B26" s="56" t="s">
        <v>110</v>
      </c>
      <c r="C26" s="32"/>
      <c r="D26" s="28"/>
      <c r="E26" s="28"/>
      <c r="F26" s="28"/>
      <c r="G26" s="28"/>
      <c r="H26" s="28"/>
      <c r="I26" s="28"/>
      <c r="J26" s="28"/>
      <c r="K26" s="28" t="s">
        <v>185</v>
      </c>
      <c r="L26" s="28" t="s">
        <v>186</v>
      </c>
      <c r="M26" s="28" t="s">
        <v>187</v>
      </c>
      <c r="N26" s="30" t="s">
        <v>188</v>
      </c>
      <c r="O26" s="43"/>
    </row>
    <row r="27" spans="1:15" x14ac:dyDescent="0.25">
      <c r="A27" s="22"/>
      <c r="B27" s="54" t="s">
        <v>118</v>
      </c>
      <c r="C27" s="32"/>
      <c r="D27" s="28"/>
      <c r="E27" s="28"/>
      <c r="F27" s="28"/>
      <c r="G27" s="28"/>
      <c r="H27" s="28"/>
      <c r="I27" s="28"/>
      <c r="J27" s="28"/>
      <c r="K27" s="28" t="s">
        <v>189</v>
      </c>
      <c r="L27" s="28"/>
      <c r="M27" s="28"/>
      <c r="N27" s="30"/>
      <c r="O27" s="43"/>
    </row>
    <row r="28" spans="1:15" x14ac:dyDescent="0.25">
      <c r="A28" s="22"/>
      <c r="B28" s="23"/>
      <c r="C28" s="3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0"/>
      <c r="O28" s="43"/>
    </row>
    <row r="29" spans="1:15" x14ac:dyDescent="0.25">
      <c r="A29" s="24" t="s">
        <v>96</v>
      </c>
      <c r="B29" s="23" t="s">
        <v>190</v>
      </c>
      <c r="C29" s="46">
        <v>40659</v>
      </c>
      <c r="D29" s="47">
        <v>64446</v>
      </c>
      <c r="E29" s="47">
        <v>12488</v>
      </c>
      <c r="F29" s="47">
        <v>107971</v>
      </c>
      <c r="G29" s="47">
        <v>51646</v>
      </c>
      <c r="H29" s="47">
        <v>0</v>
      </c>
      <c r="I29" s="47">
        <v>9051</v>
      </c>
      <c r="J29" s="47">
        <v>29511</v>
      </c>
      <c r="K29" s="47">
        <v>31521</v>
      </c>
      <c r="L29" s="47">
        <v>19068</v>
      </c>
      <c r="M29" s="47">
        <v>22522</v>
      </c>
      <c r="N29" s="48">
        <v>3887</v>
      </c>
      <c r="O29" s="43"/>
    </row>
    <row r="30" spans="1:15" x14ac:dyDescent="0.25">
      <c r="A30" s="22"/>
      <c r="B30" s="56" t="s">
        <v>98</v>
      </c>
      <c r="C30" s="32" t="s">
        <v>191</v>
      </c>
      <c r="D30" s="28" t="s">
        <v>192</v>
      </c>
      <c r="E30" s="28" t="s">
        <v>193</v>
      </c>
      <c r="F30" s="28" t="s">
        <v>194</v>
      </c>
      <c r="G30" s="28" t="s">
        <v>195</v>
      </c>
      <c r="H30" s="28"/>
      <c r="I30" s="28" t="s">
        <v>196</v>
      </c>
      <c r="J30" s="28" t="s">
        <v>197</v>
      </c>
      <c r="K30" s="28" t="s">
        <v>198</v>
      </c>
      <c r="L30" s="28" t="s">
        <v>199</v>
      </c>
      <c r="M30" s="28" t="s">
        <v>200</v>
      </c>
      <c r="N30" s="30" t="s">
        <v>201</v>
      </c>
      <c r="O30" s="43"/>
    </row>
    <row r="31" spans="1:15" x14ac:dyDescent="0.25">
      <c r="A31" s="22"/>
      <c r="B31" s="56" t="s">
        <v>110</v>
      </c>
      <c r="C31" s="32"/>
      <c r="D31" s="28"/>
      <c r="E31" s="28" t="s">
        <v>202</v>
      </c>
      <c r="F31" s="28"/>
      <c r="G31" s="28"/>
      <c r="H31" s="28"/>
      <c r="I31" s="28" t="s">
        <v>203</v>
      </c>
      <c r="J31" s="28"/>
      <c r="K31" s="28" t="s">
        <v>204</v>
      </c>
      <c r="L31" s="28" t="s">
        <v>205</v>
      </c>
      <c r="M31" s="28" t="s">
        <v>206</v>
      </c>
      <c r="N31" s="30" t="s">
        <v>207</v>
      </c>
      <c r="O31" s="43"/>
    </row>
    <row r="32" spans="1:15" x14ac:dyDescent="0.25">
      <c r="A32" s="22"/>
      <c r="B32" s="54" t="s">
        <v>118</v>
      </c>
      <c r="C32" s="32"/>
      <c r="D32" s="28"/>
      <c r="E32" s="28" t="s">
        <v>208</v>
      </c>
      <c r="F32" s="28"/>
      <c r="G32" s="28"/>
      <c r="H32" s="28"/>
      <c r="I32" s="28" t="s">
        <v>209</v>
      </c>
      <c r="J32" s="28"/>
      <c r="K32" s="28" t="s">
        <v>210</v>
      </c>
      <c r="L32" s="28"/>
      <c r="M32" s="28"/>
      <c r="N32" s="30"/>
      <c r="O32" s="43"/>
    </row>
    <row r="33" spans="1:15" x14ac:dyDescent="0.25">
      <c r="A33" s="22"/>
      <c r="B33" s="23"/>
      <c r="C33" s="3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30"/>
      <c r="O33" s="43"/>
    </row>
    <row r="34" spans="1:15" x14ac:dyDescent="0.25">
      <c r="A34" s="24" t="s">
        <v>96</v>
      </c>
      <c r="B34" s="23" t="s">
        <v>211</v>
      </c>
      <c r="C34" s="46">
        <v>1519</v>
      </c>
      <c r="D34" s="47">
        <v>16110</v>
      </c>
      <c r="E34" s="47">
        <v>2888</v>
      </c>
      <c r="F34" s="47">
        <v>29009</v>
      </c>
      <c r="G34" s="47">
        <v>3951</v>
      </c>
      <c r="H34" s="47">
        <v>2316</v>
      </c>
      <c r="I34" s="47">
        <v>0</v>
      </c>
      <c r="J34" s="47">
        <v>2270</v>
      </c>
      <c r="K34" s="47">
        <v>5667</v>
      </c>
      <c r="L34" s="47">
        <v>2235</v>
      </c>
      <c r="M34" s="47">
        <v>4199</v>
      </c>
      <c r="N34" s="48">
        <v>1109</v>
      </c>
      <c r="O34" s="43"/>
    </row>
    <row r="35" spans="1:15" x14ac:dyDescent="0.25">
      <c r="A35" s="22"/>
      <c r="B35" s="56" t="s">
        <v>98</v>
      </c>
      <c r="C35" s="32" t="s">
        <v>212</v>
      </c>
      <c r="D35" s="28" t="s">
        <v>213</v>
      </c>
      <c r="E35" s="28" t="s">
        <v>214</v>
      </c>
      <c r="F35" s="28" t="s">
        <v>215</v>
      </c>
      <c r="G35" s="25" t="s">
        <v>216</v>
      </c>
      <c r="H35" s="28" t="s">
        <v>217</v>
      </c>
      <c r="I35" s="28"/>
      <c r="J35" s="28" t="s">
        <v>218</v>
      </c>
      <c r="K35" s="28" t="s">
        <v>219</v>
      </c>
      <c r="L35" s="28" t="s">
        <v>220</v>
      </c>
      <c r="M35" s="28" t="s">
        <v>221</v>
      </c>
      <c r="N35" s="30" t="s">
        <v>222</v>
      </c>
      <c r="O35" s="43"/>
    </row>
    <row r="36" spans="1:15" x14ac:dyDescent="0.25">
      <c r="A36" s="22"/>
      <c r="B36" s="56" t="s">
        <v>110</v>
      </c>
      <c r="C36" s="32" t="s">
        <v>223</v>
      </c>
      <c r="D36" s="28"/>
      <c r="E36" s="28" t="s">
        <v>224</v>
      </c>
      <c r="F36" s="28"/>
      <c r="G36" s="28"/>
      <c r="H36" s="28" t="s">
        <v>225</v>
      </c>
      <c r="I36" s="28"/>
      <c r="J36" s="28" t="s">
        <v>226</v>
      </c>
      <c r="K36" s="28" t="s">
        <v>227</v>
      </c>
      <c r="L36" s="28"/>
      <c r="M36" s="28"/>
      <c r="N36" s="30"/>
      <c r="O36" s="43"/>
    </row>
    <row r="37" spans="1:15" x14ac:dyDescent="0.25">
      <c r="A37" s="22"/>
      <c r="B37" s="54" t="s">
        <v>118</v>
      </c>
      <c r="C37" s="32"/>
      <c r="D37" s="28"/>
      <c r="E37" s="28" t="s">
        <v>228</v>
      </c>
      <c r="F37" s="28"/>
      <c r="G37" s="28"/>
      <c r="H37" s="28" t="s">
        <v>229</v>
      </c>
      <c r="I37" s="28"/>
      <c r="J37" s="28" t="s">
        <v>230</v>
      </c>
      <c r="K37" s="28"/>
      <c r="L37" s="28"/>
      <c r="M37" s="28"/>
      <c r="N37" s="30"/>
      <c r="O37" s="43"/>
    </row>
    <row r="38" spans="1:15" x14ac:dyDescent="0.25">
      <c r="A38" s="22"/>
      <c r="B38" s="23"/>
      <c r="C38" s="32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0"/>
      <c r="O38" s="43"/>
    </row>
    <row r="39" spans="1:15" x14ac:dyDescent="0.25">
      <c r="A39" s="24" t="s">
        <v>96</v>
      </c>
      <c r="B39" s="23" t="s">
        <v>231</v>
      </c>
      <c r="C39" s="46">
        <v>50190</v>
      </c>
      <c r="D39" s="47">
        <v>11570</v>
      </c>
      <c r="E39" s="47">
        <v>7769</v>
      </c>
      <c r="F39" s="47">
        <v>47897</v>
      </c>
      <c r="G39" s="47">
        <v>14302</v>
      </c>
      <c r="H39" s="47">
        <v>15278</v>
      </c>
      <c r="I39" s="47">
        <v>6891</v>
      </c>
      <c r="J39" s="47">
        <v>0</v>
      </c>
      <c r="K39" s="47">
        <v>30372</v>
      </c>
      <c r="L39" s="47">
        <v>16226</v>
      </c>
      <c r="M39" s="47">
        <v>13667</v>
      </c>
      <c r="N39" s="48">
        <v>3142</v>
      </c>
      <c r="O39" s="43"/>
    </row>
    <row r="40" spans="1:15" x14ac:dyDescent="0.25">
      <c r="A40" s="22"/>
      <c r="B40" s="56" t="s">
        <v>98</v>
      </c>
      <c r="C40" s="32" t="s">
        <v>232</v>
      </c>
      <c r="D40" s="28" t="s">
        <v>233</v>
      </c>
      <c r="E40" s="28" t="s">
        <v>234</v>
      </c>
      <c r="F40" s="28" t="s">
        <v>235</v>
      </c>
      <c r="G40" s="28" t="s">
        <v>236</v>
      </c>
      <c r="H40" s="28" t="s">
        <v>237</v>
      </c>
      <c r="I40" s="28" t="s">
        <v>238</v>
      </c>
      <c r="J40" s="28"/>
      <c r="K40" s="28" t="s">
        <v>239</v>
      </c>
      <c r="L40" s="28" t="s">
        <v>240</v>
      </c>
      <c r="M40" s="28" t="s">
        <v>241</v>
      </c>
      <c r="N40" s="30" t="s">
        <v>242</v>
      </c>
      <c r="O40" s="43"/>
    </row>
    <row r="41" spans="1:15" x14ac:dyDescent="0.25">
      <c r="A41" s="22"/>
      <c r="B41" s="56" t="s">
        <v>110</v>
      </c>
      <c r="C41" s="32"/>
      <c r="D41" s="28"/>
      <c r="E41" s="28" t="s">
        <v>243</v>
      </c>
      <c r="F41" s="28"/>
      <c r="G41" s="28"/>
      <c r="H41" s="28"/>
      <c r="I41" s="28" t="s">
        <v>244</v>
      </c>
      <c r="J41" s="28"/>
      <c r="K41" s="28"/>
      <c r="L41" s="28"/>
      <c r="M41" s="28"/>
      <c r="N41" s="30"/>
      <c r="O41" s="43"/>
    </row>
    <row r="42" spans="1:15" x14ac:dyDescent="0.25">
      <c r="A42" s="22"/>
      <c r="B42" s="54" t="s">
        <v>118</v>
      </c>
      <c r="C42" s="32"/>
      <c r="D42" s="28"/>
      <c r="E42" s="28" t="s">
        <v>245</v>
      </c>
      <c r="F42" s="28"/>
      <c r="G42" s="28"/>
      <c r="H42" s="28"/>
      <c r="I42" s="28" t="s">
        <v>246</v>
      </c>
      <c r="J42" s="28"/>
      <c r="K42" s="28"/>
      <c r="L42" s="28"/>
      <c r="M42" s="28"/>
      <c r="N42" s="30"/>
      <c r="O42" s="43"/>
    </row>
    <row r="43" spans="1:15" x14ac:dyDescent="0.25">
      <c r="A43" s="22"/>
      <c r="B43" s="23"/>
      <c r="C43" s="32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0"/>
      <c r="O43" s="43"/>
    </row>
    <row r="44" spans="1:15" x14ac:dyDescent="0.25">
      <c r="A44" s="24" t="s">
        <v>96</v>
      </c>
      <c r="B44" s="23" t="s">
        <v>247</v>
      </c>
      <c r="C44" s="46">
        <v>23902</v>
      </c>
      <c r="D44" s="47">
        <v>49682</v>
      </c>
      <c r="E44" s="47">
        <v>16896</v>
      </c>
      <c r="F44" s="47">
        <v>193599</v>
      </c>
      <c r="G44" s="47">
        <v>63875</v>
      </c>
      <c r="H44" s="47">
        <v>49388</v>
      </c>
      <c r="I44" s="47">
        <v>37546</v>
      </c>
      <c r="J44" s="47">
        <v>35882</v>
      </c>
      <c r="K44" s="47">
        <v>0</v>
      </c>
      <c r="L44" s="47">
        <v>33687</v>
      </c>
      <c r="M44" s="47">
        <v>64169</v>
      </c>
      <c r="N44" s="48">
        <v>19668</v>
      </c>
      <c r="O44" s="43"/>
    </row>
    <row r="45" spans="1:15" x14ac:dyDescent="0.25">
      <c r="A45" s="22"/>
      <c r="B45" s="56" t="s">
        <v>98</v>
      </c>
      <c r="C45" s="32" t="s">
        <v>248</v>
      </c>
      <c r="D45" s="28" t="s">
        <v>249</v>
      </c>
      <c r="E45" s="28" t="s">
        <v>250</v>
      </c>
      <c r="F45" s="28" t="s">
        <v>251</v>
      </c>
      <c r="G45" s="28" t="s">
        <v>252</v>
      </c>
      <c r="H45" s="28" t="s">
        <v>253</v>
      </c>
      <c r="I45" s="28" t="s">
        <v>254</v>
      </c>
      <c r="J45" s="28" t="s">
        <v>255</v>
      </c>
      <c r="K45" s="28"/>
      <c r="L45" s="28" t="s">
        <v>256</v>
      </c>
      <c r="M45" s="28" t="s">
        <v>257</v>
      </c>
      <c r="N45" s="30" t="s">
        <v>258</v>
      </c>
      <c r="O45" s="43"/>
    </row>
    <row r="46" spans="1:15" x14ac:dyDescent="0.25">
      <c r="A46" s="22"/>
      <c r="B46" s="56" t="s">
        <v>110</v>
      </c>
      <c r="C46" s="32" t="s">
        <v>259</v>
      </c>
      <c r="D46" s="28"/>
      <c r="E46" s="28" t="s">
        <v>260</v>
      </c>
      <c r="F46" s="28"/>
      <c r="G46" s="28" t="s">
        <v>261</v>
      </c>
      <c r="H46" s="28" t="s">
        <v>262</v>
      </c>
      <c r="I46" s="28" t="s">
        <v>263</v>
      </c>
      <c r="J46" s="28"/>
      <c r="K46" s="28"/>
      <c r="L46" s="28" t="s">
        <v>264</v>
      </c>
      <c r="M46" s="28"/>
      <c r="N46" s="30" t="s">
        <v>265</v>
      </c>
      <c r="O46" s="43"/>
    </row>
    <row r="47" spans="1:15" x14ac:dyDescent="0.25">
      <c r="A47" s="22"/>
      <c r="B47" s="54" t="s">
        <v>118</v>
      </c>
      <c r="C47" s="32"/>
      <c r="D47" s="28"/>
      <c r="E47" s="28"/>
      <c r="F47" s="28"/>
      <c r="G47" s="28" t="s">
        <v>266</v>
      </c>
      <c r="H47" s="28" t="s">
        <v>267</v>
      </c>
      <c r="I47" s="28"/>
      <c r="J47" s="28"/>
      <c r="K47" s="28"/>
      <c r="L47" s="28" t="s">
        <v>268</v>
      </c>
      <c r="M47" s="28"/>
      <c r="N47" s="30"/>
      <c r="O47" s="43"/>
    </row>
    <row r="48" spans="1:15" x14ac:dyDescent="0.25">
      <c r="A48" s="22"/>
      <c r="B48" s="23"/>
      <c r="C48" s="32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0"/>
      <c r="O48" s="43"/>
    </row>
    <row r="49" spans="1:15" x14ac:dyDescent="0.25">
      <c r="A49" s="24" t="s">
        <v>96</v>
      </c>
      <c r="B49" s="23" t="s">
        <v>269</v>
      </c>
      <c r="C49" s="46">
        <v>2241</v>
      </c>
      <c r="D49" s="47">
        <v>2068</v>
      </c>
      <c r="E49" s="47">
        <v>3518</v>
      </c>
      <c r="F49" s="47">
        <v>108572</v>
      </c>
      <c r="G49" s="47">
        <v>6689</v>
      </c>
      <c r="H49" s="47">
        <v>4159</v>
      </c>
      <c r="I49" s="47">
        <v>3148</v>
      </c>
      <c r="J49" s="47">
        <v>12367</v>
      </c>
      <c r="K49" s="47">
        <v>15556</v>
      </c>
      <c r="L49" s="47">
        <v>0</v>
      </c>
      <c r="M49" s="47">
        <v>6077</v>
      </c>
      <c r="N49" s="48">
        <v>2524</v>
      </c>
      <c r="O49" s="43"/>
    </row>
    <row r="50" spans="1:15" x14ac:dyDescent="0.25">
      <c r="A50" s="22"/>
      <c r="B50" s="56" t="s">
        <v>98</v>
      </c>
      <c r="C50" s="32" t="s">
        <v>270</v>
      </c>
      <c r="D50" s="28" t="s">
        <v>271</v>
      </c>
      <c r="E50" s="28" t="s">
        <v>272</v>
      </c>
      <c r="F50" s="28" t="s">
        <v>273</v>
      </c>
      <c r="G50" s="28" t="s">
        <v>274</v>
      </c>
      <c r="H50" s="28" t="s">
        <v>275</v>
      </c>
      <c r="I50" s="28" t="s">
        <v>276</v>
      </c>
      <c r="J50" s="28" t="s">
        <v>277</v>
      </c>
      <c r="K50" s="28" t="s">
        <v>278</v>
      </c>
      <c r="L50" s="28"/>
      <c r="M50" s="28" t="s">
        <v>279</v>
      </c>
      <c r="N50" s="30" t="s">
        <v>280</v>
      </c>
      <c r="O50" s="43"/>
    </row>
    <row r="51" spans="1:15" x14ac:dyDescent="0.25">
      <c r="A51" s="22"/>
      <c r="B51" s="56" t="s">
        <v>110</v>
      </c>
      <c r="C51" s="32" t="s">
        <v>281</v>
      </c>
      <c r="D51" s="28" t="s">
        <v>282</v>
      </c>
      <c r="E51" s="28"/>
      <c r="F51" s="28"/>
      <c r="G51" s="28" t="s">
        <v>283</v>
      </c>
      <c r="H51" s="28" t="s">
        <v>284</v>
      </c>
      <c r="I51" s="28"/>
      <c r="J51" s="28"/>
      <c r="K51" s="28" t="s">
        <v>285</v>
      </c>
      <c r="L51" s="28"/>
      <c r="M51" s="28"/>
      <c r="N51" s="30" t="s">
        <v>286</v>
      </c>
      <c r="O51" s="43"/>
    </row>
    <row r="52" spans="1:15" x14ac:dyDescent="0.25">
      <c r="A52" s="22"/>
      <c r="B52" s="54" t="s">
        <v>118</v>
      </c>
      <c r="C52" s="32"/>
      <c r="D52" s="28"/>
      <c r="E52" s="28"/>
      <c r="F52" s="28"/>
      <c r="G52" s="28"/>
      <c r="H52" s="28"/>
      <c r="I52" s="28"/>
      <c r="J52" s="28"/>
      <c r="K52" s="28" t="s">
        <v>287</v>
      </c>
      <c r="L52" s="28"/>
      <c r="M52" s="28"/>
      <c r="N52" s="30"/>
      <c r="O52" s="43"/>
    </row>
    <row r="53" spans="1:15" x14ac:dyDescent="0.25">
      <c r="A53" s="22"/>
      <c r="B53" s="22"/>
      <c r="C53" s="32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0"/>
      <c r="O53" s="43"/>
    </row>
    <row r="54" spans="1:15" x14ac:dyDescent="0.25">
      <c r="A54" s="24" t="s">
        <v>96</v>
      </c>
      <c r="B54" s="23" t="s">
        <v>288</v>
      </c>
      <c r="C54" s="46">
        <v>5141</v>
      </c>
      <c r="D54" s="47">
        <v>4049</v>
      </c>
      <c r="E54" s="47">
        <v>3968</v>
      </c>
      <c r="F54" s="47">
        <v>85524</v>
      </c>
      <c r="G54" s="47">
        <v>9791</v>
      </c>
      <c r="H54" s="47">
        <v>6989</v>
      </c>
      <c r="I54" s="47">
        <v>4852</v>
      </c>
      <c r="J54" s="47">
        <v>15631</v>
      </c>
      <c r="K54" s="47">
        <v>34473</v>
      </c>
      <c r="L54" s="47">
        <v>10807</v>
      </c>
      <c r="M54" s="47">
        <v>0</v>
      </c>
      <c r="N54" s="48">
        <v>3680</v>
      </c>
      <c r="O54" s="43"/>
    </row>
    <row r="55" spans="1:15" x14ac:dyDescent="0.25">
      <c r="A55" s="22"/>
      <c r="B55" s="56" t="s">
        <v>98</v>
      </c>
      <c r="C55" s="32" t="s">
        <v>289</v>
      </c>
      <c r="D55" s="28" t="s">
        <v>290</v>
      </c>
      <c r="E55" s="28" t="s">
        <v>291</v>
      </c>
      <c r="F55" s="28" t="s">
        <v>292</v>
      </c>
      <c r="G55" s="28" t="s">
        <v>293</v>
      </c>
      <c r="H55" s="28" t="s">
        <v>294</v>
      </c>
      <c r="I55" s="28" t="s">
        <v>295</v>
      </c>
      <c r="J55" s="28" t="s">
        <v>296</v>
      </c>
      <c r="K55" s="28" t="s">
        <v>297</v>
      </c>
      <c r="L55" s="28" t="s">
        <v>298</v>
      </c>
      <c r="M55" s="28"/>
      <c r="N55" s="30" t="s">
        <v>299</v>
      </c>
      <c r="O55" s="43"/>
    </row>
    <row r="56" spans="1:15" x14ac:dyDescent="0.25">
      <c r="A56" s="22"/>
      <c r="B56" s="56" t="s">
        <v>110</v>
      </c>
      <c r="C56" s="32" t="s">
        <v>300</v>
      </c>
      <c r="D56" s="28" t="s">
        <v>301</v>
      </c>
      <c r="E56" s="28"/>
      <c r="F56" s="28"/>
      <c r="G56" s="28" t="s">
        <v>302</v>
      </c>
      <c r="H56" s="28" t="s">
        <v>303</v>
      </c>
      <c r="I56" s="28"/>
      <c r="J56" s="28"/>
      <c r="K56" s="28"/>
      <c r="L56" s="28"/>
      <c r="M56" s="28"/>
      <c r="N56" s="30" t="s">
        <v>304</v>
      </c>
      <c r="O56" s="43"/>
    </row>
    <row r="57" spans="1:15" x14ac:dyDescent="0.25">
      <c r="A57" s="22"/>
      <c r="B57" s="54" t="s">
        <v>118</v>
      </c>
      <c r="C57" s="32"/>
      <c r="D57" s="28" t="s">
        <v>305</v>
      </c>
      <c r="E57" s="28"/>
      <c r="F57" s="28"/>
      <c r="G57" s="28"/>
      <c r="H57" s="28"/>
      <c r="I57" s="28"/>
      <c r="J57" s="28"/>
      <c r="K57" s="28"/>
      <c r="L57" s="28"/>
      <c r="M57" s="28"/>
      <c r="N57" s="30"/>
      <c r="O57" s="43"/>
    </row>
    <row r="58" spans="1:15" x14ac:dyDescent="0.25">
      <c r="A58" s="22"/>
      <c r="B58" s="23"/>
      <c r="C58" s="32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0"/>
      <c r="O58" s="43"/>
    </row>
    <row r="59" spans="1:15" x14ac:dyDescent="0.25">
      <c r="A59" s="24" t="s">
        <v>96</v>
      </c>
      <c r="B59" s="23" t="s">
        <v>306</v>
      </c>
      <c r="C59" s="46">
        <v>2253</v>
      </c>
      <c r="D59" s="47">
        <v>2351</v>
      </c>
      <c r="E59" s="47">
        <v>2443</v>
      </c>
      <c r="F59" s="47">
        <v>27582</v>
      </c>
      <c r="G59" s="47">
        <v>4558</v>
      </c>
      <c r="H59" s="47">
        <v>2905</v>
      </c>
      <c r="I59" s="47">
        <v>2495</v>
      </c>
      <c r="J59" s="47">
        <v>6793</v>
      </c>
      <c r="K59" s="47">
        <v>7804</v>
      </c>
      <c r="L59" s="47">
        <v>2732</v>
      </c>
      <c r="M59" s="47">
        <v>6215</v>
      </c>
      <c r="N59" s="48">
        <v>0</v>
      </c>
      <c r="O59" s="43"/>
    </row>
    <row r="60" spans="1:15" x14ac:dyDescent="0.25">
      <c r="A60" s="22"/>
      <c r="B60" s="56" t="s">
        <v>98</v>
      </c>
      <c r="C60" s="32" t="s">
        <v>307</v>
      </c>
      <c r="D60" s="28" t="s">
        <v>308</v>
      </c>
      <c r="E60" s="28" t="s">
        <v>309</v>
      </c>
      <c r="F60" s="28" t="s">
        <v>310</v>
      </c>
      <c r="G60" s="28" t="s">
        <v>311</v>
      </c>
      <c r="H60" s="28" t="s">
        <v>312</v>
      </c>
      <c r="I60" s="28" t="s">
        <v>313</v>
      </c>
      <c r="J60" s="28" t="s">
        <v>314</v>
      </c>
      <c r="K60" s="28" t="s">
        <v>315</v>
      </c>
      <c r="L60" s="28" t="s">
        <v>316</v>
      </c>
      <c r="M60" s="28" t="s">
        <v>317</v>
      </c>
      <c r="N60" s="30"/>
      <c r="O60" s="34"/>
    </row>
    <row r="61" spans="1:15" x14ac:dyDescent="0.25">
      <c r="A61" s="22"/>
      <c r="B61" s="56" t="s">
        <v>110</v>
      </c>
      <c r="C61" s="49" t="s">
        <v>318</v>
      </c>
      <c r="D61" s="50" t="s">
        <v>319</v>
      </c>
      <c r="E61" s="50"/>
      <c r="F61" s="50"/>
      <c r="G61" s="50" t="s">
        <v>320</v>
      </c>
      <c r="H61" s="50" t="s">
        <v>321</v>
      </c>
      <c r="I61" s="50"/>
      <c r="J61" s="50"/>
      <c r="K61" s="50" t="s">
        <v>322</v>
      </c>
      <c r="L61" s="50" t="s">
        <v>323</v>
      </c>
      <c r="M61" s="50" t="s">
        <v>324</v>
      </c>
      <c r="N61" s="51"/>
      <c r="O61" s="34"/>
    </row>
    <row r="62" spans="1:15" x14ac:dyDescent="0.25">
      <c r="A62" s="22"/>
      <c r="B62" s="54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4"/>
    </row>
    <row r="63" spans="1:15" x14ac:dyDescent="0.25">
      <c r="A63" s="22"/>
      <c r="B63" s="22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4"/>
    </row>
    <row r="64" spans="1:15" x14ac:dyDescent="0.25">
      <c r="A64" s="22"/>
      <c r="B64" s="22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4"/>
    </row>
    <row r="65" spans="3:15" x14ac:dyDescent="0.2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3:15" x14ac:dyDescent="0.2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3:15" x14ac:dyDescent="0.2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3:15" x14ac:dyDescent="0.2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3:15" x14ac:dyDescent="0.2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3:15" x14ac:dyDescent="0.2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3:15" x14ac:dyDescent="0.2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3:15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3:15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3:15" x14ac:dyDescent="0.2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3:15" x14ac:dyDescent="0.2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3:15" x14ac:dyDescent="0.2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3:15" x14ac:dyDescent="0.2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3:15" x14ac:dyDescent="0.2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3:15" x14ac:dyDescent="0.2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3:15" x14ac:dyDescent="0.2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3:15" x14ac:dyDescent="0.2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3:15" x14ac:dyDescent="0.2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3:15" x14ac:dyDescent="0.2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3:15" x14ac:dyDescent="0.2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3:15" x14ac:dyDescent="0.2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3:15" x14ac:dyDescent="0.2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3:15" x14ac:dyDescent="0.2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3:15" x14ac:dyDescent="0.2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3:15" x14ac:dyDescent="0.2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3:15" x14ac:dyDescent="0.2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3:15" x14ac:dyDescent="0.2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3:15" x14ac:dyDescent="0.2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3:15" x14ac:dyDescent="0.2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3:15" x14ac:dyDescent="0.2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3:15" x14ac:dyDescent="0.2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3:15" x14ac:dyDescent="0.2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3:15" x14ac:dyDescent="0.2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3:15" x14ac:dyDescent="0.2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3:15" x14ac:dyDescent="0.2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3:15" x14ac:dyDescent="0.2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3:15" x14ac:dyDescent="0.2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3:15" x14ac:dyDescent="0.2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3:15" x14ac:dyDescent="0.2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3:15" x14ac:dyDescent="0.2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3:15" x14ac:dyDescent="0.2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3:15" x14ac:dyDescent="0.2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3:15" x14ac:dyDescent="0.2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3:15" x14ac:dyDescent="0.2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3:15" x14ac:dyDescent="0.2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3:15" x14ac:dyDescent="0.2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3:15" x14ac:dyDescent="0.2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3:15" x14ac:dyDescent="0.2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3:15" x14ac:dyDescent="0.2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3:15" x14ac:dyDescent="0.2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3:15" x14ac:dyDescent="0.2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3:15" x14ac:dyDescent="0.2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3:15" x14ac:dyDescent="0.2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3:15" x14ac:dyDescent="0.2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3:15" x14ac:dyDescent="0.2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3:15" x14ac:dyDescent="0.2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3:15" x14ac:dyDescent="0.2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3:15" x14ac:dyDescent="0.2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3:15" x14ac:dyDescent="0.2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3:15" x14ac:dyDescent="0.2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3:15" x14ac:dyDescent="0.2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3:15" x14ac:dyDescent="0.2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3:15" x14ac:dyDescent="0.2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3:15" x14ac:dyDescent="0.2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3:15" x14ac:dyDescent="0.2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3:15" x14ac:dyDescent="0.2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3:15" x14ac:dyDescent="0.2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3:15" x14ac:dyDescent="0.2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3:15" x14ac:dyDescent="0.2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3:15" x14ac:dyDescent="0.2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3:15" x14ac:dyDescent="0.2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3:15" x14ac:dyDescent="0.2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3:15" x14ac:dyDescent="0.2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3:15" x14ac:dyDescent="0.2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3:15" x14ac:dyDescent="0.2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3:15" x14ac:dyDescent="0.2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3:15" x14ac:dyDescent="0.2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3:15" x14ac:dyDescent="0.2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3:15" x14ac:dyDescent="0.2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3:15" x14ac:dyDescent="0.2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3:15" x14ac:dyDescent="0.2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3:15" x14ac:dyDescent="0.2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3:15" x14ac:dyDescent="0.2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3:15" x14ac:dyDescent="0.2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3:15" x14ac:dyDescent="0.2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3:15" x14ac:dyDescent="0.2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3:15" x14ac:dyDescent="0.2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3:15" x14ac:dyDescent="0.2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3:15" x14ac:dyDescent="0.2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9"/>
  <sheetViews>
    <sheetView topLeftCell="T31" zoomScale="130" zoomScaleNormal="130" workbookViewId="0">
      <selection activeCell="AA66" sqref="AA66"/>
    </sheetView>
  </sheetViews>
  <sheetFormatPr defaultColWidth="9" defaultRowHeight="12.75" x14ac:dyDescent="0.2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8.28515625" style="59" customWidth="1"/>
    <col min="6" max="10" width="23.7109375" style="61" customWidth="1"/>
    <col min="11" max="11" width="16.140625" style="59" customWidth="1"/>
    <col min="12" max="12" width="28.85546875" style="59" customWidth="1"/>
    <col min="13" max="15" width="17.7109375" style="59" customWidth="1"/>
    <col min="16" max="16" width="23.28515625" style="59" customWidth="1"/>
    <col min="17" max="17" width="26.42578125" style="59" customWidth="1"/>
    <col min="18" max="18" width="48.42578125" style="59" customWidth="1"/>
    <col min="19" max="19" width="23" style="58" customWidth="1"/>
    <col min="20" max="20" width="22.85546875" style="5" customWidth="1"/>
    <col min="21" max="21" width="23.7109375" style="5" customWidth="1"/>
    <col min="22" max="22" width="21.5703125" style="5" customWidth="1"/>
    <col min="23" max="29" width="9" style="5"/>
    <col min="30" max="30" width="20.28515625" style="5" customWidth="1"/>
    <col min="31" max="16384" width="9" style="5"/>
  </cols>
  <sheetData>
    <row r="1" spans="1:26" ht="14.25" customHeight="1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8"/>
      <c r="J1" s="468"/>
      <c r="K1" s="469"/>
      <c r="L1" s="465" t="s">
        <v>451</v>
      </c>
      <c r="M1" s="466"/>
      <c r="N1" s="466"/>
      <c r="O1" s="466"/>
      <c r="P1" s="466"/>
      <c r="Q1" s="476" t="s">
        <v>572</v>
      </c>
      <c r="R1" s="477"/>
      <c r="T1" s="461"/>
      <c r="U1" s="461"/>
      <c r="V1" s="461"/>
    </row>
    <row r="2" spans="1:26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89" t="s">
        <v>41</v>
      </c>
      <c r="F2" s="315" t="s">
        <v>447</v>
      </c>
      <c r="G2" s="190" t="s">
        <v>459</v>
      </c>
      <c r="H2" s="190" t="s">
        <v>461</v>
      </c>
      <c r="I2" s="190" t="s">
        <v>492</v>
      </c>
      <c r="J2" s="189" t="s">
        <v>33</v>
      </c>
      <c r="K2" s="316" t="s">
        <v>444</v>
      </c>
      <c r="L2" s="188" t="s">
        <v>446</v>
      </c>
      <c r="M2" s="188" t="s">
        <v>34</v>
      </c>
      <c r="N2" s="187" t="s">
        <v>493</v>
      </c>
      <c r="O2" s="186" t="s">
        <v>33</v>
      </c>
      <c r="P2" s="187" t="s">
        <v>444</v>
      </c>
      <c r="Q2" s="325" t="s">
        <v>443</v>
      </c>
      <c r="R2" s="185" t="s">
        <v>442</v>
      </c>
      <c r="T2" s="429"/>
      <c r="U2" s="429"/>
      <c r="V2" s="429"/>
    </row>
    <row r="3" spans="1:26" ht="15" customHeight="1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178">
        <f>IF(D3&lt;135,300, IF(AND(D3&gt;135,D3&lt;288),250, IF(AND(D3&gt;288,D3&lt;537),200,IF(AND(D3&gt;537,D3&lt;1096),150,100))))</f>
        <v>200</v>
      </c>
      <c r="F3" s="314">
        <v>131.95400000000001</v>
      </c>
      <c r="G3" s="178">
        <v>2</v>
      </c>
      <c r="H3" s="314">
        <f>F3*G3</f>
        <v>263.90800000000002</v>
      </c>
      <c r="I3" s="178">
        <f t="shared" ref="I3:I34" si="0">CEILING(H3/(0.84*E3),1)</f>
        <v>2</v>
      </c>
      <c r="J3" s="178">
        <f>I3*E3</f>
        <v>400</v>
      </c>
      <c r="K3" s="178">
        <f>J3-H3</f>
        <v>136.09199999999998</v>
      </c>
      <c r="L3" s="175" t="s">
        <v>435</v>
      </c>
      <c r="M3" s="177">
        <v>598.85</v>
      </c>
      <c r="N3" s="176">
        <f>IF(M3&lt;135,300, IF(AND(M3&gt;135,M3&lt;288),250, IF(AND(M3&gt;288,M3&lt;537),200,IF(AND(M3&gt;537,M3&lt;1096),150,100))))</f>
        <v>150</v>
      </c>
      <c r="O3" s="175">
        <f>N3*I3</f>
        <v>300</v>
      </c>
      <c r="P3" s="176">
        <f>O3-H3</f>
        <v>36.091999999999985</v>
      </c>
      <c r="Q3" s="395" t="s">
        <v>3</v>
      </c>
      <c r="R3" s="396">
        <v>45</v>
      </c>
      <c r="T3" s="423"/>
      <c r="U3" s="423"/>
      <c r="V3" s="423"/>
    </row>
    <row r="4" spans="1:26" ht="15" customHeight="1" x14ac:dyDescent="0.2">
      <c r="A4" s="462" t="s">
        <v>44</v>
      </c>
      <c r="B4" s="174" t="s">
        <v>3</v>
      </c>
      <c r="C4" s="173" t="s">
        <v>44</v>
      </c>
      <c r="D4" s="172">
        <v>424.31</v>
      </c>
      <c r="E4" s="94">
        <f t="shared" ref="E4:E56" si="1">IF(D4&lt;135,300, IF(AND(D4&gt;135,D4&lt;288),250, IF(AND(D4&gt;288,D4&lt;537),200,IF(AND(D4&gt;537,D4&lt;1096),150,100))))</f>
        <v>200</v>
      </c>
      <c r="F4" s="305">
        <v>79.758499999999998</v>
      </c>
      <c r="G4" s="84">
        <v>2</v>
      </c>
      <c r="H4" s="307">
        <f t="shared" ref="H4:H56" si="2">F4*G4</f>
        <v>159.517</v>
      </c>
      <c r="I4" s="84">
        <f t="shared" si="0"/>
        <v>1</v>
      </c>
      <c r="J4" s="84">
        <f t="shared" ref="J4:J56" si="3">I4*E4</f>
        <v>200</v>
      </c>
      <c r="K4" s="84">
        <f t="shared" ref="K4:K13" si="4">J4-H4</f>
        <v>40.483000000000004</v>
      </c>
      <c r="L4" s="168" t="s">
        <v>434</v>
      </c>
      <c r="M4" s="170">
        <v>561.44000000000005</v>
      </c>
      <c r="N4" s="92">
        <f t="shared" ref="N4:N56" si="5">IF(M4&lt;135,300, IF(AND(M4&gt;135,M4&lt;288),250, IF(AND(M4&gt;288,M4&lt;537),200,IF(AND(M4&gt;537,M4&lt;1096),150,100))))</f>
        <v>150</v>
      </c>
      <c r="O4" s="91">
        <f t="shared" ref="O4:O56" si="6">N4*I4</f>
        <v>150</v>
      </c>
      <c r="P4" s="92">
        <f t="shared" ref="P4:P13" si="7">O4-H4</f>
        <v>-9.5169999999999959</v>
      </c>
      <c r="Q4" s="470" t="s">
        <v>351</v>
      </c>
      <c r="R4" s="471"/>
      <c r="T4" s="429"/>
      <c r="U4" s="429"/>
      <c r="V4" s="429"/>
    </row>
    <row r="5" spans="1:26" ht="14.25" customHeight="1" thickBot="1" x14ac:dyDescent="0.25">
      <c r="A5" s="463"/>
      <c r="B5" s="167" t="s">
        <v>25</v>
      </c>
      <c r="C5" s="116" t="s">
        <v>65</v>
      </c>
      <c r="D5" s="95">
        <v>645.40499999999997</v>
      </c>
      <c r="E5" s="94">
        <f t="shared" si="1"/>
        <v>150</v>
      </c>
      <c r="F5" s="306">
        <v>101.52370000000001</v>
      </c>
      <c r="G5" s="73">
        <v>2</v>
      </c>
      <c r="H5" s="309">
        <f t="shared" si="2"/>
        <v>203.04740000000001</v>
      </c>
      <c r="I5" s="73">
        <f t="shared" si="0"/>
        <v>2</v>
      </c>
      <c r="J5" s="73">
        <f t="shared" si="3"/>
        <v>300</v>
      </c>
      <c r="K5" s="73">
        <f t="shared" si="4"/>
        <v>96.95259999999999</v>
      </c>
      <c r="L5" s="91" t="s">
        <v>429</v>
      </c>
      <c r="M5" s="93">
        <v>691.82</v>
      </c>
      <c r="N5" s="92">
        <f t="shared" si="5"/>
        <v>150</v>
      </c>
      <c r="O5" s="91">
        <f t="shared" si="6"/>
        <v>300</v>
      </c>
      <c r="P5" s="92">
        <f t="shared" si="7"/>
        <v>96.95259999999999</v>
      </c>
      <c r="Q5" s="472"/>
      <c r="R5" s="473"/>
      <c r="T5" s="429"/>
      <c r="U5" s="429"/>
      <c r="V5" s="429"/>
    </row>
    <row r="6" spans="1:26" ht="14.25" customHeight="1" x14ac:dyDescent="0.2">
      <c r="A6" s="462" t="s">
        <v>433</v>
      </c>
      <c r="B6" s="87" t="s">
        <v>432</v>
      </c>
      <c r="C6" s="86" t="s">
        <v>392</v>
      </c>
      <c r="D6" s="85">
        <v>774.56</v>
      </c>
      <c r="E6" s="84">
        <f t="shared" si="1"/>
        <v>150</v>
      </c>
      <c r="F6" s="307">
        <v>593.39</v>
      </c>
      <c r="G6" s="94">
        <v>2</v>
      </c>
      <c r="H6" s="306">
        <f t="shared" si="2"/>
        <v>1186.78</v>
      </c>
      <c r="I6" s="94">
        <f t="shared" si="0"/>
        <v>10</v>
      </c>
      <c r="J6" s="94">
        <f t="shared" si="3"/>
        <v>1500</v>
      </c>
      <c r="K6" s="94">
        <f t="shared" si="4"/>
        <v>313.22000000000003</v>
      </c>
      <c r="L6" s="101" t="s">
        <v>431</v>
      </c>
      <c r="M6" s="83">
        <v>778.62</v>
      </c>
      <c r="N6" s="82">
        <f t="shared" si="5"/>
        <v>150</v>
      </c>
      <c r="O6" s="101">
        <f t="shared" si="6"/>
        <v>1500</v>
      </c>
      <c r="P6" s="82">
        <f t="shared" si="7"/>
        <v>313.22000000000003</v>
      </c>
      <c r="Q6" s="397" t="s">
        <v>3</v>
      </c>
      <c r="R6" s="383">
        <v>23</v>
      </c>
      <c r="T6" s="429"/>
      <c r="U6" s="429"/>
      <c r="V6" s="429"/>
    </row>
    <row r="7" spans="1:26" ht="14.25" customHeight="1" x14ac:dyDescent="0.2">
      <c r="A7" s="464"/>
      <c r="B7" s="97" t="s">
        <v>4</v>
      </c>
      <c r="C7" s="96" t="s">
        <v>45</v>
      </c>
      <c r="D7" s="110">
        <v>221.095</v>
      </c>
      <c r="E7" s="94">
        <f t="shared" si="1"/>
        <v>250</v>
      </c>
      <c r="F7" s="311">
        <v>165.54</v>
      </c>
      <c r="G7" s="94">
        <v>2</v>
      </c>
      <c r="H7" s="306">
        <f t="shared" si="2"/>
        <v>331.08</v>
      </c>
      <c r="I7" s="94">
        <f t="shared" si="0"/>
        <v>2</v>
      </c>
      <c r="J7" s="94">
        <f t="shared" si="3"/>
        <v>500</v>
      </c>
      <c r="K7" s="94">
        <f t="shared" si="4"/>
        <v>168.92000000000002</v>
      </c>
      <c r="L7" s="102" t="s">
        <v>430</v>
      </c>
      <c r="M7" s="108">
        <v>904.18</v>
      </c>
      <c r="N7" s="92">
        <f t="shared" si="5"/>
        <v>150</v>
      </c>
      <c r="O7" s="91">
        <f t="shared" si="6"/>
        <v>300</v>
      </c>
      <c r="P7" s="92">
        <f t="shared" si="7"/>
        <v>-31.079999999999984</v>
      </c>
      <c r="Q7" s="398"/>
      <c r="R7" s="384"/>
      <c r="T7" s="354" t="s">
        <v>534</v>
      </c>
      <c r="U7" s="354" t="s">
        <v>535</v>
      </c>
      <c r="V7" s="355" t="s">
        <v>536</v>
      </c>
      <c r="W7" s="343"/>
      <c r="X7" s="343"/>
    </row>
    <row r="8" spans="1:26" ht="14.25" customHeight="1" thickBot="1" x14ac:dyDescent="0.25">
      <c r="A8" s="464"/>
      <c r="B8" s="97" t="s">
        <v>25</v>
      </c>
      <c r="C8" s="96" t="s">
        <v>65</v>
      </c>
      <c r="D8" s="95">
        <v>645.40499999999997</v>
      </c>
      <c r="E8" s="73">
        <f t="shared" si="1"/>
        <v>150</v>
      </c>
      <c r="F8" s="306">
        <v>101.52370000000001</v>
      </c>
      <c r="G8" s="94">
        <v>2</v>
      </c>
      <c r="H8" s="306">
        <f t="shared" si="2"/>
        <v>203.04740000000001</v>
      </c>
      <c r="I8" s="94">
        <f t="shared" si="0"/>
        <v>2</v>
      </c>
      <c r="J8" s="94">
        <f t="shared" si="3"/>
        <v>300</v>
      </c>
      <c r="K8" s="94">
        <f t="shared" si="4"/>
        <v>96.95259999999999</v>
      </c>
      <c r="L8" s="91" t="s">
        <v>429</v>
      </c>
      <c r="M8" s="93">
        <v>691.82</v>
      </c>
      <c r="N8" s="121">
        <f t="shared" si="5"/>
        <v>150</v>
      </c>
      <c r="O8" s="70">
        <f t="shared" si="6"/>
        <v>300</v>
      </c>
      <c r="P8" s="121">
        <f t="shared" si="7"/>
        <v>96.95259999999999</v>
      </c>
      <c r="Q8" s="399"/>
      <c r="R8" s="385"/>
      <c r="T8" s="61" t="s">
        <v>529</v>
      </c>
      <c r="U8" s="61">
        <v>100</v>
      </c>
      <c r="V8" s="62">
        <v>15</v>
      </c>
      <c r="W8" s="343"/>
      <c r="X8" s="343"/>
    </row>
    <row r="9" spans="1:26" ht="14.25" customHeight="1" x14ac:dyDescent="0.2">
      <c r="A9" s="462" t="s">
        <v>46</v>
      </c>
      <c r="B9" s="87" t="s">
        <v>5</v>
      </c>
      <c r="C9" s="86" t="s">
        <v>46</v>
      </c>
      <c r="D9" s="85">
        <v>87.444999999999993</v>
      </c>
      <c r="E9" s="94">
        <f t="shared" si="1"/>
        <v>300</v>
      </c>
      <c r="F9" s="307">
        <v>330.03719999999998</v>
      </c>
      <c r="G9" s="84">
        <v>2</v>
      </c>
      <c r="H9" s="307">
        <f t="shared" si="2"/>
        <v>660.07439999999997</v>
      </c>
      <c r="I9" s="84">
        <f t="shared" si="0"/>
        <v>3</v>
      </c>
      <c r="J9" s="84">
        <f t="shared" si="3"/>
        <v>900</v>
      </c>
      <c r="K9" s="84">
        <f t="shared" si="4"/>
        <v>239.92560000000003</v>
      </c>
      <c r="L9" s="101" t="s">
        <v>428</v>
      </c>
      <c r="M9" s="83">
        <v>243.73500000000001</v>
      </c>
      <c r="N9" s="92">
        <f t="shared" si="5"/>
        <v>250</v>
      </c>
      <c r="O9" s="91">
        <f t="shared" si="6"/>
        <v>750</v>
      </c>
      <c r="P9" s="92">
        <f t="shared" si="7"/>
        <v>89.925600000000031</v>
      </c>
      <c r="Q9" s="317" t="s">
        <v>6</v>
      </c>
      <c r="R9" s="125">
        <v>570</v>
      </c>
      <c r="T9" s="356" t="s">
        <v>530</v>
      </c>
      <c r="U9" s="356">
        <v>150</v>
      </c>
      <c r="V9" s="60">
        <v>16.3689</v>
      </c>
      <c r="W9" s="343"/>
      <c r="X9" s="343"/>
      <c r="Z9" s="339"/>
    </row>
    <row r="10" spans="1:26" ht="14.25" customHeight="1" x14ac:dyDescent="0.2">
      <c r="A10" s="464"/>
      <c r="B10" s="97" t="s">
        <v>7</v>
      </c>
      <c r="C10" s="96" t="s">
        <v>48</v>
      </c>
      <c r="D10" s="110">
        <v>457.755</v>
      </c>
      <c r="E10" s="94">
        <f t="shared" si="1"/>
        <v>200</v>
      </c>
      <c r="F10" s="311">
        <v>200.11</v>
      </c>
      <c r="G10" s="94">
        <v>2</v>
      </c>
      <c r="H10" s="306">
        <f t="shared" si="2"/>
        <v>400.22</v>
      </c>
      <c r="I10" s="94">
        <f t="shared" si="0"/>
        <v>3</v>
      </c>
      <c r="J10" s="94">
        <f t="shared" si="3"/>
        <v>600</v>
      </c>
      <c r="K10" s="94">
        <f t="shared" si="4"/>
        <v>199.77999999999997</v>
      </c>
      <c r="L10" s="102" t="s">
        <v>427</v>
      </c>
      <c r="M10" s="108">
        <v>614.06500000000005</v>
      </c>
      <c r="N10" s="92">
        <f t="shared" si="5"/>
        <v>150</v>
      </c>
      <c r="O10" s="91">
        <f t="shared" si="6"/>
        <v>450</v>
      </c>
      <c r="P10" s="92">
        <f t="shared" si="7"/>
        <v>49.779999999999973</v>
      </c>
      <c r="Q10" s="318" t="s">
        <v>401</v>
      </c>
      <c r="R10" s="146">
        <v>35</v>
      </c>
      <c r="T10" s="356" t="s">
        <v>531</v>
      </c>
      <c r="U10" s="356">
        <v>200</v>
      </c>
      <c r="V10" s="60">
        <v>16.746700000000001</v>
      </c>
      <c r="W10" s="343"/>
      <c r="X10" s="343"/>
      <c r="Z10" s="339"/>
    </row>
    <row r="11" spans="1:26" ht="14.25" customHeight="1" x14ac:dyDescent="0.2">
      <c r="A11" s="464"/>
      <c r="B11" s="97" t="s">
        <v>8</v>
      </c>
      <c r="C11" s="96" t="s">
        <v>74</v>
      </c>
      <c r="D11" s="110">
        <v>632.29</v>
      </c>
      <c r="E11" s="94">
        <f t="shared" si="1"/>
        <v>150</v>
      </c>
      <c r="F11" s="311">
        <v>416.14780000000002</v>
      </c>
      <c r="G11" s="94">
        <v>2</v>
      </c>
      <c r="H11" s="306">
        <f t="shared" si="2"/>
        <v>832.29560000000004</v>
      </c>
      <c r="I11" s="94">
        <f t="shared" si="0"/>
        <v>7</v>
      </c>
      <c r="J11" s="94">
        <f t="shared" si="3"/>
        <v>1050</v>
      </c>
      <c r="K11" s="94">
        <f t="shared" si="4"/>
        <v>217.70439999999996</v>
      </c>
      <c r="L11" s="102" t="s">
        <v>426</v>
      </c>
      <c r="M11" s="108">
        <v>692.19500000000005</v>
      </c>
      <c r="N11" s="92">
        <f t="shared" si="5"/>
        <v>150</v>
      </c>
      <c r="O11" s="91">
        <f t="shared" si="6"/>
        <v>1050</v>
      </c>
      <c r="P11" s="92">
        <f t="shared" si="7"/>
        <v>217.70439999999996</v>
      </c>
      <c r="Q11" s="318" t="s">
        <v>12</v>
      </c>
      <c r="R11" s="146">
        <v>500</v>
      </c>
      <c r="T11" s="356" t="s">
        <v>532</v>
      </c>
      <c r="U11" s="356">
        <v>250</v>
      </c>
      <c r="V11" s="60">
        <v>16.886600000000001</v>
      </c>
      <c r="W11" s="343"/>
      <c r="X11" s="343"/>
      <c r="Z11" s="339"/>
    </row>
    <row r="12" spans="1:26" ht="14.25" customHeight="1" x14ac:dyDescent="0.2">
      <c r="A12" s="464"/>
      <c r="B12" s="97" t="s">
        <v>12</v>
      </c>
      <c r="C12" s="96" t="s">
        <v>52</v>
      </c>
      <c r="D12" s="110">
        <v>428.91</v>
      </c>
      <c r="E12" s="94">
        <f t="shared" si="1"/>
        <v>200</v>
      </c>
      <c r="F12" s="311">
        <v>320.77999999999997</v>
      </c>
      <c r="G12" s="94">
        <v>2</v>
      </c>
      <c r="H12" s="306">
        <f t="shared" si="2"/>
        <v>641.55999999999995</v>
      </c>
      <c r="I12" s="94">
        <f t="shared" si="0"/>
        <v>4</v>
      </c>
      <c r="J12" s="94">
        <f t="shared" si="3"/>
        <v>800</v>
      </c>
      <c r="K12" s="94">
        <f t="shared" si="4"/>
        <v>158.44000000000005</v>
      </c>
      <c r="L12" s="102" t="s">
        <v>420</v>
      </c>
      <c r="M12" s="108">
        <v>440.09</v>
      </c>
      <c r="N12" s="92">
        <f t="shared" si="5"/>
        <v>200</v>
      </c>
      <c r="O12" s="91">
        <f t="shared" si="6"/>
        <v>800</v>
      </c>
      <c r="P12" s="92">
        <f t="shared" si="7"/>
        <v>158.44000000000005</v>
      </c>
      <c r="Q12" s="318" t="s">
        <v>22</v>
      </c>
      <c r="R12" s="146">
        <v>5</v>
      </c>
      <c r="T12" s="357" t="s">
        <v>533</v>
      </c>
      <c r="U12" s="357">
        <v>400</v>
      </c>
      <c r="V12" s="358">
        <v>17</v>
      </c>
      <c r="W12" s="343"/>
      <c r="X12" s="343"/>
      <c r="Z12" s="339"/>
    </row>
    <row r="13" spans="1:26" ht="14.25" customHeight="1" thickBot="1" x14ac:dyDescent="0.25">
      <c r="A13" s="464"/>
      <c r="B13" s="97" t="s">
        <v>396</v>
      </c>
      <c r="C13" s="96" t="s">
        <v>63</v>
      </c>
      <c r="D13" s="95">
        <v>530.30999999999995</v>
      </c>
      <c r="E13" s="94">
        <f t="shared" si="1"/>
        <v>200</v>
      </c>
      <c r="F13" s="306">
        <v>22.35</v>
      </c>
      <c r="G13" s="73">
        <v>2</v>
      </c>
      <c r="H13" s="309">
        <f t="shared" si="2"/>
        <v>44.7</v>
      </c>
      <c r="I13" s="73">
        <f t="shared" si="0"/>
        <v>1</v>
      </c>
      <c r="J13" s="73">
        <f t="shared" si="3"/>
        <v>200</v>
      </c>
      <c r="K13" s="73">
        <f t="shared" si="4"/>
        <v>155.30000000000001</v>
      </c>
      <c r="L13" s="91" t="s">
        <v>418</v>
      </c>
      <c r="M13" s="93">
        <v>541.49</v>
      </c>
      <c r="N13" s="92">
        <f t="shared" si="5"/>
        <v>150</v>
      </c>
      <c r="O13" s="91">
        <f t="shared" si="6"/>
        <v>150</v>
      </c>
      <c r="P13" s="92">
        <f t="shared" si="7"/>
        <v>105.3</v>
      </c>
      <c r="Q13" s="319" t="s">
        <v>469</v>
      </c>
      <c r="R13" s="120">
        <v>55</v>
      </c>
      <c r="T13" s="343"/>
      <c r="U13" s="343"/>
      <c r="W13" s="343"/>
      <c r="X13" s="343"/>
      <c r="Z13" s="339"/>
    </row>
    <row r="14" spans="1:26" ht="13.5" thickBot="1" x14ac:dyDescent="0.25">
      <c r="A14" s="114" t="s">
        <v>426</v>
      </c>
      <c r="B14" s="87" t="s">
        <v>351</v>
      </c>
      <c r="C14" s="157"/>
      <c r="D14" s="85"/>
      <c r="E14" s="178">
        <f t="shared" si="1"/>
        <v>300</v>
      </c>
      <c r="F14" s="307"/>
      <c r="G14" s="94">
        <v>2</v>
      </c>
      <c r="H14" s="306">
        <f t="shared" si="2"/>
        <v>0</v>
      </c>
      <c r="I14" s="94">
        <f t="shared" si="0"/>
        <v>0</v>
      </c>
      <c r="J14" s="94">
        <f t="shared" si="3"/>
        <v>0</v>
      </c>
      <c r="K14" s="94"/>
      <c r="L14" s="101"/>
      <c r="M14" s="83"/>
      <c r="N14" s="176">
        <f t="shared" si="5"/>
        <v>300</v>
      </c>
      <c r="O14" s="175">
        <f t="shared" si="6"/>
        <v>0</v>
      </c>
      <c r="P14" s="176"/>
      <c r="Q14" s="389"/>
      <c r="R14" s="390"/>
      <c r="T14" s="343"/>
      <c r="U14" s="343"/>
      <c r="W14" s="343"/>
      <c r="X14" s="343"/>
      <c r="Y14" s="341"/>
      <c r="Z14" s="339"/>
    </row>
    <row r="15" spans="1:26" ht="14.25" customHeight="1" x14ac:dyDescent="0.2">
      <c r="A15" s="462" t="s">
        <v>49</v>
      </c>
      <c r="B15" s="87" t="s">
        <v>425</v>
      </c>
      <c r="C15" s="86" t="s">
        <v>47</v>
      </c>
      <c r="D15" s="85">
        <v>341.36500000000001</v>
      </c>
      <c r="E15" s="94">
        <f t="shared" si="1"/>
        <v>200</v>
      </c>
      <c r="F15" s="307">
        <v>414.50749999999999</v>
      </c>
      <c r="G15" s="84">
        <v>2</v>
      </c>
      <c r="H15" s="307">
        <f t="shared" si="2"/>
        <v>829.01499999999999</v>
      </c>
      <c r="I15" s="84">
        <f t="shared" si="0"/>
        <v>5</v>
      </c>
      <c r="J15" s="84">
        <f t="shared" si="3"/>
        <v>1000</v>
      </c>
      <c r="K15" s="84">
        <f>J15-H15</f>
        <v>170.98500000000001</v>
      </c>
      <c r="L15" s="101" t="s">
        <v>424</v>
      </c>
      <c r="M15" s="83">
        <v>527.53499999999997</v>
      </c>
      <c r="N15" s="92">
        <f t="shared" si="5"/>
        <v>200</v>
      </c>
      <c r="O15" s="91">
        <f t="shared" si="6"/>
        <v>1000</v>
      </c>
      <c r="P15" s="92">
        <f>O15-H15</f>
        <v>170.98500000000001</v>
      </c>
      <c r="Q15" s="320"/>
      <c r="R15" s="125"/>
      <c r="T15" s="18"/>
      <c r="U15" s="343"/>
      <c r="W15" s="343"/>
      <c r="X15" s="343"/>
      <c r="Z15" s="339"/>
    </row>
    <row r="16" spans="1:26" ht="14.25" customHeight="1" x14ac:dyDescent="0.2">
      <c r="A16" s="464"/>
      <c r="B16" s="97" t="s">
        <v>9</v>
      </c>
      <c r="C16" s="96" t="s">
        <v>423</v>
      </c>
      <c r="D16" s="110">
        <v>72.555000000000007</v>
      </c>
      <c r="E16" s="94">
        <f t="shared" si="1"/>
        <v>300</v>
      </c>
      <c r="F16" s="311">
        <v>249.06020000000001</v>
      </c>
      <c r="G16" s="94">
        <v>2</v>
      </c>
      <c r="H16" s="306">
        <f t="shared" si="2"/>
        <v>498.12040000000002</v>
      </c>
      <c r="I16" s="94">
        <f t="shared" si="0"/>
        <v>2</v>
      </c>
      <c r="J16" s="94">
        <f t="shared" si="3"/>
        <v>600</v>
      </c>
      <c r="K16" s="94">
        <f t="shared" ref="K16:K24" si="8">J16-H16</f>
        <v>101.87959999999998</v>
      </c>
      <c r="L16" s="102" t="s">
        <v>422</v>
      </c>
      <c r="M16" s="108">
        <v>258.625</v>
      </c>
      <c r="N16" s="92">
        <f t="shared" si="5"/>
        <v>250</v>
      </c>
      <c r="O16" s="91">
        <f t="shared" si="6"/>
        <v>500</v>
      </c>
      <c r="P16" s="92">
        <f t="shared" ref="P16:P24" si="9">O16-H16</f>
        <v>1.8795999999999822</v>
      </c>
      <c r="Q16" s="321" t="s">
        <v>6</v>
      </c>
      <c r="R16" s="143">
        <v>267</v>
      </c>
      <c r="T16" s="343"/>
      <c r="U16" s="343"/>
    </row>
    <row r="17" spans="1:32" ht="14.25" customHeight="1" x14ac:dyDescent="0.2">
      <c r="A17" s="464"/>
      <c r="B17" s="97" t="s">
        <v>10</v>
      </c>
      <c r="C17" s="96" t="s">
        <v>386</v>
      </c>
      <c r="D17" s="110">
        <v>894.93</v>
      </c>
      <c r="E17" s="94">
        <f t="shared" si="1"/>
        <v>150</v>
      </c>
      <c r="F17" s="311">
        <v>185.4342</v>
      </c>
      <c r="G17" s="94">
        <v>2</v>
      </c>
      <c r="H17" s="306">
        <f t="shared" si="2"/>
        <v>370.86840000000001</v>
      </c>
      <c r="I17" s="94">
        <f t="shared" si="0"/>
        <v>3</v>
      </c>
      <c r="J17" s="94">
        <f t="shared" si="3"/>
        <v>450</v>
      </c>
      <c r="K17" s="94">
        <f t="shared" si="8"/>
        <v>79.131599999999992</v>
      </c>
      <c r="L17" s="102" t="s">
        <v>385</v>
      </c>
      <c r="M17" s="108">
        <v>975.03499999999997</v>
      </c>
      <c r="N17" s="92">
        <f t="shared" si="5"/>
        <v>150</v>
      </c>
      <c r="O17" s="91">
        <f t="shared" si="6"/>
        <v>450</v>
      </c>
      <c r="P17" s="92">
        <f t="shared" si="9"/>
        <v>79.131599999999992</v>
      </c>
      <c r="Q17" s="321" t="s">
        <v>16</v>
      </c>
      <c r="R17" s="143">
        <v>350</v>
      </c>
      <c r="T17" s="343"/>
      <c r="U17" s="343"/>
    </row>
    <row r="18" spans="1:32" ht="14.25" customHeight="1" x14ac:dyDescent="0.2">
      <c r="A18" s="464"/>
      <c r="B18" s="97" t="s">
        <v>11</v>
      </c>
      <c r="C18" s="96" t="s">
        <v>378</v>
      </c>
      <c r="D18" s="110">
        <v>839.23</v>
      </c>
      <c r="E18" s="94">
        <f t="shared" si="1"/>
        <v>150</v>
      </c>
      <c r="F18" s="311">
        <v>213.84829999999999</v>
      </c>
      <c r="G18" s="94">
        <v>2</v>
      </c>
      <c r="H18" s="306">
        <f t="shared" si="2"/>
        <v>427.69659999999999</v>
      </c>
      <c r="I18" s="94">
        <f t="shared" si="0"/>
        <v>4</v>
      </c>
      <c r="J18" s="94">
        <f t="shared" si="3"/>
        <v>600</v>
      </c>
      <c r="K18" s="94">
        <f t="shared" si="8"/>
        <v>172.30340000000001</v>
      </c>
      <c r="L18" s="102" t="s">
        <v>421</v>
      </c>
      <c r="M18" s="108">
        <v>1025.3</v>
      </c>
      <c r="N18" s="92">
        <f t="shared" si="5"/>
        <v>150</v>
      </c>
      <c r="O18" s="91">
        <f t="shared" si="6"/>
        <v>600</v>
      </c>
      <c r="P18" s="92">
        <f t="shared" si="9"/>
        <v>172.30340000000001</v>
      </c>
      <c r="Q18" s="322"/>
      <c r="R18" s="143"/>
      <c r="T18" s="343"/>
      <c r="U18" s="343"/>
      <c r="W18" s="343"/>
      <c r="X18" s="343"/>
      <c r="Y18" s="343"/>
      <c r="Z18" s="343"/>
    </row>
    <row r="19" spans="1:32" ht="14.25" customHeight="1" x14ac:dyDescent="0.2">
      <c r="A19" s="464"/>
      <c r="B19" s="97" t="s">
        <v>12</v>
      </c>
      <c r="C19" s="96" t="s">
        <v>52</v>
      </c>
      <c r="D19" s="110">
        <v>428.91</v>
      </c>
      <c r="E19" s="94">
        <f t="shared" si="1"/>
        <v>200</v>
      </c>
      <c r="F19" s="311">
        <v>320.7817</v>
      </c>
      <c r="G19" s="94">
        <v>2</v>
      </c>
      <c r="H19" s="306">
        <f t="shared" si="2"/>
        <v>641.5634</v>
      </c>
      <c r="I19" s="94">
        <f t="shared" si="0"/>
        <v>4</v>
      </c>
      <c r="J19" s="94">
        <f t="shared" si="3"/>
        <v>800</v>
      </c>
      <c r="K19" s="94">
        <f t="shared" si="8"/>
        <v>158.4366</v>
      </c>
      <c r="L19" s="102" t="s">
        <v>420</v>
      </c>
      <c r="M19" s="108">
        <v>440.09</v>
      </c>
      <c r="N19" s="92">
        <f t="shared" si="5"/>
        <v>200</v>
      </c>
      <c r="O19" s="91">
        <f t="shared" si="6"/>
        <v>800</v>
      </c>
      <c r="P19" s="92">
        <f t="shared" si="9"/>
        <v>158.4366</v>
      </c>
      <c r="Q19" s="322"/>
      <c r="R19" s="143"/>
      <c r="T19" s="343"/>
      <c r="U19" s="343"/>
      <c r="W19" s="343"/>
      <c r="X19" s="343"/>
      <c r="Y19" s="343"/>
      <c r="Z19" s="343"/>
    </row>
    <row r="20" spans="1:32" ht="14.25" customHeight="1" thickBot="1" x14ac:dyDescent="0.25">
      <c r="A20" s="464"/>
      <c r="B20" s="97" t="s">
        <v>419</v>
      </c>
      <c r="C20" s="96" t="s">
        <v>411</v>
      </c>
      <c r="D20" s="95">
        <v>530.30999999999995</v>
      </c>
      <c r="E20" s="94">
        <f t="shared" si="1"/>
        <v>200</v>
      </c>
      <c r="F20" s="306">
        <v>22.35</v>
      </c>
      <c r="G20" s="73">
        <v>2</v>
      </c>
      <c r="H20" s="309">
        <f t="shared" si="2"/>
        <v>44.7</v>
      </c>
      <c r="I20" s="73">
        <f t="shared" si="0"/>
        <v>1</v>
      </c>
      <c r="J20" s="73">
        <f t="shared" si="3"/>
        <v>200</v>
      </c>
      <c r="K20" s="73">
        <f t="shared" si="8"/>
        <v>155.30000000000001</v>
      </c>
      <c r="L20" s="91" t="s">
        <v>418</v>
      </c>
      <c r="M20" s="93">
        <v>541.49</v>
      </c>
      <c r="N20" s="92">
        <f t="shared" si="5"/>
        <v>150</v>
      </c>
      <c r="O20" s="91">
        <f t="shared" si="6"/>
        <v>150</v>
      </c>
      <c r="P20" s="92">
        <f t="shared" si="9"/>
        <v>105.3</v>
      </c>
      <c r="Q20" s="323"/>
      <c r="R20" s="120"/>
      <c r="T20" s="343"/>
      <c r="U20" s="343"/>
      <c r="V20" s="343"/>
      <c r="W20" s="461"/>
      <c r="X20" s="461"/>
      <c r="Y20" s="343"/>
      <c r="Z20" s="343"/>
    </row>
    <row r="21" spans="1:32" ht="14.25" customHeight="1" x14ac:dyDescent="0.2">
      <c r="A21" s="462" t="s">
        <v>413</v>
      </c>
      <c r="B21" s="87" t="s">
        <v>7</v>
      </c>
      <c r="C21" s="86" t="s">
        <v>48</v>
      </c>
      <c r="D21" s="85">
        <v>457.755</v>
      </c>
      <c r="E21" s="84">
        <f t="shared" si="1"/>
        <v>200</v>
      </c>
      <c r="F21" s="307">
        <v>200.1122</v>
      </c>
      <c r="G21" s="94">
        <v>2</v>
      </c>
      <c r="H21" s="306">
        <f t="shared" si="2"/>
        <v>400.2244</v>
      </c>
      <c r="I21" s="94">
        <f t="shared" si="0"/>
        <v>3</v>
      </c>
      <c r="J21" s="94">
        <f t="shared" si="3"/>
        <v>600</v>
      </c>
      <c r="K21" s="94">
        <f t="shared" si="8"/>
        <v>199.7756</v>
      </c>
      <c r="L21" s="101" t="s">
        <v>416</v>
      </c>
      <c r="M21" s="83">
        <v>733.18499999999995</v>
      </c>
      <c r="N21" s="82">
        <f t="shared" si="5"/>
        <v>150</v>
      </c>
      <c r="O21" s="101">
        <f t="shared" si="6"/>
        <v>450</v>
      </c>
      <c r="P21" s="82">
        <f t="shared" si="9"/>
        <v>49.775599999999997</v>
      </c>
      <c r="Q21" s="397" t="s">
        <v>401</v>
      </c>
      <c r="R21" s="386">
        <v>45</v>
      </c>
      <c r="T21" s="344"/>
      <c r="U21" s="381"/>
      <c r="V21" s="344"/>
      <c r="W21" s="344"/>
      <c r="X21" s="344"/>
      <c r="Y21" s="343"/>
      <c r="Z21" s="343"/>
    </row>
    <row r="22" spans="1:32" ht="14.25" customHeight="1" x14ac:dyDescent="0.2">
      <c r="A22" s="464"/>
      <c r="B22" s="97" t="s">
        <v>415</v>
      </c>
      <c r="C22" s="96" t="s">
        <v>74</v>
      </c>
      <c r="D22" s="110">
        <v>632.29</v>
      </c>
      <c r="E22" s="94">
        <f t="shared" si="1"/>
        <v>150</v>
      </c>
      <c r="F22" s="311">
        <v>416.14780000000002</v>
      </c>
      <c r="G22" s="94">
        <v>2</v>
      </c>
      <c r="H22" s="306">
        <f t="shared" si="2"/>
        <v>832.29560000000004</v>
      </c>
      <c r="I22" s="94">
        <f t="shared" si="0"/>
        <v>7</v>
      </c>
      <c r="J22" s="94">
        <f t="shared" si="3"/>
        <v>1050</v>
      </c>
      <c r="K22" s="94">
        <f t="shared" si="8"/>
        <v>217.70439999999996</v>
      </c>
      <c r="L22" s="102" t="s">
        <v>361</v>
      </c>
      <c r="M22" s="108">
        <v>692.19500000000005</v>
      </c>
      <c r="N22" s="92">
        <f t="shared" si="5"/>
        <v>150</v>
      </c>
      <c r="O22" s="91">
        <f t="shared" si="6"/>
        <v>1050</v>
      </c>
      <c r="P22" s="92">
        <f t="shared" si="9"/>
        <v>217.70439999999996</v>
      </c>
      <c r="Q22" s="398" t="s">
        <v>469</v>
      </c>
      <c r="R22" s="387">
        <v>45</v>
      </c>
      <c r="T22" s="343"/>
      <c r="U22" s="343"/>
      <c r="V22" s="18"/>
      <c r="W22" s="343"/>
      <c r="X22" s="343"/>
      <c r="Y22" s="343"/>
      <c r="Z22" s="343"/>
    </row>
    <row r="23" spans="1:32" ht="14.25" customHeight="1" x14ac:dyDescent="0.2">
      <c r="A23" s="464"/>
      <c r="B23" s="97" t="s">
        <v>414</v>
      </c>
      <c r="C23" s="96" t="s">
        <v>413</v>
      </c>
      <c r="D23" s="110">
        <v>370.31</v>
      </c>
      <c r="E23" s="94">
        <f t="shared" si="1"/>
        <v>200</v>
      </c>
      <c r="F23" s="311">
        <v>24.103000000000002</v>
      </c>
      <c r="G23" s="94">
        <v>2</v>
      </c>
      <c r="H23" s="306">
        <f t="shared" si="2"/>
        <v>48.206000000000003</v>
      </c>
      <c r="I23" s="94">
        <f t="shared" si="0"/>
        <v>1</v>
      </c>
      <c r="J23" s="94">
        <f t="shared" si="3"/>
        <v>200</v>
      </c>
      <c r="K23" s="94">
        <f t="shared" si="8"/>
        <v>151.79399999999998</v>
      </c>
      <c r="L23" s="102" t="s">
        <v>412</v>
      </c>
      <c r="M23" s="108">
        <v>820.63</v>
      </c>
      <c r="N23" s="92">
        <f t="shared" si="5"/>
        <v>150</v>
      </c>
      <c r="O23" s="91">
        <f t="shared" si="6"/>
        <v>150</v>
      </c>
      <c r="P23" s="92">
        <f t="shared" si="9"/>
        <v>101.794</v>
      </c>
      <c r="Q23" s="398"/>
      <c r="R23" s="387"/>
      <c r="T23" s="343"/>
      <c r="U23" s="343"/>
      <c r="V23" s="343"/>
      <c r="W23" s="343"/>
      <c r="X23" s="343"/>
      <c r="Y23" s="343"/>
      <c r="Z23" s="343"/>
    </row>
    <row r="24" spans="1:32" ht="14.25" customHeight="1" thickBot="1" x14ac:dyDescent="0.25">
      <c r="A24" s="464"/>
      <c r="B24" s="97" t="s">
        <v>396</v>
      </c>
      <c r="C24" s="96" t="s">
        <v>411</v>
      </c>
      <c r="D24" s="95">
        <v>530.30999999999995</v>
      </c>
      <c r="E24" s="73">
        <f t="shared" si="1"/>
        <v>200</v>
      </c>
      <c r="F24" s="306">
        <v>22.35</v>
      </c>
      <c r="G24" s="94">
        <v>2</v>
      </c>
      <c r="H24" s="306">
        <f t="shared" si="2"/>
        <v>44.7</v>
      </c>
      <c r="I24" s="94">
        <f t="shared" si="0"/>
        <v>1</v>
      </c>
      <c r="J24" s="94">
        <f t="shared" si="3"/>
        <v>200</v>
      </c>
      <c r="K24" s="94">
        <f t="shared" si="8"/>
        <v>155.30000000000001</v>
      </c>
      <c r="L24" s="91" t="s">
        <v>410</v>
      </c>
      <c r="M24" s="93">
        <v>660.63</v>
      </c>
      <c r="N24" s="121">
        <f t="shared" si="5"/>
        <v>150</v>
      </c>
      <c r="O24" s="70">
        <f t="shared" si="6"/>
        <v>150</v>
      </c>
      <c r="P24" s="121">
        <f t="shared" si="9"/>
        <v>105.3</v>
      </c>
      <c r="Q24" s="399"/>
      <c r="R24" s="388"/>
      <c r="T24" s="343"/>
      <c r="U24" s="343"/>
      <c r="V24" s="18"/>
      <c r="W24" s="343"/>
      <c r="X24" s="343"/>
      <c r="Y24" s="343"/>
      <c r="Z24" s="343"/>
    </row>
    <row r="25" spans="1:32" ht="15" customHeight="1" thickBot="1" x14ac:dyDescent="0.25">
      <c r="A25" s="158" t="s">
        <v>409</v>
      </c>
      <c r="B25" s="87" t="s">
        <v>408</v>
      </c>
      <c r="C25" s="157"/>
      <c r="D25" s="85"/>
      <c r="E25" s="94">
        <f t="shared" si="1"/>
        <v>300</v>
      </c>
      <c r="F25" s="307"/>
      <c r="G25" s="178">
        <v>2</v>
      </c>
      <c r="H25" s="314">
        <f t="shared" si="2"/>
        <v>0</v>
      </c>
      <c r="I25" s="178">
        <f t="shared" si="0"/>
        <v>0</v>
      </c>
      <c r="J25" s="178">
        <f t="shared" si="3"/>
        <v>0</v>
      </c>
      <c r="K25" s="178"/>
      <c r="L25" s="101"/>
      <c r="M25" s="83"/>
      <c r="N25" s="92">
        <f t="shared" si="5"/>
        <v>300</v>
      </c>
      <c r="O25" s="91">
        <f t="shared" si="6"/>
        <v>0</v>
      </c>
      <c r="P25" s="92"/>
      <c r="Q25" s="389"/>
      <c r="R25" s="390"/>
      <c r="T25" s="343"/>
      <c r="U25" s="343"/>
      <c r="V25" s="343"/>
      <c r="W25" s="343"/>
      <c r="X25" s="343"/>
      <c r="Y25" s="343"/>
      <c r="Z25" s="343"/>
    </row>
    <row r="26" spans="1:32" x14ac:dyDescent="0.2">
      <c r="A26" s="480" t="s">
        <v>407</v>
      </c>
      <c r="B26" s="155" t="s">
        <v>14</v>
      </c>
      <c r="C26" s="86" t="s">
        <v>406</v>
      </c>
      <c r="D26" s="85">
        <v>391.72</v>
      </c>
      <c r="E26" s="84">
        <f t="shared" si="1"/>
        <v>200</v>
      </c>
      <c r="F26" s="307">
        <v>664.51419999999996</v>
      </c>
      <c r="G26" s="94">
        <v>2</v>
      </c>
      <c r="H26" s="306">
        <f t="shared" si="2"/>
        <v>1329.0283999999999</v>
      </c>
      <c r="I26" s="94">
        <f t="shared" si="0"/>
        <v>8</v>
      </c>
      <c r="J26" s="94">
        <f t="shared" si="3"/>
        <v>1600</v>
      </c>
      <c r="K26" s="94">
        <f>J26-H26</f>
        <v>270.97160000000008</v>
      </c>
      <c r="L26" s="101" t="s">
        <v>405</v>
      </c>
      <c r="M26" s="83">
        <v>799.22</v>
      </c>
      <c r="N26" s="82">
        <f t="shared" si="5"/>
        <v>150</v>
      </c>
      <c r="O26" s="101">
        <f t="shared" si="6"/>
        <v>1200</v>
      </c>
      <c r="P26" s="197">
        <f>O26-H26</f>
        <v>-129.02839999999992</v>
      </c>
      <c r="Q26" s="317" t="s">
        <v>547</v>
      </c>
      <c r="R26" s="125" t="s">
        <v>548</v>
      </c>
      <c r="T26" s="343"/>
      <c r="U26" s="491" t="s">
        <v>590</v>
      </c>
      <c r="V26" s="492"/>
      <c r="W26" s="492"/>
      <c r="X26" s="492"/>
      <c r="Y26" s="492"/>
      <c r="Z26" s="493"/>
      <c r="AA26" s="161"/>
    </row>
    <row r="27" spans="1:32" ht="14.25" customHeight="1" thickBot="1" x14ac:dyDescent="0.25">
      <c r="A27" s="481"/>
      <c r="B27" s="76" t="s">
        <v>360</v>
      </c>
      <c r="C27" s="75" t="s">
        <v>55</v>
      </c>
      <c r="D27" s="152">
        <v>566.26</v>
      </c>
      <c r="E27" s="73">
        <f t="shared" si="1"/>
        <v>150</v>
      </c>
      <c r="F27" s="313">
        <v>424.66829999999999</v>
      </c>
      <c r="G27" s="94">
        <v>2</v>
      </c>
      <c r="H27" s="306">
        <f t="shared" si="2"/>
        <v>849.33659999999998</v>
      </c>
      <c r="I27" s="94">
        <f t="shared" si="0"/>
        <v>7</v>
      </c>
      <c r="J27" s="94">
        <f t="shared" si="3"/>
        <v>1050</v>
      </c>
      <c r="K27" s="94">
        <f t="shared" ref="K27:K56" si="10">J27-H27</f>
        <v>200.66340000000002</v>
      </c>
      <c r="L27" s="272" t="s">
        <v>404</v>
      </c>
      <c r="M27" s="150">
        <v>973.76</v>
      </c>
      <c r="N27" s="121">
        <f t="shared" si="5"/>
        <v>150</v>
      </c>
      <c r="O27" s="70">
        <f t="shared" si="6"/>
        <v>1050</v>
      </c>
      <c r="P27" s="326">
        <f t="shared" ref="P27:P56" si="11">O27-H27</f>
        <v>200.66340000000002</v>
      </c>
      <c r="Q27" s="324" t="s">
        <v>545</v>
      </c>
      <c r="R27" s="149" t="s">
        <v>546</v>
      </c>
      <c r="T27" s="343"/>
      <c r="U27" s="346" t="s">
        <v>528</v>
      </c>
      <c r="V27" s="348" t="s">
        <v>529</v>
      </c>
      <c r="W27" s="348" t="s">
        <v>530</v>
      </c>
      <c r="X27" s="348" t="s">
        <v>531</v>
      </c>
      <c r="Y27" s="348" t="s">
        <v>532</v>
      </c>
      <c r="Z27" s="349" t="s">
        <v>582</v>
      </c>
      <c r="AA27" s="328" t="s">
        <v>417</v>
      </c>
    </row>
    <row r="28" spans="1:32" ht="14.25" customHeight="1" x14ac:dyDescent="0.2">
      <c r="A28" s="464" t="s">
        <v>403</v>
      </c>
      <c r="B28" s="63" t="s">
        <v>6</v>
      </c>
      <c r="C28" s="116" t="s">
        <v>47</v>
      </c>
      <c r="D28" s="95">
        <v>341.46499999999997</v>
      </c>
      <c r="E28" s="94">
        <f t="shared" si="1"/>
        <v>200</v>
      </c>
      <c r="F28" s="306">
        <v>414.50749999999999</v>
      </c>
      <c r="G28" s="84">
        <v>2</v>
      </c>
      <c r="H28" s="307">
        <f t="shared" si="2"/>
        <v>829.01499999999999</v>
      </c>
      <c r="I28" s="84">
        <f t="shared" si="0"/>
        <v>5</v>
      </c>
      <c r="J28" s="84">
        <f t="shared" si="3"/>
        <v>1000</v>
      </c>
      <c r="K28" s="84">
        <f t="shared" si="10"/>
        <v>170.98500000000001</v>
      </c>
      <c r="L28" s="91" t="s">
        <v>402</v>
      </c>
      <c r="M28" s="93">
        <v>849.47500000000002</v>
      </c>
      <c r="N28" s="92">
        <f t="shared" si="5"/>
        <v>150</v>
      </c>
      <c r="O28" s="91">
        <f t="shared" si="6"/>
        <v>750</v>
      </c>
      <c r="P28" s="327">
        <f t="shared" si="11"/>
        <v>-79.014999999999986</v>
      </c>
      <c r="Q28" s="400" t="s">
        <v>559</v>
      </c>
      <c r="R28" s="401" t="s">
        <v>560</v>
      </c>
      <c r="T28" s="343"/>
      <c r="U28" s="60" t="s">
        <v>84</v>
      </c>
      <c r="V28" s="350">
        <v>1</v>
      </c>
      <c r="W28" s="350">
        <v>0</v>
      </c>
      <c r="X28" s="351">
        <v>0</v>
      </c>
      <c r="Y28" s="351">
        <v>0</v>
      </c>
      <c r="Z28" s="352">
        <v>0</v>
      </c>
      <c r="AA28" s="353">
        <f>SUM(V28:Z28)</f>
        <v>1</v>
      </c>
    </row>
    <row r="29" spans="1:32" ht="14.25" customHeight="1" x14ac:dyDescent="0.2">
      <c r="A29" s="464"/>
      <c r="B29" s="63" t="s">
        <v>401</v>
      </c>
      <c r="C29" s="116" t="s">
        <v>386</v>
      </c>
      <c r="D29" s="95">
        <v>894.93</v>
      </c>
      <c r="E29" s="94">
        <f t="shared" si="1"/>
        <v>150</v>
      </c>
      <c r="F29" s="306">
        <v>185.4342</v>
      </c>
      <c r="G29" s="94">
        <v>2</v>
      </c>
      <c r="H29" s="306">
        <f t="shared" si="2"/>
        <v>370.86840000000001</v>
      </c>
      <c r="I29" s="94">
        <f t="shared" si="0"/>
        <v>3</v>
      </c>
      <c r="J29" s="94">
        <f t="shared" si="3"/>
        <v>450</v>
      </c>
      <c r="K29" s="94">
        <f t="shared" si="10"/>
        <v>79.131599999999992</v>
      </c>
      <c r="L29" s="91" t="s">
        <v>385</v>
      </c>
      <c r="M29" s="93">
        <v>975.03499999999997</v>
      </c>
      <c r="N29" s="92">
        <f t="shared" si="5"/>
        <v>150</v>
      </c>
      <c r="O29" s="91">
        <f t="shared" si="6"/>
        <v>450</v>
      </c>
      <c r="P29" s="327">
        <f t="shared" si="11"/>
        <v>79.131599999999992</v>
      </c>
      <c r="Q29" s="402" t="s">
        <v>561</v>
      </c>
      <c r="R29" s="403" t="s">
        <v>562</v>
      </c>
      <c r="T29" s="18"/>
      <c r="U29" s="60" t="s">
        <v>85</v>
      </c>
      <c r="V29" s="350">
        <v>1</v>
      </c>
      <c r="W29" s="350">
        <v>0</v>
      </c>
      <c r="X29" s="350">
        <v>3</v>
      </c>
      <c r="Y29" s="350">
        <v>0</v>
      </c>
      <c r="Z29" s="352">
        <v>0</v>
      </c>
      <c r="AA29" s="60">
        <f t="shared" ref="AA29:AA39" si="12">SUM(V29:Z29)</f>
        <v>4</v>
      </c>
    </row>
    <row r="30" spans="1:32" ht="14.25" customHeight="1" x14ac:dyDescent="0.2">
      <c r="A30" s="464"/>
      <c r="B30" s="97" t="s">
        <v>400</v>
      </c>
      <c r="C30" s="96" t="s">
        <v>378</v>
      </c>
      <c r="D30" s="110">
        <v>839.23</v>
      </c>
      <c r="E30" s="94">
        <f t="shared" si="1"/>
        <v>150</v>
      </c>
      <c r="F30" s="311">
        <v>213.84829999999999</v>
      </c>
      <c r="G30" s="94">
        <v>2</v>
      </c>
      <c r="H30" s="306">
        <f t="shared" si="2"/>
        <v>427.69659999999999</v>
      </c>
      <c r="I30" s="94">
        <f t="shared" si="0"/>
        <v>4</v>
      </c>
      <c r="J30" s="94">
        <f t="shared" si="3"/>
        <v>600</v>
      </c>
      <c r="K30" s="94">
        <f t="shared" si="10"/>
        <v>172.30340000000001</v>
      </c>
      <c r="L30" s="102" t="s">
        <v>399</v>
      </c>
      <c r="M30" s="108">
        <v>1347.24</v>
      </c>
      <c r="N30" s="92">
        <f t="shared" si="5"/>
        <v>100</v>
      </c>
      <c r="O30" s="91">
        <f t="shared" si="6"/>
        <v>400</v>
      </c>
      <c r="P30" s="327">
        <f t="shared" si="11"/>
        <v>-27.696599999999989</v>
      </c>
      <c r="Q30" s="402" t="s">
        <v>556</v>
      </c>
      <c r="R30" s="403">
        <v>1060</v>
      </c>
      <c r="T30" s="18"/>
      <c r="U30" s="60" t="s">
        <v>86</v>
      </c>
      <c r="V30" s="350">
        <v>1</v>
      </c>
      <c r="W30" s="350">
        <v>0</v>
      </c>
      <c r="X30" s="350">
        <v>2</v>
      </c>
      <c r="Y30" s="350">
        <v>0</v>
      </c>
      <c r="Z30" s="352">
        <v>0</v>
      </c>
      <c r="AA30" s="60">
        <f t="shared" si="12"/>
        <v>3</v>
      </c>
    </row>
    <row r="31" spans="1:32" ht="14.25" customHeight="1" x14ac:dyDescent="0.2">
      <c r="A31" s="464"/>
      <c r="B31" s="97" t="s">
        <v>398</v>
      </c>
      <c r="C31" s="96" t="s">
        <v>52</v>
      </c>
      <c r="D31" s="95">
        <v>428.91</v>
      </c>
      <c r="E31" s="94">
        <f t="shared" si="1"/>
        <v>200</v>
      </c>
      <c r="F31" s="306">
        <v>320.7817</v>
      </c>
      <c r="G31" s="94">
        <v>2</v>
      </c>
      <c r="H31" s="306">
        <f t="shared" si="2"/>
        <v>641.5634</v>
      </c>
      <c r="I31" s="94">
        <f t="shared" si="0"/>
        <v>4</v>
      </c>
      <c r="J31" s="94">
        <f t="shared" si="3"/>
        <v>800</v>
      </c>
      <c r="K31" s="94">
        <f t="shared" si="10"/>
        <v>158.4366</v>
      </c>
      <c r="L31" s="91" t="s">
        <v>397</v>
      </c>
      <c r="M31" s="93">
        <v>762.03</v>
      </c>
      <c r="N31" s="92">
        <f t="shared" si="5"/>
        <v>150</v>
      </c>
      <c r="O31" s="91">
        <f t="shared" si="6"/>
        <v>600</v>
      </c>
      <c r="P31" s="327">
        <f t="shared" si="11"/>
        <v>-41.563400000000001</v>
      </c>
      <c r="Q31" s="402" t="s">
        <v>557</v>
      </c>
      <c r="R31" s="403">
        <v>37</v>
      </c>
      <c r="T31" s="343"/>
      <c r="U31" s="60" t="s">
        <v>87</v>
      </c>
      <c r="V31" s="350">
        <v>2</v>
      </c>
      <c r="W31" s="350">
        <v>0</v>
      </c>
      <c r="X31" s="350">
        <v>5</v>
      </c>
      <c r="Y31" s="350">
        <v>0</v>
      </c>
      <c r="Z31" s="352">
        <v>0</v>
      </c>
      <c r="AA31" s="60">
        <f t="shared" si="12"/>
        <v>7</v>
      </c>
      <c r="AD31" s="449"/>
      <c r="AE31" s="449"/>
    </row>
    <row r="32" spans="1:32" ht="14.25" customHeight="1" thickBot="1" x14ac:dyDescent="0.25">
      <c r="A32" s="464"/>
      <c r="B32" s="97" t="s">
        <v>395</v>
      </c>
      <c r="C32" s="96" t="s">
        <v>56</v>
      </c>
      <c r="D32" s="95">
        <v>268.91000000000003</v>
      </c>
      <c r="E32" s="94">
        <f t="shared" si="1"/>
        <v>250</v>
      </c>
      <c r="F32" s="306">
        <v>277.57420000000002</v>
      </c>
      <c r="G32" s="73">
        <v>2</v>
      </c>
      <c r="H32" s="309">
        <f t="shared" si="2"/>
        <v>555.14840000000004</v>
      </c>
      <c r="I32" s="73">
        <f t="shared" si="0"/>
        <v>3</v>
      </c>
      <c r="J32" s="73">
        <f t="shared" si="3"/>
        <v>750</v>
      </c>
      <c r="K32" s="73">
        <f t="shared" si="10"/>
        <v>194.85159999999996</v>
      </c>
      <c r="L32" s="91" t="s">
        <v>394</v>
      </c>
      <c r="M32" s="93">
        <v>922.03</v>
      </c>
      <c r="N32" s="92">
        <f t="shared" si="5"/>
        <v>150</v>
      </c>
      <c r="O32" s="91">
        <f t="shared" si="6"/>
        <v>450</v>
      </c>
      <c r="P32" s="327">
        <f t="shared" si="11"/>
        <v>-105.14840000000004</v>
      </c>
      <c r="Q32" s="404" t="s">
        <v>558</v>
      </c>
      <c r="R32" s="405">
        <v>395</v>
      </c>
      <c r="U32" s="60" t="s">
        <v>88</v>
      </c>
      <c r="V32" s="350">
        <v>3</v>
      </c>
      <c r="W32" s="350">
        <v>0</v>
      </c>
      <c r="X32" s="350">
        <v>9</v>
      </c>
      <c r="Y32" s="350">
        <v>0</v>
      </c>
      <c r="Z32" s="352">
        <v>0</v>
      </c>
      <c r="AA32" s="60">
        <f t="shared" si="12"/>
        <v>12</v>
      </c>
      <c r="AD32" s="448" t="s">
        <v>534</v>
      </c>
      <c r="AE32" s="448" t="s">
        <v>535</v>
      </c>
      <c r="AF32" s="355" t="s">
        <v>536</v>
      </c>
    </row>
    <row r="33" spans="1:40" x14ac:dyDescent="0.2">
      <c r="A33" s="462" t="s">
        <v>382</v>
      </c>
      <c r="B33" s="87" t="s">
        <v>393</v>
      </c>
      <c r="C33" s="86" t="s">
        <v>392</v>
      </c>
      <c r="D33" s="85">
        <v>774.56</v>
      </c>
      <c r="E33" s="84">
        <f t="shared" si="1"/>
        <v>150</v>
      </c>
      <c r="F33" s="307">
        <v>593.39</v>
      </c>
      <c r="G33" s="94">
        <v>2</v>
      </c>
      <c r="H33" s="306">
        <f t="shared" si="2"/>
        <v>1186.78</v>
      </c>
      <c r="I33" s="94">
        <f t="shared" si="0"/>
        <v>10</v>
      </c>
      <c r="J33" s="94">
        <f t="shared" si="3"/>
        <v>1500</v>
      </c>
      <c r="K33" s="94">
        <f t="shared" si="10"/>
        <v>313.22000000000003</v>
      </c>
      <c r="L33" s="101" t="s">
        <v>391</v>
      </c>
      <c r="M33" s="83">
        <v>778.62</v>
      </c>
      <c r="N33" s="82">
        <f t="shared" si="5"/>
        <v>150</v>
      </c>
      <c r="O33" s="101">
        <f t="shared" si="6"/>
        <v>1500</v>
      </c>
      <c r="P33" s="197">
        <f t="shared" si="11"/>
        <v>313.22000000000003</v>
      </c>
      <c r="Q33" s="487"/>
      <c r="R33" s="478"/>
      <c r="U33" s="60" t="s">
        <v>89</v>
      </c>
      <c r="V33" s="350">
        <v>0</v>
      </c>
      <c r="W33" s="350">
        <v>1</v>
      </c>
      <c r="X33" s="350">
        <v>0</v>
      </c>
      <c r="Y33" s="350">
        <v>0</v>
      </c>
      <c r="Z33" s="352">
        <v>0</v>
      </c>
      <c r="AA33" s="60">
        <f t="shared" si="12"/>
        <v>1</v>
      </c>
      <c r="AD33" s="61" t="s">
        <v>529</v>
      </c>
      <c r="AE33" s="61">
        <v>100</v>
      </c>
      <c r="AF33" s="454">
        <v>15</v>
      </c>
    </row>
    <row r="34" spans="1:40" ht="14.25" customHeight="1" x14ac:dyDescent="0.2">
      <c r="A34" s="464"/>
      <c r="B34" s="97" t="s">
        <v>387</v>
      </c>
      <c r="C34" s="96" t="s">
        <v>386</v>
      </c>
      <c r="D34" s="110">
        <v>894.93</v>
      </c>
      <c r="E34" s="94">
        <f t="shared" si="1"/>
        <v>150</v>
      </c>
      <c r="F34" s="311">
        <v>185.4342</v>
      </c>
      <c r="G34" s="94">
        <v>2</v>
      </c>
      <c r="H34" s="306">
        <f t="shared" si="2"/>
        <v>370.86840000000001</v>
      </c>
      <c r="I34" s="94">
        <f t="shared" si="0"/>
        <v>3</v>
      </c>
      <c r="J34" s="94">
        <f t="shared" si="3"/>
        <v>450</v>
      </c>
      <c r="K34" s="94">
        <f t="shared" si="10"/>
        <v>79.131599999999992</v>
      </c>
      <c r="L34" s="102" t="s">
        <v>385</v>
      </c>
      <c r="M34" s="108">
        <v>975.03499999999997</v>
      </c>
      <c r="N34" s="92">
        <f t="shared" si="5"/>
        <v>150</v>
      </c>
      <c r="O34" s="91">
        <f t="shared" si="6"/>
        <v>450</v>
      </c>
      <c r="P34" s="327">
        <f t="shared" si="11"/>
        <v>79.131599999999992</v>
      </c>
      <c r="Q34" s="488"/>
      <c r="R34" s="489"/>
      <c r="U34" s="60" t="s">
        <v>90</v>
      </c>
      <c r="V34" s="350">
        <v>0</v>
      </c>
      <c r="W34" s="350">
        <v>0</v>
      </c>
      <c r="X34" s="350">
        <v>2</v>
      </c>
      <c r="Y34" s="350">
        <v>0</v>
      </c>
      <c r="Z34" s="352">
        <v>0</v>
      </c>
      <c r="AA34" s="60">
        <f t="shared" si="12"/>
        <v>2</v>
      </c>
      <c r="AD34" s="356" t="s">
        <v>530</v>
      </c>
      <c r="AE34" s="356">
        <v>150</v>
      </c>
      <c r="AF34" s="455">
        <v>16.3689</v>
      </c>
    </row>
    <row r="35" spans="1:40" ht="14.25" customHeight="1" thickBot="1" x14ac:dyDescent="0.25">
      <c r="A35" s="464"/>
      <c r="B35" s="97" t="s">
        <v>383</v>
      </c>
      <c r="C35" s="96" t="s">
        <v>382</v>
      </c>
      <c r="D35" s="95">
        <v>553.46500000000003</v>
      </c>
      <c r="E35" s="73">
        <f t="shared" si="1"/>
        <v>150</v>
      </c>
      <c r="F35" s="306">
        <v>491.47570000000002</v>
      </c>
      <c r="G35" s="94">
        <v>2</v>
      </c>
      <c r="H35" s="306">
        <f t="shared" si="2"/>
        <v>982.95140000000004</v>
      </c>
      <c r="I35" s="94">
        <f t="shared" ref="I35:I56" si="13">CEILING(H35/(0.84*E35),1)</f>
        <v>8</v>
      </c>
      <c r="J35" s="94">
        <f t="shared" si="3"/>
        <v>1200</v>
      </c>
      <c r="K35" s="94">
        <f t="shared" si="10"/>
        <v>217.04859999999996</v>
      </c>
      <c r="L35" s="91" t="s">
        <v>381</v>
      </c>
      <c r="M35" s="93">
        <v>660.12</v>
      </c>
      <c r="N35" s="121">
        <f t="shared" si="5"/>
        <v>150</v>
      </c>
      <c r="O35" s="70">
        <f t="shared" si="6"/>
        <v>1200</v>
      </c>
      <c r="P35" s="326">
        <f t="shared" si="11"/>
        <v>217.04859999999996</v>
      </c>
      <c r="Q35" s="488"/>
      <c r="R35" s="489"/>
      <c r="U35" s="60" t="s">
        <v>91</v>
      </c>
      <c r="V35" s="350">
        <v>1</v>
      </c>
      <c r="W35" s="350">
        <v>8</v>
      </c>
      <c r="X35" s="352">
        <v>3</v>
      </c>
      <c r="Y35" s="352">
        <v>0</v>
      </c>
      <c r="Z35" s="352">
        <v>0</v>
      </c>
      <c r="AA35" s="60">
        <f t="shared" si="12"/>
        <v>12</v>
      </c>
      <c r="AD35" s="356" t="s">
        <v>531</v>
      </c>
      <c r="AE35" s="356">
        <v>200</v>
      </c>
      <c r="AF35" s="455">
        <v>16.746700000000001</v>
      </c>
    </row>
    <row r="36" spans="1:40" x14ac:dyDescent="0.2">
      <c r="A36" s="462" t="s">
        <v>375</v>
      </c>
      <c r="B36" s="87" t="s">
        <v>379</v>
      </c>
      <c r="C36" s="86" t="s">
        <v>378</v>
      </c>
      <c r="D36" s="85">
        <v>839.23</v>
      </c>
      <c r="E36" s="94">
        <f t="shared" si="1"/>
        <v>150</v>
      </c>
      <c r="F36" s="307">
        <v>213.84829999999999</v>
      </c>
      <c r="G36" s="84">
        <v>2</v>
      </c>
      <c r="H36" s="307">
        <f t="shared" si="2"/>
        <v>427.69659999999999</v>
      </c>
      <c r="I36" s="84">
        <f t="shared" si="13"/>
        <v>4</v>
      </c>
      <c r="J36" s="84">
        <f t="shared" si="3"/>
        <v>600</v>
      </c>
      <c r="K36" s="84">
        <f t="shared" si="10"/>
        <v>172.30340000000001</v>
      </c>
      <c r="L36" s="101" t="s">
        <v>377</v>
      </c>
      <c r="M36" s="83">
        <v>844.89</v>
      </c>
      <c r="N36" s="92">
        <f t="shared" si="5"/>
        <v>150</v>
      </c>
      <c r="O36" s="91">
        <f t="shared" si="6"/>
        <v>600</v>
      </c>
      <c r="P36" s="327">
        <f t="shared" si="11"/>
        <v>172.30340000000001</v>
      </c>
      <c r="Q36" s="487"/>
      <c r="R36" s="478"/>
      <c r="U36" s="60" t="s">
        <v>92</v>
      </c>
      <c r="V36" s="352">
        <v>2</v>
      </c>
      <c r="W36" s="352">
        <v>1</v>
      </c>
      <c r="X36" s="352">
        <v>1</v>
      </c>
      <c r="Y36" s="352">
        <v>0</v>
      </c>
      <c r="Z36" s="352">
        <v>0</v>
      </c>
      <c r="AA36" s="60">
        <f t="shared" si="12"/>
        <v>4</v>
      </c>
      <c r="AD36" s="356" t="s">
        <v>532</v>
      </c>
      <c r="AE36" s="356">
        <v>250</v>
      </c>
      <c r="AF36" s="455">
        <v>16.886600000000001</v>
      </c>
    </row>
    <row r="37" spans="1:40" ht="14.25" customHeight="1" thickBot="1" x14ac:dyDescent="0.25">
      <c r="A37" s="464"/>
      <c r="B37" s="97" t="s">
        <v>376</v>
      </c>
      <c r="C37" s="96" t="s">
        <v>375</v>
      </c>
      <c r="D37" s="95">
        <v>497.76499999999999</v>
      </c>
      <c r="E37" s="94">
        <f t="shared" si="1"/>
        <v>200</v>
      </c>
      <c r="F37" s="306">
        <v>1151.328</v>
      </c>
      <c r="G37" s="73">
        <v>2</v>
      </c>
      <c r="H37" s="309">
        <f t="shared" si="2"/>
        <v>2302.6559999999999</v>
      </c>
      <c r="I37" s="73">
        <f t="shared" si="13"/>
        <v>14</v>
      </c>
      <c r="J37" s="73">
        <f t="shared" si="3"/>
        <v>2800</v>
      </c>
      <c r="K37" s="73">
        <f t="shared" si="10"/>
        <v>497.34400000000005</v>
      </c>
      <c r="L37" s="91" t="s">
        <v>374</v>
      </c>
      <c r="M37" s="93">
        <v>503.42500000000001</v>
      </c>
      <c r="N37" s="92">
        <f t="shared" si="5"/>
        <v>200</v>
      </c>
      <c r="O37" s="91">
        <f t="shared" si="6"/>
        <v>2800</v>
      </c>
      <c r="P37" s="327">
        <f t="shared" si="11"/>
        <v>497.34400000000005</v>
      </c>
      <c r="Q37" s="490"/>
      <c r="R37" s="479"/>
      <c r="U37" s="60" t="s">
        <v>93</v>
      </c>
      <c r="V37" s="352"/>
      <c r="W37" s="350">
        <v>1</v>
      </c>
      <c r="X37" s="352">
        <v>6</v>
      </c>
      <c r="Y37" s="352">
        <v>0</v>
      </c>
      <c r="Z37" s="352">
        <v>0</v>
      </c>
      <c r="AA37" s="60">
        <f t="shared" si="12"/>
        <v>7</v>
      </c>
      <c r="AD37" s="357" t="s">
        <v>582</v>
      </c>
      <c r="AE37" s="357">
        <v>300</v>
      </c>
      <c r="AF37" s="456">
        <v>17</v>
      </c>
    </row>
    <row r="38" spans="1:40" ht="13.5" thickBot="1" x14ac:dyDescent="0.25">
      <c r="A38" s="114" t="s">
        <v>372</v>
      </c>
      <c r="B38" s="87" t="s">
        <v>373</v>
      </c>
      <c r="C38" s="86" t="s">
        <v>372</v>
      </c>
      <c r="D38" s="85">
        <v>285.27999999999997</v>
      </c>
      <c r="E38" s="178">
        <f t="shared" si="1"/>
        <v>250</v>
      </c>
      <c r="F38" s="307">
        <v>779.52329999999995</v>
      </c>
      <c r="G38" s="94">
        <v>2</v>
      </c>
      <c r="H38" s="306">
        <f t="shared" si="2"/>
        <v>1559.0465999999999</v>
      </c>
      <c r="I38" s="94">
        <f t="shared" si="13"/>
        <v>8</v>
      </c>
      <c r="J38" s="94">
        <f t="shared" si="3"/>
        <v>2000</v>
      </c>
      <c r="K38" s="94">
        <f t="shared" si="10"/>
        <v>440.9534000000001</v>
      </c>
      <c r="L38" s="101" t="s">
        <v>371</v>
      </c>
      <c r="M38" s="83">
        <v>539.80499999999995</v>
      </c>
      <c r="N38" s="176">
        <f t="shared" si="5"/>
        <v>150</v>
      </c>
      <c r="O38" s="175">
        <f t="shared" si="6"/>
        <v>1200</v>
      </c>
      <c r="P38" s="248">
        <f t="shared" si="11"/>
        <v>-359.0465999999999</v>
      </c>
      <c r="Q38" s="322" t="s">
        <v>549</v>
      </c>
      <c r="R38" s="131" t="s">
        <v>550</v>
      </c>
      <c r="U38" s="60" t="s">
        <v>94</v>
      </c>
      <c r="V38" s="352">
        <v>3</v>
      </c>
      <c r="W38" s="350">
        <v>5</v>
      </c>
      <c r="X38" s="352">
        <v>2</v>
      </c>
      <c r="Y38" s="352">
        <v>0</v>
      </c>
      <c r="Z38" s="352">
        <v>0</v>
      </c>
      <c r="AA38" s="60">
        <f t="shared" si="12"/>
        <v>10</v>
      </c>
    </row>
    <row r="39" spans="1:40" x14ac:dyDescent="0.2">
      <c r="A39" s="462" t="s">
        <v>60</v>
      </c>
      <c r="B39" s="87" t="s">
        <v>368</v>
      </c>
      <c r="C39" s="86" t="s">
        <v>367</v>
      </c>
      <c r="D39" s="85">
        <v>239.47</v>
      </c>
      <c r="E39" s="94">
        <f t="shared" si="1"/>
        <v>250</v>
      </c>
      <c r="F39" s="307">
        <v>886.15449999999998</v>
      </c>
      <c r="G39" s="84">
        <v>2</v>
      </c>
      <c r="H39" s="307">
        <f t="shared" si="2"/>
        <v>1772.309</v>
      </c>
      <c r="I39" s="84">
        <f t="shared" si="13"/>
        <v>9</v>
      </c>
      <c r="J39" s="84">
        <f t="shared" si="3"/>
        <v>2250</v>
      </c>
      <c r="K39" s="84">
        <f t="shared" si="10"/>
        <v>477.69100000000003</v>
      </c>
      <c r="L39" s="101" t="s">
        <v>366</v>
      </c>
      <c r="M39" s="83">
        <v>585.61500000000001</v>
      </c>
      <c r="N39" s="92">
        <f t="shared" si="5"/>
        <v>150</v>
      </c>
      <c r="O39" s="91">
        <f t="shared" si="6"/>
        <v>1350</v>
      </c>
      <c r="P39" s="327">
        <f t="shared" si="11"/>
        <v>-422.30899999999997</v>
      </c>
      <c r="Q39" s="317" t="s">
        <v>551</v>
      </c>
      <c r="R39" s="125" t="s">
        <v>552</v>
      </c>
      <c r="U39" s="358" t="s">
        <v>508</v>
      </c>
      <c r="V39" s="359">
        <v>0</v>
      </c>
      <c r="W39" s="359">
        <v>3</v>
      </c>
      <c r="X39" s="359">
        <v>0</v>
      </c>
      <c r="Y39" s="359">
        <v>0</v>
      </c>
      <c r="Z39" s="359">
        <v>0</v>
      </c>
      <c r="AA39" s="358">
        <f t="shared" si="12"/>
        <v>3</v>
      </c>
    </row>
    <row r="40" spans="1:40" ht="14.25" customHeight="1" thickBot="1" x14ac:dyDescent="0.25">
      <c r="A40" s="463"/>
      <c r="B40" s="76" t="s">
        <v>364</v>
      </c>
      <c r="C40" s="75" t="s">
        <v>61</v>
      </c>
      <c r="D40" s="74">
        <v>381.34</v>
      </c>
      <c r="E40" s="94">
        <f t="shared" si="1"/>
        <v>200</v>
      </c>
      <c r="F40" s="309">
        <v>233.80699999999999</v>
      </c>
      <c r="G40" s="73">
        <v>2</v>
      </c>
      <c r="H40" s="309">
        <f t="shared" si="2"/>
        <v>467.61399999999998</v>
      </c>
      <c r="I40" s="73">
        <f t="shared" si="13"/>
        <v>3</v>
      </c>
      <c r="J40" s="73">
        <f t="shared" si="3"/>
        <v>600</v>
      </c>
      <c r="K40" s="73">
        <f t="shared" si="10"/>
        <v>132.38600000000002</v>
      </c>
      <c r="L40" s="70" t="s">
        <v>328</v>
      </c>
      <c r="M40" s="72">
        <v>673.16499999999996</v>
      </c>
      <c r="N40" s="92">
        <f t="shared" si="5"/>
        <v>150</v>
      </c>
      <c r="O40" s="91">
        <f t="shared" si="6"/>
        <v>450</v>
      </c>
      <c r="P40" s="327">
        <f t="shared" si="11"/>
        <v>-17.613999999999976</v>
      </c>
      <c r="Q40" s="319" t="s">
        <v>553</v>
      </c>
      <c r="R40" s="120" t="s">
        <v>554</v>
      </c>
      <c r="U40" s="328" t="s">
        <v>537</v>
      </c>
      <c r="V40" s="360">
        <f t="shared" ref="V40:AA40" si="14">SUM(V28:V39)</f>
        <v>14</v>
      </c>
      <c r="W40" s="360">
        <f t="shared" si="14"/>
        <v>19</v>
      </c>
      <c r="X40" s="360">
        <f t="shared" si="14"/>
        <v>33</v>
      </c>
      <c r="Y40" s="360">
        <f t="shared" si="14"/>
        <v>0</v>
      </c>
      <c r="Z40" s="360">
        <f t="shared" si="14"/>
        <v>0</v>
      </c>
      <c r="AA40" s="361">
        <f t="shared" si="14"/>
        <v>66</v>
      </c>
      <c r="AD40" s="491" t="s">
        <v>589</v>
      </c>
      <c r="AE40" s="492"/>
      <c r="AF40" s="492"/>
      <c r="AG40" s="492"/>
      <c r="AH40" s="492"/>
      <c r="AI40" s="493"/>
      <c r="AJ40" s="161"/>
    </row>
    <row r="41" spans="1:40" x14ac:dyDescent="0.2">
      <c r="A41" s="464" t="s">
        <v>363</v>
      </c>
      <c r="B41" s="63" t="s">
        <v>362</v>
      </c>
      <c r="C41" s="116" t="s">
        <v>74</v>
      </c>
      <c r="D41" s="95">
        <v>632.29499999999996</v>
      </c>
      <c r="E41" s="84">
        <f t="shared" si="1"/>
        <v>150</v>
      </c>
      <c r="F41" s="306">
        <v>416.14780000000002</v>
      </c>
      <c r="G41" s="94">
        <v>2</v>
      </c>
      <c r="H41" s="306">
        <f t="shared" si="2"/>
        <v>832.29560000000004</v>
      </c>
      <c r="I41" s="94">
        <f t="shared" si="13"/>
        <v>7</v>
      </c>
      <c r="J41" s="94">
        <f t="shared" si="3"/>
        <v>1050</v>
      </c>
      <c r="K41" s="94">
        <f t="shared" si="10"/>
        <v>217.70439999999996</v>
      </c>
      <c r="L41" s="91" t="s">
        <v>361</v>
      </c>
      <c r="M41" s="93">
        <v>692.19500000000005</v>
      </c>
      <c r="N41" s="82">
        <f t="shared" si="5"/>
        <v>150</v>
      </c>
      <c r="O41" s="101">
        <f t="shared" si="6"/>
        <v>1050</v>
      </c>
      <c r="P41" s="197">
        <f t="shared" si="11"/>
        <v>217.70439999999996</v>
      </c>
      <c r="Q41" s="484" t="s">
        <v>555</v>
      </c>
      <c r="R41" s="471"/>
      <c r="U41" s="328" t="s">
        <v>536</v>
      </c>
      <c r="V41" s="362">
        <f>PRODUCT(V40,V8)</f>
        <v>210</v>
      </c>
      <c r="W41" s="452">
        <f>PRODUCT(W40,V9)</f>
        <v>311.00909999999999</v>
      </c>
      <c r="X41" s="452">
        <f>PRODUCT(X40,V10)</f>
        <v>552.64110000000005</v>
      </c>
      <c r="Y41" s="452">
        <f>PRODUCT(Y40,V11)</f>
        <v>0</v>
      </c>
      <c r="Z41" s="452">
        <f>PRODUCT(Z40,V12)</f>
        <v>0</v>
      </c>
      <c r="AA41" s="453">
        <f>SUM(V41:Z41)</f>
        <v>1073.6502</v>
      </c>
      <c r="AD41" s="346" t="s">
        <v>528</v>
      </c>
      <c r="AE41" s="348" t="s">
        <v>529</v>
      </c>
      <c r="AF41" s="348" t="s">
        <v>530</v>
      </c>
      <c r="AG41" s="348" t="s">
        <v>531</v>
      </c>
      <c r="AH41" s="348" t="s">
        <v>532</v>
      </c>
      <c r="AI41" s="349" t="s">
        <v>582</v>
      </c>
      <c r="AJ41" s="328" t="s">
        <v>417</v>
      </c>
    </row>
    <row r="42" spans="1:40" ht="14.25" customHeight="1" x14ac:dyDescent="0.2">
      <c r="A42" s="464"/>
      <c r="B42" s="97" t="s">
        <v>360</v>
      </c>
      <c r="C42" s="96" t="s">
        <v>55</v>
      </c>
      <c r="D42" s="110">
        <v>566.26</v>
      </c>
      <c r="E42" s="94">
        <f t="shared" si="1"/>
        <v>150</v>
      </c>
      <c r="F42" s="311">
        <v>424.66829999999999</v>
      </c>
      <c r="G42" s="94">
        <v>2</v>
      </c>
      <c r="H42" s="306">
        <f t="shared" si="2"/>
        <v>849.33659999999998</v>
      </c>
      <c r="I42" s="94">
        <f t="shared" si="13"/>
        <v>7</v>
      </c>
      <c r="J42" s="94">
        <f t="shared" si="3"/>
        <v>1050</v>
      </c>
      <c r="K42" s="94">
        <f t="shared" si="10"/>
        <v>200.66340000000002</v>
      </c>
      <c r="L42" s="102" t="s">
        <v>359</v>
      </c>
      <c r="M42" s="108">
        <v>1033.6600000000001</v>
      </c>
      <c r="N42" s="92">
        <f t="shared" si="5"/>
        <v>150</v>
      </c>
      <c r="O42" s="91">
        <f t="shared" si="6"/>
        <v>1050</v>
      </c>
      <c r="P42" s="327">
        <f t="shared" si="11"/>
        <v>200.66340000000002</v>
      </c>
      <c r="Q42" s="485"/>
      <c r="R42" s="475"/>
      <c r="U42" s="328" t="s">
        <v>535</v>
      </c>
      <c r="V42" s="362">
        <f>V40*U8</f>
        <v>1400</v>
      </c>
      <c r="W42" s="362">
        <f>W40*U9</f>
        <v>2850</v>
      </c>
      <c r="X42" s="362">
        <f>X40*U10</f>
        <v>6600</v>
      </c>
      <c r="Y42" s="362">
        <f>Y40*U11</f>
        <v>0</v>
      </c>
      <c r="Z42" s="362">
        <f>Z40*U12</f>
        <v>0</v>
      </c>
      <c r="AA42" s="328">
        <f>SUM(V42:Z42)</f>
        <v>10850</v>
      </c>
      <c r="AD42" s="60" t="s">
        <v>84</v>
      </c>
      <c r="AE42" s="352">
        <f>V28+V48</f>
        <v>1</v>
      </c>
      <c r="AF42" s="352">
        <f>W28+W48</f>
        <v>10</v>
      </c>
      <c r="AG42" s="352">
        <f>X28+X48</f>
        <v>3</v>
      </c>
      <c r="AH42" s="352">
        <f>Y28+Y48</f>
        <v>2</v>
      </c>
      <c r="AI42" s="352">
        <f>Z28+Z48</f>
        <v>0</v>
      </c>
      <c r="AJ42" s="353">
        <f>SUM(AE42:AI42)</f>
        <v>16</v>
      </c>
    </row>
    <row r="43" spans="1:40" ht="14.25" customHeight="1" thickBot="1" x14ac:dyDescent="0.25">
      <c r="A43" s="464"/>
      <c r="B43" s="97" t="s">
        <v>358</v>
      </c>
      <c r="C43" s="96" t="s">
        <v>62</v>
      </c>
      <c r="D43" s="95">
        <v>174.54</v>
      </c>
      <c r="E43" s="73">
        <f t="shared" si="1"/>
        <v>250</v>
      </c>
      <c r="F43" s="306">
        <v>80.336669999999998</v>
      </c>
      <c r="G43" s="94">
        <v>2</v>
      </c>
      <c r="H43" s="306">
        <f t="shared" si="2"/>
        <v>160.67334</v>
      </c>
      <c r="I43" s="94">
        <f t="shared" si="13"/>
        <v>1</v>
      </c>
      <c r="J43" s="94">
        <f t="shared" si="3"/>
        <v>250</v>
      </c>
      <c r="K43" s="94">
        <f t="shared" si="10"/>
        <v>89.326660000000004</v>
      </c>
      <c r="L43" s="91" t="s">
        <v>357</v>
      </c>
      <c r="M43" s="93">
        <v>811.21</v>
      </c>
      <c r="N43" s="121">
        <f t="shared" si="5"/>
        <v>150</v>
      </c>
      <c r="O43" s="70">
        <f t="shared" si="6"/>
        <v>150</v>
      </c>
      <c r="P43" s="326">
        <f t="shared" si="11"/>
        <v>-10.673339999999996</v>
      </c>
      <c r="Q43" s="486"/>
      <c r="R43" s="473"/>
      <c r="AD43" s="60" t="s">
        <v>85</v>
      </c>
      <c r="AE43" s="352">
        <f t="shared" ref="AE43:AI53" si="15">V29+V49</f>
        <v>1</v>
      </c>
      <c r="AF43" s="352">
        <f t="shared" si="15"/>
        <v>14</v>
      </c>
      <c r="AG43" s="352">
        <f t="shared" si="15"/>
        <v>11</v>
      </c>
      <c r="AH43" s="352">
        <f t="shared" si="15"/>
        <v>0</v>
      </c>
      <c r="AI43" s="352">
        <f t="shared" si="15"/>
        <v>5</v>
      </c>
      <c r="AJ43" s="60">
        <f t="shared" ref="AJ43:AJ53" si="16">SUM(AE43:AI43)</f>
        <v>31</v>
      </c>
    </row>
    <row r="44" spans="1:40" ht="13.5" thickBot="1" x14ac:dyDescent="0.25">
      <c r="A44" s="114" t="s">
        <v>355</v>
      </c>
      <c r="B44" s="87" t="s">
        <v>356</v>
      </c>
      <c r="C44" s="86" t="s">
        <v>355</v>
      </c>
      <c r="D44" s="85">
        <v>517.28</v>
      </c>
      <c r="E44" s="94">
        <f t="shared" si="1"/>
        <v>200</v>
      </c>
      <c r="F44" s="307">
        <v>67.241829999999993</v>
      </c>
      <c r="G44" s="178">
        <v>2</v>
      </c>
      <c r="H44" s="314">
        <f t="shared" si="2"/>
        <v>134.48365999999999</v>
      </c>
      <c r="I44" s="178">
        <f t="shared" si="13"/>
        <v>1</v>
      </c>
      <c r="J44" s="178">
        <f t="shared" si="3"/>
        <v>200</v>
      </c>
      <c r="K44" s="178">
        <f t="shared" si="10"/>
        <v>65.516340000000014</v>
      </c>
      <c r="L44" s="101" t="s">
        <v>354</v>
      </c>
      <c r="M44" s="83">
        <v>607.995</v>
      </c>
      <c r="N44" s="92">
        <f t="shared" si="5"/>
        <v>150</v>
      </c>
      <c r="O44" s="91">
        <f t="shared" si="6"/>
        <v>150</v>
      </c>
      <c r="P44" s="327">
        <f t="shared" si="11"/>
        <v>15.516340000000014</v>
      </c>
      <c r="Q44" s="482" t="s">
        <v>555</v>
      </c>
      <c r="R44" s="483"/>
      <c r="AD44" s="60" t="s">
        <v>86</v>
      </c>
      <c r="AE44" s="352">
        <f t="shared" si="15"/>
        <v>1</v>
      </c>
      <c r="AF44" s="352">
        <f t="shared" si="15"/>
        <v>0</v>
      </c>
      <c r="AG44" s="352">
        <f t="shared" si="15"/>
        <v>7</v>
      </c>
      <c r="AH44" s="352">
        <f t="shared" si="15"/>
        <v>0</v>
      </c>
      <c r="AI44" s="352">
        <f t="shared" si="15"/>
        <v>3</v>
      </c>
      <c r="AJ44" s="60">
        <f t="shared" si="16"/>
        <v>11</v>
      </c>
    </row>
    <row r="45" spans="1:40" ht="14.25" customHeight="1" x14ac:dyDescent="0.2">
      <c r="A45" s="462" t="s">
        <v>349</v>
      </c>
      <c r="B45" s="87" t="s">
        <v>353</v>
      </c>
      <c r="C45" s="86" t="s">
        <v>342</v>
      </c>
      <c r="D45" s="85">
        <v>592.98500000000001</v>
      </c>
      <c r="E45" s="84">
        <f t="shared" si="1"/>
        <v>150</v>
      </c>
      <c r="F45" s="307">
        <v>175.91919999999999</v>
      </c>
      <c r="G45" s="94">
        <v>2</v>
      </c>
      <c r="H45" s="306">
        <f t="shared" si="2"/>
        <v>351.83839999999998</v>
      </c>
      <c r="I45" s="94">
        <f t="shared" si="13"/>
        <v>3</v>
      </c>
      <c r="J45" s="94">
        <f t="shared" si="3"/>
        <v>450</v>
      </c>
      <c r="K45" s="94">
        <f t="shared" si="10"/>
        <v>98.161600000000021</v>
      </c>
      <c r="L45" s="101" t="s">
        <v>352</v>
      </c>
      <c r="M45" s="83">
        <v>1051.23</v>
      </c>
      <c r="N45" s="82">
        <f t="shared" si="5"/>
        <v>150</v>
      </c>
      <c r="O45" s="101">
        <f t="shared" si="6"/>
        <v>450</v>
      </c>
      <c r="P45" s="197">
        <f t="shared" si="11"/>
        <v>98.161600000000021</v>
      </c>
      <c r="Q45" s="470" t="s">
        <v>555</v>
      </c>
      <c r="R45" s="471"/>
      <c r="AD45" s="60" t="s">
        <v>87</v>
      </c>
      <c r="AE45" s="352">
        <f t="shared" si="15"/>
        <v>2</v>
      </c>
      <c r="AF45" s="352">
        <f t="shared" si="15"/>
        <v>25</v>
      </c>
      <c r="AG45" s="352">
        <f t="shared" si="15"/>
        <v>39</v>
      </c>
      <c r="AH45" s="352">
        <f t="shared" si="15"/>
        <v>20</v>
      </c>
      <c r="AI45" s="352">
        <f t="shared" si="15"/>
        <v>0</v>
      </c>
      <c r="AJ45" s="60">
        <f t="shared" si="16"/>
        <v>86</v>
      </c>
    </row>
    <row r="46" spans="1:40" ht="14.25" customHeight="1" x14ac:dyDescent="0.2">
      <c r="A46" s="464"/>
      <c r="B46" s="97" t="s">
        <v>350</v>
      </c>
      <c r="C46" s="96" t="s">
        <v>349</v>
      </c>
      <c r="D46" s="110">
        <v>374.84</v>
      </c>
      <c r="E46" s="94">
        <f t="shared" si="1"/>
        <v>200</v>
      </c>
      <c r="F46" s="311">
        <v>115.1143</v>
      </c>
      <c r="G46" s="94">
        <v>2</v>
      </c>
      <c r="H46" s="306">
        <f t="shared" si="2"/>
        <v>230.2286</v>
      </c>
      <c r="I46" s="94">
        <f t="shared" si="13"/>
        <v>2</v>
      </c>
      <c r="J46" s="94">
        <f t="shared" si="3"/>
        <v>400</v>
      </c>
      <c r="K46" s="94">
        <f t="shared" si="10"/>
        <v>169.7714</v>
      </c>
      <c r="L46" s="102" t="s">
        <v>348</v>
      </c>
      <c r="M46" s="108">
        <v>838.745</v>
      </c>
      <c r="N46" s="92">
        <f t="shared" si="5"/>
        <v>150</v>
      </c>
      <c r="O46" s="91">
        <f t="shared" si="6"/>
        <v>300</v>
      </c>
      <c r="P46" s="327">
        <f t="shared" si="11"/>
        <v>69.7714</v>
      </c>
      <c r="Q46" s="474"/>
      <c r="R46" s="475"/>
      <c r="U46" s="491" t="s">
        <v>588</v>
      </c>
      <c r="V46" s="492"/>
      <c r="W46" s="492"/>
      <c r="X46" s="492"/>
      <c r="Y46" s="492"/>
      <c r="Z46" s="493"/>
      <c r="AA46" s="161"/>
      <c r="AD46" s="60" t="s">
        <v>88</v>
      </c>
      <c r="AE46" s="352">
        <f t="shared" si="15"/>
        <v>3</v>
      </c>
      <c r="AF46" s="352">
        <f t="shared" si="15"/>
        <v>0</v>
      </c>
      <c r="AG46" s="352">
        <f t="shared" si="15"/>
        <v>25</v>
      </c>
      <c r="AH46" s="352">
        <f t="shared" si="15"/>
        <v>1</v>
      </c>
      <c r="AI46" s="352">
        <f t="shared" si="15"/>
        <v>0</v>
      </c>
      <c r="AJ46" s="60">
        <f t="shared" si="16"/>
        <v>29</v>
      </c>
    </row>
    <row r="47" spans="1:40" ht="14.25" customHeight="1" x14ac:dyDescent="0.2">
      <c r="A47" s="464"/>
      <c r="B47" s="97" t="s">
        <v>347</v>
      </c>
      <c r="C47" s="96" t="s">
        <v>335</v>
      </c>
      <c r="D47" s="110">
        <v>675.17499999999995</v>
      </c>
      <c r="E47" s="94">
        <f t="shared" si="1"/>
        <v>150</v>
      </c>
      <c r="F47" s="311">
        <v>87.5685</v>
      </c>
      <c r="G47" s="94">
        <v>2</v>
      </c>
      <c r="H47" s="306">
        <f t="shared" si="2"/>
        <v>175.137</v>
      </c>
      <c r="I47" s="94">
        <f t="shared" si="13"/>
        <v>2</v>
      </c>
      <c r="J47" s="94">
        <f t="shared" si="3"/>
        <v>300</v>
      </c>
      <c r="K47" s="94">
        <f t="shared" si="10"/>
        <v>124.863</v>
      </c>
      <c r="L47" s="102" t="s">
        <v>346</v>
      </c>
      <c r="M47" s="108">
        <v>792.93499999999995</v>
      </c>
      <c r="N47" s="92">
        <f t="shared" si="5"/>
        <v>150</v>
      </c>
      <c r="O47" s="91">
        <f t="shared" si="6"/>
        <v>300</v>
      </c>
      <c r="P47" s="327">
        <f t="shared" si="11"/>
        <v>124.863</v>
      </c>
      <c r="Q47" s="474"/>
      <c r="R47" s="475"/>
      <c r="U47" s="346" t="s">
        <v>528</v>
      </c>
      <c r="V47" s="348" t="s">
        <v>529</v>
      </c>
      <c r="W47" s="348" t="s">
        <v>530</v>
      </c>
      <c r="X47" s="348" t="s">
        <v>531</v>
      </c>
      <c r="Y47" s="348" t="s">
        <v>532</v>
      </c>
      <c r="Z47" s="349" t="s">
        <v>582</v>
      </c>
      <c r="AA47" s="328" t="s">
        <v>417</v>
      </c>
      <c r="AD47" s="60" t="s">
        <v>89</v>
      </c>
      <c r="AE47" s="352">
        <f t="shared" si="15"/>
        <v>0</v>
      </c>
      <c r="AF47" s="352">
        <f t="shared" si="15"/>
        <v>17</v>
      </c>
      <c r="AG47" s="352">
        <f t="shared" si="15"/>
        <v>1</v>
      </c>
      <c r="AH47" s="352">
        <f t="shared" si="15"/>
        <v>1</v>
      </c>
      <c r="AI47" s="352">
        <f t="shared" si="15"/>
        <v>0</v>
      </c>
      <c r="AJ47" s="60">
        <f t="shared" si="16"/>
        <v>19</v>
      </c>
    </row>
    <row r="48" spans="1:40" ht="14.25" customHeight="1" thickBot="1" x14ac:dyDescent="0.25">
      <c r="A48" s="464"/>
      <c r="B48" s="97" t="s">
        <v>339</v>
      </c>
      <c r="C48" s="96" t="s">
        <v>338</v>
      </c>
      <c r="D48" s="95">
        <v>768.38499999999999</v>
      </c>
      <c r="E48" s="73">
        <f t="shared" si="1"/>
        <v>150</v>
      </c>
      <c r="F48" s="306">
        <v>46.164000000000001</v>
      </c>
      <c r="G48" s="94">
        <v>2</v>
      </c>
      <c r="H48" s="306">
        <f t="shared" si="2"/>
        <v>92.328000000000003</v>
      </c>
      <c r="I48" s="94">
        <f t="shared" si="13"/>
        <v>1</v>
      </c>
      <c r="J48" s="94">
        <f t="shared" si="3"/>
        <v>150</v>
      </c>
      <c r="K48" s="94">
        <f t="shared" si="10"/>
        <v>57.671999999999997</v>
      </c>
      <c r="L48" s="91" t="s">
        <v>345</v>
      </c>
      <c r="M48" s="93">
        <v>934.80499999999995</v>
      </c>
      <c r="N48" s="121">
        <f t="shared" si="5"/>
        <v>150</v>
      </c>
      <c r="O48" s="70">
        <f t="shared" si="6"/>
        <v>150</v>
      </c>
      <c r="P48" s="326">
        <f t="shared" si="11"/>
        <v>57.671999999999997</v>
      </c>
      <c r="Q48" s="472"/>
      <c r="R48" s="473"/>
      <c r="U48" s="60" t="s">
        <v>84</v>
      </c>
      <c r="V48" s="352">
        <v>0</v>
      </c>
      <c r="W48" s="352">
        <f>10</f>
        <v>10</v>
      </c>
      <c r="X48" s="450">
        <f>2+1</f>
        <v>3</v>
      </c>
      <c r="Y48" s="450">
        <f>2</f>
        <v>2</v>
      </c>
      <c r="Z48" s="352">
        <v>0</v>
      </c>
      <c r="AA48" s="353">
        <f>SUM(V48:Z48)</f>
        <v>15</v>
      </c>
      <c r="AD48" s="60" t="s">
        <v>90</v>
      </c>
      <c r="AE48" s="352">
        <f t="shared" si="15"/>
        <v>0</v>
      </c>
      <c r="AF48" s="352">
        <f t="shared" si="15"/>
        <v>0</v>
      </c>
      <c r="AG48" s="352">
        <f t="shared" si="15"/>
        <v>3</v>
      </c>
      <c r="AH48" s="352">
        <f t="shared" si="15"/>
        <v>3</v>
      </c>
      <c r="AI48" s="352">
        <f t="shared" si="15"/>
        <v>2</v>
      </c>
      <c r="AJ48" s="60">
        <f t="shared" si="16"/>
        <v>8</v>
      </c>
      <c r="AK48" s="304"/>
      <c r="AL48" s="343"/>
      <c r="AM48" s="304"/>
      <c r="AN48" s="304"/>
    </row>
    <row r="49" spans="1:40" x14ac:dyDescent="0.2">
      <c r="A49" s="462" t="s">
        <v>344</v>
      </c>
      <c r="B49" s="87" t="s">
        <v>343</v>
      </c>
      <c r="C49" s="86" t="s">
        <v>342</v>
      </c>
      <c r="D49" s="85">
        <v>592.98500000000001</v>
      </c>
      <c r="E49" s="94">
        <f t="shared" si="1"/>
        <v>150</v>
      </c>
      <c r="F49" s="307">
        <v>175.91919999999999</v>
      </c>
      <c r="G49" s="84">
        <v>2</v>
      </c>
      <c r="H49" s="307">
        <f t="shared" si="2"/>
        <v>351.83839999999998</v>
      </c>
      <c r="I49" s="84">
        <f t="shared" si="13"/>
        <v>3</v>
      </c>
      <c r="J49" s="84">
        <f t="shared" si="3"/>
        <v>450</v>
      </c>
      <c r="K49" s="84">
        <f t="shared" si="10"/>
        <v>98.161600000000021</v>
      </c>
      <c r="L49" s="101" t="s">
        <v>341</v>
      </c>
      <c r="M49" s="83">
        <v>992.44500000000005</v>
      </c>
      <c r="N49" s="92">
        <f t="shared" si="5"/>
        <v>150</v>
      </c>
      <c r="O49" s="91">
        <f t="shared" si="6"/>
        <v>450</v>
      </c>
      <c r="P49" s="327">
        <f t="shared" si="11"/>
        <v>98.161600000000021</v>
      </c>
      <c r="Q49" s="229"/>
      <c r="R49" s="77"/>
      <c r="U49" s="60" t="s">
        <v>85</v>
      </c>
      <c r="V49" s="352">
        <v>0</v>
      </c>
      <c r="W49" s="352">
        <f>7+3+4</f>
        <v>14</v>
      </c>
      <c r="X49" s="352">
        <f>5+3</f>
        <v>8</v>
      </c>
      <c r="Y49" s="352">
        <v>0</v>
      </c>
      <c r="Z49" s="352">
        <f>3+2</f>
        <v>5</v>
      </c>
      <c r="AA49" s="60">
        <f t="shared" ref="AA49:AA59" si="17">SUM(V49:Z49)</f>
        <v>27</v>
      </c>
      <c r="AD49" s="60" t="s">
        <v>91</v>
      </c>
      <c r="AE49" s="352">
        <f t="shared" si="15"/>
        <v>1</v>
      </c>
      <c r="AF49" s="352">
        <f t="shared" si="15"/>
        <v>27</v>
      </c>
      <c r="AG49" s="352">
        <f t="shared" si="15"/>
        <v>6</v>
      </c>
      <c r="AH49" s="352">
        <f t="shared" si="15"/>
        <v>2</v>
      </c>
      <c r="AI49" s="352">
        <f t="shared" si="15"/>
        <v>0</v>
      </c>
      <c r="AJ49" s="60">
        <f t="shared" si="16"/>
        <v>36</v>
      </c>
      <c r="AK49" s="193"/>
      <c r="AL49" s="343"/>
      <c r="AM49" s="193"/>
      <c r="AN49" s="193"/>
    </row>
    <row r="50" spans="1:40" ht="14.25" customHeight="1" thickBot="1" x14ac:dyDescent="0.25">
      <c r="A50" s="464"/>
      <c r="B50" s="97" t="s">
        <v>339</v>
      </c>
      <c r="C50" s="96" t="s">
        <v>338</v>
      </c>
      <c r="D50" s="95">
        <v>768.38499999999999</v>
      </c>
      <c r="E50" s="94">
        <f t="shared" si="1"/>
        <v>150</v>
      </c>
      <c r="F50" s="306">
        <v>46.164000000000001</v>
      </c>
      <c r="G50" s="73">
        <v>2</v>
      </c>
      <c r="H50" s="309">
        <f t="shared" si="2"/>
        <v>92.328000000000003</v>
      </c>
      <c r="I50" s="73">
        <f t="shared" si="13"/>
        <v>1</v>
      </c>
      <c r="J50" s="73">
        <f t="shared" si="3"/>
        <v>150</v>
      </c>
      <c r="K50" s="73">
        <f t="shared" si="10"/>
        <v>57.671999999999997</v>
      </c>
      <c r="L50" s="91" t="s">
        <v>337</v>
      </c>
      <c r="M50" s="93">
        <v>817.04499999999996</v>
      </c>
      <c r="N50" s="92">
        <f t="shared" si="5"/>
        <v>150</v>
      </c>
      <c r="O50" s="91">
        <f t="shared" si="6"/>
        <v>150</v>
      </c>
      <c r="P50" s="327">
        <f t="shared" si="11"/>
        <v>57.671999999999997</v>
      </c>
      <c r="Q50" s="391"/>
      <c r="R50" s="88"/>
      <c r="U50" s="60" t="s">
        <v>86</v>
      </c>
      <c r="V50" s="352">
        <v>0</v>
      </c>
      <c r="W50" s="352">
        <v>0</v>
      </c>
      <c r="X50" s="350">
        <f>4+1</f>
        <v>5</v>
      </c>
      <c r="Y50" s="352">
        <v>0</v>
      </c>
      <c r="Z50" s="352">
        <f>3</f>
        <v>3</v>
      </c>
      <c r="AA50" s="60">
        <f t="shared" si="17"/>
        <v>8</v>
      </c>
      <c r="AD50" s="60" t="s">
        <v>92</v>
      </c>
      <c r="AE50" s="352">
        <f t="shared" si="15"/>
        <v>2</v>
      </c>
      <c r="AF50" s="352">
        <f t="shared" si="15"/>
        <v>8</v>
      </c>
      <c r="AG50" s="352">
        <f t="shared" si="15"/>
        <v>17</v>
      </c>
      <c r="AH50" s="352">
        <f t="shared" si="15"/>
        <v>0</v>
      </c>
      <c r="AI50" s="352">
        <f t="shared" si="15"/>
        <v>0</v>
      </c>
      <c r="AJ50" s="60">
        <f t="shared" si="16"/>
        <v>27</v>
      </c>
      <c r="AK50" s="304"/>
      <c r="AL50" s="304"/>
      <c r="AM50" s="304"/>
      <c r="AN50" s="304"/>
    </row>
    <row r="51" spans="1:40" x14ac:dyDescent="0.2">
      <c r="A51" s="462" t="s">
        <v>340</v>
      </c>
      <c r="B51" s="87" t="s">
        <v>339</v>
      </c>
      <c r="C51" s="86" t="s">
        <v>338</v>
      </c>
      <c r="D51" s="85">
        <v>768.38499999999999</v>
      </c>
      <c r="E51" s="84">
        <f t="shared" si="1"/>
        <v>150</v>
      </c>
      <c r="F51" s="307">
        <v>46.164000000000001</v>
      </c>
      <c r="G51" s="94">
        <v>2</v>
      </c>
      <c r="H51" s="306">
        <f t="shared" si="2"/>
        <v>92.328000000000003</v>
      </c>
      <c r="I51" s="94">
        <f t="shared" si="13"/>
        <v>1</v>
      </c>
      <c r="J51" s="94">
        <f t="shared" si="3"/>
        <v>150</v>
      </c>
      <c r="K51" s="94">
        <f t="shared" si="10"/>
        <v>57.671999999999997</v>
      </c>
      <c r="L51" s="101" t="s">
        <v>337</v>
      </c>
      <c r="M51" s="83">
        <v>817.04499999999996</v>
      </c>
      <c r="N51" s="82">
        <f t="shared" si="5"/>
        <v>150</v>
      </c>
      <c r="O51" s="101">
        <f t="shared" si="6"/>
        <v>150</v>
      </c>
      <c r="P51" s="197">
        <f t="shared" si="11"/>
        <v>57.671999999999997</v>
      </c>
      <c r="Q51" s="391"/>
      <c r="R51" s="88"/>
      <c r="U51" s="60" t="s">
        <v>87</v>
      </c>
      <c r="V51" s="352">
        <v>0</v>
      </c>
      <c r="W51" s="451">
        <f>10+7+8</f>
        <v>25</v>
      </c>
      <c r="X51" s="352">
        <f>5+4+8+14+3</f>
        <v>34</v>
      </c>
      <c r="Y51" s="352">
        <f>3+8+9</f>
        <v>20</v>
      </c>
      <c r="Z51" s="352">
        <v>0</v>
      </c>
      <c r="AA51" s="60">
        <f t="shared" si="17"/>
        <v>79</v>
      </c>
      <c r="AD51" s="60" t="s">
        <v>93</v>
      </c>
      <c r="AE51" s="352">
        <f t="shared" si="15"/>
        <v>0</v>
      </c>
      <c r="AF51" s="352">
        <f t="shared" si="15"/>
        <v>1</v>
      </c>
      <c r="AG51" s="352">
        <f t="shared" si="15"/>
        <v>9</v>
      </c>
      <c r="AH51" s="352">
        <f t="shared" si="15"/>
        <v>8</v>
      </c>
      <c r="AI51" s="352">
        <f t="shared" si="15"/>
        <v>0</v>
      </c>
      <c r="AJ51" s="60">
        <f t="shared" si="16"/>
        <v>18</v>
      </c>
      <c r="AK51" s="345"/>
      <c r="AL51" s="304"/>
      <c r="AM51" s="345"/>
      <c r="AN51" s="345"/>
    </row>
    <row r="52" spans="1:40" ht="14.25" customHeight="1" thickBot="1" x14ac:dyDescent="0.25">
      <c r="A52" s="464"/>
      <c r="B52" s="97" t="s">
        <v>30</v>
      </c>
      <c r="C52" s="96" t="s">
        <v>326</v>
      </c>
      <c r="D52" s="95">
        <v>317.27</v>
      </c>
      <c r="E52" s="73">
        <f t="shared" si="1"/>
        <v>200</v>
      </c>
      <c r="F52" s="306">
        <v>136.87530000000001</v>
      </c>
      <c r="G52" s="94">
        <v>2</v>
      </c>
      <c r="H52" s="306">
        <f t="shared" si="2"/>
        <v>273.75060000000002</v>
      </c>
      <c r="I52" s="94">
        <f t="shared" si="13"/>
        <v>2</v>
      </c>
      <c r="J52" s="94">
        <f t="shared" si="3"/>
        <v>400</v>
      </c>
      <c r="K52" s="94">
        <f t="shared" si="10"/>
        <v>126.24939999999998</v>
      </c>
      <c r="L52" s="91" t="s">
        <v>325</v>
      </c>
      <c r="M52" s="93">
        <v>518.48</v>
      </c>
      <c r="N52" s="121">
        <f t="shared" si="5"/>
        <v>200</v>
      </c>
      <c r="O52" s="70">
        <f t="shared" si="6"/>
        <v>400</v>
      </c>
      <c r="P52" s="326">
        <f t="shared" si="11"/>
        <v>126.24939999999998</v>
      </c>
      <c r="Q52" s="392"/>
      <c r="R52" s="100"/>
      <c r="U52" s="60" t="s">
        <v>88</v>
      </c>
      <c r="V52" s="352">
        <v>0</v>
      </c>
      <c r="W52" s="352">
        <v>0</v>
      </c>
      <c r="X52" s="352">
        <f>2+3+1+8+1+1</f>
        <v>16</v>
      </c>
      <c r="Y52" s="352">
        <f>1</f>
        <v>1</v>
      </c>
      <c r="Z52" s="352">
        <v>0</v>
      </c>
      <c r="AA52" s="60">
        <f t="shared" si="17"/>
        <v>17</v>
      </c>
      <c r="AD52" s="60" t="s">
        <v>94</v>
      </c>
      <c r="AE52" s="352">
        <f t="shared" si="15"/>
        <v>3</v>
      </c>
      <c r="AF52" s="352">
        <f t="shared" si="15"/>
        <v>7</v>
      </c>
      <c r="AG52" s="352">
        <f t="shared" si="15"/>
        <v>5</v>
      </c>
      <c r="AH52" s="352">
        <f t="shared" si="15"/>
        <v>9</v>
      </c>
      <c r="AI52" s="352">
        <f t="shared" si="15"/>
        <v>0</v>
      </c>
      <c r="AJ52" s="60">
        <f t="shared" si="16"/>
        <v>24</v>
      </c>
      <c r="AK52" s="304"/>
      <c r="AL52" s="304"/>
      <c r="AM52" s="304"/>
      <c r="AN52" s="304"/>
    </row>
    <row r="53" spans="1:40" x14ac:dyDescent="0.2">
      <c r="A53" s="462" t="s">
        <v>336</v>
      </c>
      <c r="B53" s="87" t="s">
        <v>28</v>
      </c>
      <c r="C53" s="86" t="s">
        <v>335</v>
      </c>
      <c r="D53" s="85">
        <v>675.17499999999995</v>
      </c>
      <c r="E53" s="94">
        <f t="shared" si="1"/>
        <v>150</v>
      </c>
      <c r="F53" s="307">
        <v>87.5685</v>
      </c>
      <c r="G53" s="84">
        <v>2</v>
      </c>
      <c r="H53" s="307">
        <f t="shared" si="2"/>
        <v>175.137</v>
      </c>
      <c r="I53" s="84">
        <f t="shared" si="13"/>
        <v>2</v>
      </c>
      <c r="J53" s="84">
        <f t="shared" si="3"/>
        <v>300</v>
      </c>
      <c r="K53" s="84">
        <f t="shared" si="10"/>
        <v>124.863</v>
      </c>
      <c r="L53" s="101" t="s">
        <v>334</v>
      </c>
      <c r="M53" s="83">
        <v>792.93499999999995</v>
      </c>
      <c r="N53" s="92">
        <f t="shared" si="5"/>
        <v>150</v>
      </c>
      <c r="O53" s="91">
        <f t="shared" si="6"/>
        <v>300</v>
      </c>
      <c r="P53" s="327">
        <f t="shared" si="11"/>
        <v>124.863</v>
      </c>
      <c r="Q53" s="392"/>
      <c r="R53" s="100"/>
      <c r="U53" s="60" t="s">
        <v>89</v>
      </c>
      <c r="V53" s="352">
        <v>0</v>
      </c>
      <c r="W53" s="352">
        <f>7+7+2</f>
        <v>16</v>
      </c>
      <c r="X53" s="352">
        <f>1</f>
        <v>1</v>
      </c>
      <c r="Y53" s="352">
        <f>1</f>
        <v>1</v>
      </c>
      <c r="Z53" s="352">
        <v>0</v>
      </c>
      <c r="AA53" s="60">
        <f t="shared" si="17"/>
        <v>18</v>
      </c>
      <c r="AD53" s="358" t="s">
        <v>508</v>
      </c>
      <c r="AE53" s="352">
        <f t="shared" si="15"/>
        <v>0</v>
      </c>
      <c r="AF53" s="352">
        <f t="shared" si="15"/>
        <v>4</v>
      </c>
      <c r="AG53" s="352">
        <f t="shared" si="15"/>
        <v>3</v>
      </c>
      <c r="AH53" s="352">
        <f t="shared" si="15"/>
        <v>0</v>
      </c>
      <c r="AI53" s="352">
        <f t="shared" si="15"/>
        <v>0</v>
      </c>
      <c r="AJ53" s="358">
        <f t="shared" si="16"/>
        <v>7</v>
      </c>
      <c r="AK53" s="304"/>
      <c r="AL53" s="304"/>
      <c r="AM53" s="304"/>
      <c r="AN53" s="304"/>
    </row>
    <row r="54" spans="1:40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94">
        <f t="shared" si="1"/>
        <v>200</v>
      </c>
      <c r="F54" s="306">
        <v>33.29833</v>
      </c>
      <c r="G54" s="73">
        <v>2</v>
      </c>
      <c r="H54" s="309">
        <f t="shared" si="2"/>
        <v>66.59666</v>
      </c>
      <c r="I54" s="73">
        <f t="shared" si="13"/>
        <v>1</v>
      </c>
      <c r="J54" s="73">
        <f t="shared" si="3"/>
        <v>200</v>
      </c>
      <c r="K54" s="73">
        <f t="shared" si="10"/>
        <v>133.40334000000001</v>
      </c>
      <c r="L54" s="91" t="s">
        <v>331</v>
      </c>
      <c r="M54" s="93">
        <v>524.75</v>
      </c>
      <c r="N54" s="92">
        <f t="shared" si="5"/>
        <v>200</v>
      </c>
      <c r="O54" s="91">
        <f t="shared" si="6"/>
        <v>200</v>
      </c>
      <c r="P54" s="327">
        <f t="shared" si="11"/>
        <v>133.40334000000001</v>
      </c>
      <c r="Q54" s="392"/>
      <c r="R54" s="89"/>
      <c r="U54" s="60" t="s">
        <v>90</v>
      </c>
      <c r="V54" s="352">
        <v>0</v>
      </c>
      <c r="W54" s="350">
        <v>0</v>
      </c>
      <c r="X54" s="350">
        <f>1</f>
        <v>1</v>
      </c>
      <c r="Y54" s="352">
        <f>3</f>
        <v>3</v>
      </c>
      <c r="Z54" s="352">
        <f>2</f>
        <v>2</v>
      </c>
      <c r="AA54" s="60">
        <f t="shared" si="17"/>
        <v>6</v>
      </c>
      <c r="AD54" s="328" t="s">
        <v>537</v>
      </c>
      <c r="AE54" s="360">
        <f t="shared" ref="AE54:AJ54" si="18">SUM(AE42:AE53)</f>
        <v>14</v>
      </c>
      <c r="AF54" s="360">
        <f t="shared" si="18"/>
        <v>113</v>
      </c>
      <c r="AG54" s="360">
        <f t="shared" si="18"/>
        <v>129</v>
      </c>
      <c r="AH54" s="360">
        <f t="shared" si="18"/>
        <v>46</v>
      </c>
      <c r="AI54" s="360">
        <f t="shared" si="18"/>
        <v>10</v>
      </c>
      <c r="AJ54" s="361">
        <f t="shared" si="18"/>
        <v>312</v>
      </c>
      <c r="AK54" s="304"/>
      <c r="AL54" s="304"/>
      <c r="AM54" s="304"/>
      <c r="AN54" s="304"/>
    </row>
    <row r="55" spans="1:40" x14ac:dyDescent="0.2">
      <c r="A55" s="462" t="s">
        <v>330</v>
      </c>
      <c r="B55" s="87" t="s">
        <v>329</v>
      </c>
      <c r="C55" s="86" t="s">
        <v>61</v>
      </c>
      <c r="D55" s="85">
        <v>381.34</v>
      </c>
      <c r="E55" s="84">
        <f t="shared" si="1"/>
        <v>200</v>
      </c>
      <c r="F55" s="307">
        <v>233.80699999999999</v>
      </c>
      <c r="G55" s="84">
        <v>2</v>
      </c>
      <c r="H55" s="307">
        <f t="shared" si="2"/>
        <v>467.61399999999998</v>
      </c>
      <c r="I55" s="84">
        <f t="shared" si="13"/>
        <v>3</v>
      </c>
      <c r="J55" s="84">
        <f t="shared" si="3"/>
        <v>600</v>
      </c>
      <c r="K55" s="84">
        <f t="shared" si="10"/>
        <v>132.38600000000002</v>
      </c>
      <c r="L55" s="101" t="s">
        <v>328</v>
      </c>
      <c r="M55" s="83">
        <v>673.16499999999996</v>
      </c>
      <c r="N55" s="82">
        <f t="shared" si="5"/>
        <v>150</v>
      </c>
      <c r="O55" s="101">
        <f t="shared" si="6"/>
        <v>450</v>
      </c>
      <c r="P55" s="197">
        <f t="shared" si="11"/>
        <v>-17.613999999999976</v>
      </c>
      <c r="Q55" s="317" t="s">
        <v>29</v>
      </c>
      <c r="R55" s="80">
        <v>15</v>
      </c>
      <c r="U55" s="60" t="s">
        <v>91</v>
      </c>
      <c r="V55" s="352">
        <v>0</v>
      </c>
      <c r="W55" s="350">
        <f>3+8+2+3+2+1</f>
        <v>19</v>
      </c>
      <c r="X55" s="352">
        <f>1+2</f>
        <v>3</v>
      </c>
      <c r="Y55" s="352">
        <f>2</f>
        <v>2</v>
      </c>
      <c r="Z55" s="352">
        <v>0</v>
      </c>
      <c r="AA55" s="60">
        <f t="shared" si="17"/>
        <v>24</v>
      </c>
      <c r="AD55" s="328" t="s">
        <v>536</v>
      </c>
      <c r="AE55" s="362">
        <f>PRODUCT(AE54*AF33)</f>
        <v>210</v>
      </c>
      <c r="AF55" s="452">
        <f>PRODUCT(AF54*AF34)</f>
        <v>1849.6857</v>
      </c>
      <c r="AG55" s="452">
        <f>PRODUCT(AG54*AF35)</f>
        <v>2160.3243000000002</v>
      </c>
      <c r="AH55" s="452">
        <f>PRODUCT(AH54*AF36)</f>
        <v>776.78360000000009</v>
      </c>
      <c r="AI55" s="452">
        <f>PRODUCT(AI54*AF37)</f>
        <v>170</v>
      </c>
      <c r="AJ55" s="453">
        <f>SUM(AE55:AI55)</f>
        <v>5166.7936</v>
      </c>
      <c r="AK55" s="304"/>
      <c r="AL55" s="304"/>
      <c r="AM55" s="304"/>
      <c r="AN55" s="304"/>
    </row>
    <row r="56" spans="1:40" ht="14.25" customHeight="1" thickBot="1" x14ac:dyDescent="0.25">
      <c r="A56" s="463"/>
      <c r="B56" s="76" t="s">
        <v>30</v>
      </c>
      <c r="C56" s="75" t="s">
        <v>326</v>
      </c>
      <c r="D56" s="74">
        <v>317.27</v>
      </c>
      <c r="E56" s="73">
        <f t="shared" si="1"/>
        <v>200</v>
      </c>
      <c r="F56" s="309">
        <v>136.87530000000001</v>
      </c>
      <c r="G56" s="73">
        <v>2</v>
      </c>
      <c r="H56" s="309">
        <f t="shared" si="2"/>
        <v>273.75060000000002</v>
      </c>
      <c r="I56" s="73">
        <f t="shared" si="13"/>
        <v>2</v>
      </c>
      <c r="J56" s="73">
        <f t="shared" si="3"/>
        <v>400</v>
      </c>
      <c r="K56" s="73">
        <f t="shared" si="10"/>
        <v>126.24939999999998</v>
      </c>
      <c r="L56" s="70" t="s">
        <v>325</v>
      </c>
      <c r="M56" s="72">
        <v>518.48</v>
      </c>
      <c r="N56" s="121">
        <f t="shared" si="5"/>
        <v>200</v>
      </c>
      <c r="O56" s="70">
        <f t="shared" si="6"/>
        <v>400</v>
      </c>
      <c r="P56" s="326">
        <f t="shared" si="11"/>
        <v>126.24939999999998</v>
      </c>
      <c r="Q56" s="319"/>
      <c r="R56" s="69"/>
      <c r="U56" s="60" t="s">
        <v>92</v>
      </c>
      <c r="V56" s="352">
        <v>0</v>
      </c>
      <c r="W56" s="350">
        <f>4+3</f>
        <v>7</v>
      </c>
      <c r="X56" s="352">
        <f>14+2</f>
        <v>16</v>
      </c>
      <c r="Y56" s="352">
        <v>0</v>
      </c>
      <c r="Z56" s="352">
        <v>0</v>
      </c>
      <c r="AA56" s="60">
        <f t="shared" si="17"/>
        <v>23</v>
      </c>
      <c r="AD56" s="328" t="s">
        <v>583</v>
      </c>
      <c r="AE56" s="362">
        <f>AE54*AE33</f>
        <v>1400</v>
      </c>
      <c r="AF56" s="362">
        <f>AF54*AE34</f>
        <v>16950</v>
      </c>
      <c r="AG56" s="362">
        <f>AG54*AE35</f>
        <v>25800</v>
      </c>
      <c r="AH56" s="362">
        <f>AH54*AE36</f>
        <v>11500</v>
      </c>
      <c r="AI56" s="362">
        <f>AI54*AE37</f>
        <v>3000</v>
      </c>
      <c r="AJ56" s="328">
        <f>SUM(AE56:AI56)</f>
        <v>58650</v>
      </c>
      <c r="AK56" s="304"/>
      <c r="AL56" s="304"/>
      <c r="AM56" s="304"/>
      <c r="AN56" s="304"/>
    </row>
    <row r="57" spans="1:40" x14ac:dyDescent="0.2">
      <c r="A57" s="20"/>
      <c r="B57" s="64"/>
      <c r="C57" s="20"/>
      <c r="D57" s="20"/>
      <c r="E57" s="304"/>
      <c r="F57" s="64"/>
      <c r="G57" s="64"/>
      <c r="H57" s="64"/>
      <c r="I57" s="64"/>
      <c r="J57" s="64"/>
      <c r="K57" s="20"/>
      <c r="L57" s="20"/>
      <c r="M57" s="20"/>
      <c r="N57" s="304"/>
      <c r="O57" s="304"/>
      <c r="P57" s="20"/>
      <c r="Q57" s="20"/>
      <c r="R57" s="20"/>
      <c r="U57" s="60" t="s">
        <v>93</v>
      </c>
      <c r="V57" s="352">
        <v>0</v>
      </c>
      <c r="W57" s="350">
        <v>0</v>
      </c>
      <c r="X57" s="352">
        <f>2+1</f>
        <v>3</v>
      </c>
      <c r="Y57" s="352">
        <f>8</f>
        <v>8</v>
      </c>
      <c r="Z57" s="352">
        <v>0</v>
      </c>
      <c r="AA57" s="60">
        <f t="shared" si="17"/>
        <v>11</v>
      </c>
      <c r="AK57" s="304"/>
      <c r="AL57" s="304"/>
      <c r="AM57" s="304"/>
      <c r="AN57" s="304"/>
    </row>
    <row r="58" spans="1:40" x14ac:dyDescent="0.2">
      <c r="A58" s="20"/>
      <c r="B58" s="64"/>
      <c r="C58" s="20"/>
      <c r="D58" s="20"/>
      <c r="E58" s="304"/>
      <c r="F58" s="64"/>
      <c r="G58" s="64"/>
      <c r="H58" s="64"/>
      <c r="I58" s="64"/>
      <c r="J58" s="64"/>
      <c r="K58" s="20"/>
      <c r="L58" s="20"/>
      <c r="M58" s="20"/>
      <c r="N58" s="304"/>
      <c r="O58" s="304"/>
      <c r="P58" s="20"/>
      <c r="Q58" s="20"/>
      <c r="R58" s="20"/>
      <c r="U58" s="60" t="s">
        <v>94</v>
      </c>
      <c r="V58" s="352">
        <v>0</v>
      </c>
      <c r="W58" s="451">
        <f>2</f>
        <v>2</v>
      </c>
      <c r="X58" s="352">
        <f>2+1</f>
        <v>3</v>
      </c>
      <c r="Y58" s="352">
        <f>9</f>
        <v>9</v>
      </c>
      <c r="Z58" s="352"/>
      <c r="AA58" s="60">
        <f t="shared" si="17"/>
        <v>14</v>
      </c>
      <c r="AJ58" s="304"/>
      <c r="AK58" s="304"/>
      <c r="AL58" s="304"/>
      <c r="AM58" s="304"/>
      <c r="AN58" s="304"/>
    </row>
    <row r="59" spans="1:40" ht="15" x14ac:dyDescent="0.25">
      <c r="A59" s="20"/>
      <c r="B59" s="64"/>
      <c r="C59" s="20"/>
      <c r="D59" s="20"/>
      <c r="E59" s="304"/>
      <c r="F59" s="64"/>
      <c r="G59" s="64"/>
      <c r="H59" s="64"/>
      <c r="I59" s="64"/>
      <c r="J59" s="64"/>
      <c r="K59" s="20"/>
      <c r="L59" s="20"/>
      <c r="M59" s="20"/>
      <c r="N59" s="304"/>
      <c r="O59" s="304"/>
      <c r="P59" s="20"/>
      <c r="Q59" s="20"/>
      <c r="R59" s="20"/>
      <c r="U59" s="358" t="s">
        <v>508</v>
      </c>
      <c r="V59" s="352">
        <v>0</v>
      </c>
      <c r="W59" s="359">
        <f>1</f>
        <v>1</v>
      </c>
      <c r="X59" s="359">
        <f>3</f>
        <v>3</v>
      </c>
      <c r="Y59" s="359">
        <v>0</v>
      </c>
      <c r="Z59" s="352">
        <v>0</v>
      </c>
      <c r="AA59" s="358">
        <f t="shared" si="17"/>
        <v>4</v>
      </c>
      <c r="AD59">
        <f>AA40+AA60</f>
        <v>312</v>
      </c>
      <c r="AJ59" s="304"/>
      <c r="AK59" s="304"/>
      <c r="AL59" s="304"/>
      <c r="AM59" s="304"/>
      <c r="AN59" s="304"/>
    </row>
    <row r="60" spans="1:40" ht="15" x14ac:dyDescent="0.25">
      <c r="A60" s="20"/>
      <c r="B60" s="64"/>
      <c r="C60" s="20"/>
      <c r="D60" s="20"/>
      <c r="E60" s="304"/>
      <c r="F60" s="64"/>
      <c r="G60" s="64"/>
      <c r="H60" s="64"/>
      <c r="I60" s="64"/>
      <c r="J60" s="64"/>
      <c r="K60" s="20"/>
      <c r="L60" s="20"/>
      <c r="M60" s="20"/>
      <c r="N60" s="304"/>
      <c r="O60" s="304"/>
      <c r="P60" s="20"/>
      <c r="Q60" s="20"/>
      <c r="R60" s="20"/>
      <c r="U60" s="328" t="s">
        <v>537</v>
      </c>
      <c r="V60" s="360">
        <f t="shared" ref="V60:AA60" si="19">SUM(V48:V59)</f>
        <v>0</v>
      </c>
      <c r="W60" s="360">
        <f t="shared" si="19"/>
        <v>94</v>
      </c>
      <c r="X60" s="360">
        <f t="shared" si="19"/>
        <v>96</v>
      </c>
      <c r="Y60" s="360">
        <f t="shared" si="19"/>
        <v>46</v>
      </c>
      <c r="Z60" s="360">
        <f t="shared" si="19"/>
        <v>10</v>
      </c>
      <c r="AA60" s="361">
        <f t="shared" si="19"/>
        <v>246</v>
      </c>
      <c r="AD60" s="549">
        <f>AA41+AA61</f>
        <v>5166.7936000000009</v>
      </c>
      <c r="AJ60" s="304"/>
      <c r="AK60" s="304"/>
      <c r="AL60" s="304"/>
      <c r="AM60" s="304"/>
      <c r="AN60" s="304"/>
    </row>
    <row r="61" spans="1:40" x14ac:dyDescent="0.2">
      <c r="A61" s="20"/>
      <c r="B61" s="64"/>
      <c r="C61" s="20"/>
      <c r="D61" s="20"/>
      <c r="E61" s="304"/>
      <c r="F61" s="64"/>
      <c r="G61" s="64"/>
      <c r="H61" s="64"/>
      <c r="I61" s="64"/>
      <c r="J61" s="64"/>
      <c r="K61" s="20"/>
      <c r="L61" s="20"/>
      <c r="M61" s="20"/>
      <c r="N61" s="304"/>
      <c r="O61" s="304"/>
      <c r="P61" s="20"/>
      <c r="Q61" s="20"/>
      <c r="R61" s="20"/>
      <c r="U61" s="328" t="s">
        <v>536</v>
      </c>
      <c r="V61" s="452">
        <f>PRODUCT(V60*AF33)</f>
        <v>0</v>
      </c>
      <c r="W61" s="452">
        <f>PRODUCT(W60*AF34)</f>
        <v>1538.6766</v>
      </c>
      <c r="X61" s="452">
        <f>PRODUCT(X60*AF35)</f>
        <v>1607.6831999999999</v>
      </c>
      <c r="Y61" s="452">
        <f>PRODUCT(Y60*AF36)</f>
        <v>776.78360000000009</v>
      </c>
      <c r="Z61" s="452">
        <f>PRODUCT(Z60*AF37)</f>
        <v>170</v>
      </c>
      <c r="AA61" s="453">
        <f>SUM(V61:Z61)</f>
        <v>4093.1434000000004</v>
      </c>
      <c r="AD61" s="352">
        <f>AA42+AA62</f>
        <v>58650</v>
      </c>
      <c r="AJ61" s="304"/>
      <c r="AK61" s="304"/>
      <c r="AL61" s="304"/>
      <c r="AM61" s="304"/>
      <c r="AN61" s="304"/>
    </row>
    <row r="62" spans="1:40" x14ac:dyDescent="0.2">
      <c r="A62" s="20"/>
      <c r="B62" s="65"/>
      <c r="C62" s="20"/>
      <c r="D62" s="20"/>
      <c r="E62" s="304"/>
      <c r="F62" s="64"/>
      <c r="G62" s="64"/>
      <c r="H62" s="64"/>
      <c r="I62" s="64"/>
      <c r="J62" s="64"/>
      <c r="K62" s="20"/>
      <c r="L62" s="20"/>
      <c r="M62" s="20"/>
      <c r="N62" s="304"/>
      <c r="O62" s="304"/>
      <c r="P62" s="20"/>
      <c r="Q62" s="20"/>
      <c r="R62" s="20"/>
      <c r="U62" s="328" t="s">
        <v>583</v>
      </c>
      <c r="V62" s="362">
        <f>V60*AE33</f>
        <v>0</v>
      </c>
      <c r="W62" s="362">
        <f>W60*AE34</f>
        <v>14100</v>
      </c>
      <c r="X62" s="362">
        <f>X60*AE35</f>
        <v>19200</v>
      </c>
      <c r="Y62" s="362">
        <f>Y60*AE36</f>
        <v>11500</v>
      </c>
      <c r="Z62" s="362">
        <f>Z60*AE37</f>
        <v>3000</v>
      </c>
      <c r="AA62" s="328">
        <f>SUM(V62:Z62)</f>
        <v>47800</v>
      </c>
      <c r="AJ62" s="304"/>
      <c r="AK62" s="304"/>
      <c r="AL62" s="304"/>
      <c r="AM62" s="304"/>
      <c r="AN62" s="304"/>
    </row>
    <row r="63" spans="1:40" x14ac:dyDescent="0.2">
      <c r="A63" s="20"/>
      <c r="B63" s="65"/>
      <c r="C63" s="20"/>
      <c r="D63" s="20"/>
      <c r="E63" s="304"/>
      <c r="F63" s="64"/>
      <c r="G63" s="64"/>
      <c r="H63" s="64"/>
      <c r="I63" s="64"/>
      <c r="J63" s="64"/>
      <c r="K63" s="20"/>
      <c r="L63" s="20"/>
      <c r="M63" s="20"/>
      <c r="N63" s="304"/>
      <c r="O63" s="304"/>
      <c r="P63" s="20"/>
      <c r="Q63" s="20"/>
      <c r="R63" s="20"/>
      <c r="AA63" s="343"/>
      <c r="AJ63" s="304"/>
      <c r="AK63" s="304"/>
      <c r="AL63" s="304"/>
      <c r="AM63" s="304"/>
      <c r="AN63" s="304"/>
    </row>
    <row r="64" spans="1:40" x14ac:dyDescent="0.2">
      <c r="A64" s="20"/>
      <c r="B64" s="65"/>
      <c r="C64" s="20"/>
      <c r="D64" s="20"/>
      <c r="E64" s="304"/>
      <c r="F64" s="64"/>
      <c r="G64" s="64"/>
      <c r="H64" s="64"/>
      <c r="I64" s="64"/>
      <c r="J64" s="64"/>
      <c r="K64" s="20"/>
      <c r="L64" s="20"/>
      <c r="M64" s="20"/>
      <c r="N64" s="304"/>
      <c r="O64" s="304"/>
      <c r="P64" s="20"/>
      <c r="Q64" s="20"/>
      <c r="R64" s="20"/>
      <c r="T64" s="423"/>
      <c r="U64" s="423"/>
      <c r="V64" s="423"/>
      <c r="W64" s="423"/>
      <c r="X64" s="423"/>
      <c r="Y64" s="429"/>
      <c r="Z64" s="429"/>
      <c r="AA64" s="343"/>
      <c r="AJ64" s="304"/>
      <c r="AK64" s="304"/>
      <c r="AL64" s="304"/>
      <c r="AM64" s="304"/>
      <c r="AN64" s="304"/>
    </row>
    <row r="65" spans="1:41" x14ac:dyDescent="0.2">
      <c r="A65" s="20"/>
      <c r="B65" s="64"/>
      <c r="C65" s="20"/>
      <c r="D65" s="20"/>
      <c r="E65" s="304"/>
      <c r="N65" s="304"/>
      <c r="O65" s="304"/>
      <c r="Q65" s="20"/>
      <c r="R65" s="20"/>
      <c r="T65" s="429"/>
      <c r="U65" s="429"/>
      <c r="V65" s="18"/>
      <c r="W65" s="429"/>
      <c r="X65" s="429"/>
      <c r="Y65" s="429"/>
      <c r="Z65" s="429"/>
      <c r="AA65" s="343"/>
      <c r="AJ65" s="304"/>
      <c r="AK65" s="304"/>
      <c r="AL65" s="304"/>
      <c r="AM65" s="304"/>
      <c r="AN65" s="304"/>
      <c r="AO65" s="304"/>
    </row>
    <row r="66" spans="1:41" x14ac:dyDescent="0.2">
      <c r="A66" s="20"/>
      <c r="B66" s="64"/>
      <c r="C66" s="20"/>
      <c r="D66" s="20"/>
      <c r="E66" s="304"/>
      <c r="N66" s="304"/>
      <c r="O66" s="304"/>
      <c r="Q66" s="20"/>
      <c r="R66" s="20"/>
      <c r="T66" s="429"/>
      <c r="U66" s="429"/>
      <c r="V66" s="429"/>
      <c r="W66" s="429"/>
      <c r="X66" s="429"/>
      <c r="Y66" s="429"/>
      <c r="Z66" s="429"/>
      <c r="AA66" s="343"/>
      <c r="AJ66" s="193"/>
      <c r="AK66" s="193"/>
      <c r="AL66" s="304"/>
      <c r="AM66" s="193"/>
      <c r="AN66" s="193"/>
      <c r="AO66" s="304"/>
    </row>
    <row r="67" spans="1:41" x14ac:dyDescent="0.2">
      <c r="A67" s="20"/>
      <c r="B67" s="64"/>
      <c r="C67" s="20"/>
      <c r="D67" s="20"/>
      <c r="E67" s="304"/>
      <c r="N67" s="304"/>
      <c r="O67" s="304"/>
      <c r="Q67" s="20"/>
      <c r="R67" s="20"/>
      <c r="T67" s="461"/>
      <c r="U67" s="461"/>
      <c r="V67" s="461"/>
      <c r="W67" s="461"/>
      <c r="X67" s="461"/>
      <c r="Y67" s="461"/>
      <c r="Z67" s="429"/>
      <c r="AA67" s="343"/>
      <c r="AJ67" s="304"/>
      <c r="AK67" s="304"/>
      <c r="AL67" s="304"/>
      <c r="AM67" s="304"/>
      <c r="AN67" s="304"/>
      <c r="AO67" s="304"/>
    </row>
    <row r="68" spans="1:41" x14ac:dyDescent="0.2">
      <c r="A68" s="20"/>
      <c r="B68" s="64"/>
      <c r="C68" s="20"/>
      <c r="D68" s="20"/>
      <c r="E68" s="304"/>
      <c r="F68" s="64"/>
      <c r="G68" s="64"/>
      <c r="H68" s="64"/>
      <c r="I68" s="64"/>
      <c r="J68" s="64"/>
      <c r="K68" s="20"/>
      <c r="L68" s="20"/>
      <c r="M68" s="20"/>
      <c r="N68" s="304"/>
      <c r="O68" s="304"/>
      <c r="P68" s="20"/>
      <c r="Q68" s="20"/>
      <c r="R68" s="20"/>
      <c r="T68" s="377"/>
      <c r="U68" s="378"/>
      <c r="V68" s="378"/>
      <c r="W68" s="378"/>
      <c r="X68" s="423"/>
      <c r="Y68" s="423"/>
      <c r="Z68" s="423"/>
      <c r="AA68" s="343"/>
      <c r="AJ68" s="345"/>
      <c r="AK68" s="345"/>
      <c r="AL68" s="304"/>
      <c r="AM68" s="345"/>
      <c r="AN68" s="345"/>
      <c r="AO68" s="304"/>
    </row>
    <row r="69" spans="1:41" x14ac:dyDescent="0.2">
      <c r="B69" s="64"/>
      <c r="C69" s="20"/>
      <c r="D69" s="20"/>
      <c r="E69" s="304"/>
      <c r="F69" s="64"/>
      <c r="G69" s="64"/>
      <c r="H69" s="64"/>
      <c r="I69" s="64"/>
      <c r="J69" s="64"/>
      <c r="K69" s="20"/>
      <c r="L69" s="20"/>
      <c r="M69" s="20"/>
      <c r="N69" s="304"/>
      <c r="O69" s="304"/>
      <c r="P69" s="20"/>
      <c r="Q69" s="20"/>
      <c r="R69" s="20"/>
      <c r="T69" s="429"/>
      <c r="U69" s="350"/>
      <c r="V69" s="350"/>
      <c r="W69" s="350"/>
      <c r="X69" s="350"/>
      <c r="Y69" s="352"/>
      <c r="Z69" s="429"/>
      <c r="AA69" s="343"/>
      <c r="AJ69" s="304"/>
      <c r="AK69" s="304"/>
      <c r="AL69" s="304"/>
      <c r="AM69" s="304"/>
      <c r="AN69" s="304"/>
      <c r="AO69" s="304"/>
    </row>
    <row r="70" spans="1:41" x14ac:dyDescent="0.2">
      <c r="B70" s="64"/>
      <c r="C70" s="20"/>
      <c r="D70" s="20"/>
      <c r="E70" s="304"/>
      <c r="F70" s="64"/>
      <c r="G70" s="64"/>
      <c r="H70" s="64"/>
      <c r="I70" s="64"/>
      <c r="J70" s="64"/>
      <c r="K70" s="20"/>
      <c r="L70" s="20"/>
      <c r="M70" s="20"/>
      <c r="N70" s="304"/>
      <c r="O70" s="304"/>
      <c r="P70" s="20"/>
      <c r="Q70" s="20"/>
      <c r="R70" s="20"/>
      <c r="T70" s="429"/>
      <c r="U70" s="350"/>
      <c r="V70" s="350"/>
      <c r="W70" s="350"/>
      <c r="X70" s="350"/>
      <c r="Y70" s="352"/>
      <c r="Z70" s="429"/>
      <c r="AA70" s="343"/>
      <c r="AJ70" s="304"/>
      <c r="AK70" s="304"/>
      <c r="AL70" s="304"/>
      <c r="AM70" s="304"/>
      <c r="AN70" s="304"/>
      <c r="AO70" s="304"/>
    </row>
    <row r="71" spans="1:41" x14ac:dyDescent="0.2">
      <c r="B71" s="64"/>
      <c r="C71" s="20"/>
      <c r="D71" s="20"/>
      <c r="E71" s="304"/>
      <c r="F71" s="64"/>
      <c r="G71" s="64"/>
      <c r="H71" s="64"/>
      <c r="I71" s="64"/>
      <c r="J71" s="64"/>
      <c r="K71" s="20"/>
      <c r="L71" s="20"/>
      <c r="M71" s="20"/>
      <c r="N71" s="304"/>
      <c r="O71" s="304"/>
      <c r="P71" s="20"/>
      <c r="Q71" s="20"/>
      <c r="R71" s="20"/>
      <c r="T71" s="429"/>
      <c r="U71" s="350"/>
      <c r="V71" s="350"/>
      <c r="W71" s="350"/>
      <c r="X71" s="350"/>
      <c r="Y71" s="352"/>
      <c r="Z71" s="429"/>
      <c r="AA71" s="343"/>
      <c r="AJ71" s="304"/>
      <c r="AK71" s="304"/>
      <c r="AL71" s="304"/>
      <c r="AM71" s="304"/>
      <c r="AN71" s="304"/>
      <c r="AO71" s="304"/>
    </row>
    <row r="72" spans="1:41" x14ac:dyDescent="0.2">
      <c r="B72" s="64"/>
      <c r="C72" s="20"/>
      <c r="D72" s="20"/>
      <c r="E72" s="304"/>
      <c r="F72" s="64"/>
      <c r="G72" s="64"/>
      <c r="H72" s="64"/>
      <c r="I72" s="64"/>
      <c r="J72" s="64"/>
      <c r="K72" s="20"/>
      <c r="L72" s="20"/>
      <c r="M72" s="20"/>
      <c r="N72" s="304"/>
      <c r="O72" s="304"/>
      <c r="P72" s="20"/>
      <c r="Q72" s="20"/>
      <c r="R72" s="20"/>
      <c r="T72" s="429"/>
      <c r="U72" s="350"/>
      <c r="V72" s="350"/>
      <c r="W72" s="350"/>
      <c r="X72" s="350"/>
      <c r="Y72" s="352"/>
      <c r="Z72" s="429"/>
      <c r="AA72" s="343"/>
      <c r="AJ72" s="304"/>
      <c r="AK72" s="304"/>
      <c r="AL72" s="304"/>
      <c r="AM72" s="304"/>
      <c r="AN72" s="304"/>
      <c r="AO72" s="304"/>
    </row>
    <row r="73" spans="1:41" x14ac:dyDescent="0.2">
      <c r="B73" s="64"/>
      <c r="C73" s="20"/>
      <c r="D73" s="20"/>
      <c r="E73" s="304"/>
      <c r="F73" s="64"/>
      <c r="G73" s="64"/>
      <c r="H73" s="64"/>
      <c r="I73" s="64"/>
      <c r="J73" s="64"/>
      <c r="K73" s="20"/>
      <c r="L73" s="20"/>
      <c r="M73" s="20"/>
      <c r="N73" s="304"/>
      <c r="O73" s="304"/>
      <c r="P73" s="20"/>
      <c r="Q73" s="20"/>
      <c r="R73" s="20"/>
      <c r="T73" s="429"/>
      <c r="U73" s="350"/>
      <c r="V73" s="350"/>
      <c r="W73" s="350"/>
      <c r="X73" s="350"/>
      <c r="Y73" s="352"/>
      <c r="Z73" s="429"/>
      <c r="AA73" s="343"/>
      <c r="AJ73" s="304"/>
      <c r="AK73" s="304"/>
      <c r="AL73" s="304"/>
      <c r="AM73" s="304"/>
      <c r="AN73" s="304"/>
      <c r="AO73" s="304"/>
    </row>
    <row r="74" spans="1:41" x14ac:dyDescent="0.2">
      <c r="B74" s="64"/>
      <c r="C74" s="20"/>
      <c r="D74" s="20"/>
      <c r="E74" s="304"/>
      <c r="F74" s="64"/>
      <c r="G74" s="64"/>
      <c r="H74" s="64"/>
      <c r="I74" s="64"/>
      <c r="J74" s="64"/>
      <c r="K74" s="20"/>
      <c r="L74" s="20"/>
      <c r="M74" s="20"/>
      <c r="N74" s="304"/>
      <c r="O74" s="304"/>
      <c r="P74" s="20"/>
      <c r="Q74" s="20"/>
      <c r="R74" s="20"/>
      <c r="T74" s="429"/>
      <c r="U74" s="350"/>
      <c r="V74" s="350"/>
      <c r="W74" s="350"/>
      <c r="X74" s="350"/>
      <c r="Y74" s="352"/>
      <c r="Z74" s="429"/>
      <c r="AA74" s="343"/>
      <c r="AJ74" s="304"/>
      <c r="AK74" s="304"/>
      <c r="AL74" s="304"/>
      <c r="AM74" s="304"/>
      <c r="AN74" s="304"/>
      <c r="AO74" s="304"/>
    </row>
    <row r="75" spans="1:41" x14ac:dyDescent="0.2">
      <c r="B75" s="64"/>
      <c r="C75" s="20"/>
      <c r="D75" s="20"/>
      <c r="E75" s="304"/>
      <c r="F75" s="64"/>
      <c r="G75" s="64"/>
      <c r="H75" s="64"/>
      <c r="I75" s="64"/>
      <c r="J75" s="64"/>
      <c r="K75" s="20"/>
      <c r="L75" s="20"/>
      <c r="M75" s="20"/>
      <c r="N75" s="304"/>
      <c r="O75" s="304"/>
      <c r="P75" s="20"/>
      <c r="Q75" s="20"/>
      <c r="R75" s="20"/>
      <c r="T75" s="429"/>
      <c r="U75" s="350"/>
      <c r="V75" s="350"/>
      <c r="W75" s="350"/>
      <c r="X75" s="350"/>
      <c r="Y75" s="352"/>
      <c r="Z75" s="429"/>
      <c r="AA75" s="343"/>
      <c r="AJ75" s="304"/>
      <c r="AK75" s="304"/>
      <c r="AL75" s="304"/>
      <c r="AM75" s="304"/>
      <c r="AN75" s="304"/>
      <c r="AO75" s="304"/>
    </row>
    <row r="76" spans="1:41" x14ac:dyDescent="0.2">
      <c r="B76" s="64"/>
      <c r="C76" s="20"/>
      <c r="D76" s="20"/>
      <c r="E76" s="304"/>
      <c r="F76" s="64"/>
      <c r="G76" s="64"/>
      <c r="H76" s="64"/>
      <c r="I76" s="64"/>
      <c r="J76" s="64"/>
      <c r="K76" s="20"/>
      <c r="L76" s="20"/>
      <c r="M76" s="20"/>
      <c r="N76" s="304"/>
      <c r="O76" s="304"/>
      <c r="P76" s="20"/>
      <c r="Q76" s="20"/>
      <c r="R76" s="20"/>
      <c r="T76" s="429"/>
      <c r="U76" s="350"/>
      <c r="V76" s="350"/>
      <c r="W76" s="352"/>
      <c r="X76" s="352"/>
      <c r="Y76" s="352"/>
      <c r="Z76" s="429"/>
      <c r="AJ76" s="304"/>
      <c r="AK76" s="304"/>
      <c r="AL76" s="304"/>
      <c r="AM76" s="304"/>
      <c r="AN76" s="304"/>
      <c r="AO76" s="304"/>
    </row>
    <row r="77" spans="1:41" x14ac:dyDescent="0.2">
      <c r="B77" s="64"/>
      <c r="C77" s="20"/>
      <c r="D77" s="20"/>
      <c r="E77" s="304"/>
      <c r="F77" s="64"/>
      <c r="G77" s="64"/>
      <c r="H77" s="64"/>
      <c r="I77" s="64"/>
      <c r="J77" s="64"/>
      <c r="K77" s="20"/>
      <c r="L77" s="20"/>
      <c r="M77" s="20"/>
      <c r="N77" s="304"/>
      <c r="O77" s="304"/>
      <c r="P77" s="20"/>
      <c r="Q77" s="20"/>
      <c r="R77" s="20"/>
      <c r="T77" s="429"/>
      <c r="U77" s="352"/>
      <c r="V77" s="352"/>
      <c r="W77" s="352"/>
      <c r="X77" s="352"/>
      <c r="Y77" s="352"/>
      <c r="Z77" s="429"/>
      <c r="AJ77" s="304"/>
      <c r="AK77" s="304"/>
      <c r="AL77" s="304"/>
      <c r="AM77" s="304"/>
      <c r="AN77" s="304"/>
      <c r="AO77" s="304"/>
    </row>
    <row r="78" spans="1:41" x14ac:dyDescent="0.2">
      <c r="B78" s="64"/>
      <c r="C78" s="20"/>
      <c r="D78" s="20"/>
      <c r="E78" s="304"/>
      <c r="F78" s="64"/>
      <c r="G78" s="64"/>
      <c r="H78" s="64"/>
      <c r="I78" s="64"/>
      <c r="J78" s="64"/>
      <c r="K78" s="20"/>
      <c r="L78" s="20"/>
      <c r="M78" s="20"/>
      <c r="N78" s="304"/>
      <c r="O78" s="304"/>
      <c r="P78" s="20"/>
      <c r="Q78" s="20"/>
      <c r="R78" s="20"/>
      <c r="T78" s="429"/>
      <c r="U78" s="352"/>
      <c r="V78" s="350"/>
      <c r="W78" s="352"/>
      <c r="X78" s="352"/>
      <c r="Y78" s="352"/>
      <c r="Z78" s="429"/>
      <c r="AJ78" s="304"/>
      <c r="AK78" s="304"/>
      <c r="AL78" s="304"/>
      <c r="AM78" s="304"/>
      <c r="AN78" s="304"/>
      <c r="AO78" s="304"/>
    </row>
    <row r="79" spans="1:41" x14ac:dyDescent="0.2">
      <c r="B79" s="64"/>
      <c r="C79" s="20"/>
      <c r="D79" s="20"/>
      <c r="E79" s="304"/>
      <c r="F79" s="64"/>
      <c r="G79" s="64"/>
      <c r="H79" s="64"/>
      <c r="I79" s="64"/>
      <c r="J79" s="64"/>
      <c r="K79" s="20"/>
      <c r="L79" s="20"/>
      <c r="M79" s="20"/>
      <c r="N79" s="304"/>
      <c r="O79" s="304"/>
      <c r="P79" s="20"/>
      <c r="Q79" s="20"/>
      <c r="R79" s="20"/>
      <c r="T79" s="429"/>
      <c r="U79" s="352"/>
      <c r="V79" s="350"/>
      <c r="W79" s="352"/>
      <c r="X79" s="352"/>
      <c r="Y79" s="352"/>
      <c r="Z79" s="429"/>
      <c r="AJ79" s="304"/>
      <c r="AK79" s="304"/>
      <c r="AL79" s="304"/>
      <c r="AM79" s="304"/>
      <c r="AN79" s="304"/>
      <c r="AO79" s="304"/>
    </row>
    <row r="80" spans="1:41" x14ac:dyDescent="0.2">
      <c r="B80" s="64"/>
      <c r="C80" s="20"/>
      <c r="D80" s="20"/>
      <c r="E80" s="304"/>
      <c r="F80" s="64"/>
      <c r="G80" s="64"/>
      <c r="H80" s="64"/>
      <c r="I80" s="64"/>
      <c r="J80" s="64"/>
      <c r="K80" s="20"/>
      <c r="L80" s="20"/>
      <c r="M80" s="20"/>
      <c r="N80" s="304"/>
      <c r="O80" s="304"/>
      <c r="P80" s="20"/>
      <c r="Q80" s="20"/>
      <c r="R80" s="20"/>
      <c r="T80" s="429"/>
      <c r="U80" s="352"/>
      <c r="V80" s="352"/>
      <c r="W80" s="352"/>
      <c r="X80" s="352"/>
      <c r="Y80" s="352"/>
      <c r="Z80" s="429"/>
    </row>
    <row r="81" spans="2:26" x14ac:dyDescent="0.2">
      <c r="B81" s="64"/>
      <c r="C81" s="20"/>
      <c r="D81" s="20"/>
      <c r="E81" s="304"/>
      <c r="F81" s="64"/>
      <c r="G81" s="64"/>
      <c r="H81" s="64"/>
      <c r="I81" s="64"/>
      <c r="J81" s="64"/>
      <c r="K81" s="20"/>
      <c r="L81" s="20"/>
      <c r="M81" s="20"/>
      <c r="N81" s="304"/>
      <c r="O81" s="304"/>
      <c r="P81" s="20"/>
      <c r="Q81" s="20"/>
      <c r="R81" s="20"/>
      <c r="T81" s="423"/>
      <c r="U81" s="352"/>
      <c r="V81" s="352"/>
      <c r="W81" s="352"/>
      <c r="X81" s="352"/>
      <c r="Y81" s="352"/>
      <c r="Z81" s="379"/>
    </row>
    <row r="82" spans="2:26" x14ac:dyDescent="0.2">
      <c r="B82" s="64"/>
      <c r="C82" s="20"/>
      <c r="D82" s="20"/>
      <c r="E82" s="304"/>
      <c r="F82" s="64"/>
      <c r="G82" s="64"/>
      <c r="H82" s="64"/>
      <c r="I82" s="64"/>
      <c r="J82" s="64"/>
      <c r="K82" s="20"/>
      <c r="L82" s="20"/>
      <c r="M82" s="20"/>
      <c r="N82" s="304"/>
      <c r="O82" s="304"/>
      <c r="P82" s="20"/>
      <c r="Q82" s="20"/>
      <c r="R82" s="20"/>
      <c r="T82" s="423"/>
      <c r="U82" s="429"/>
      <c r="V82" s="429"/>
      <c r="W82" s="429"/>
      <c r="X82" s="429"/>
      <c r="Y82" s="429"/>
      <c r="Z82" s="423"/>
    </row>
    <row r="83" spans="2:26" x14ac:dyDescent="0.2">
      <c r="B83" s="64"/>
      <c r="C83" s="20"/>
      <c r="D83" s="20"/>
      <c r="E83" s="304"/>
      <c r="F83" s="64"/>
      <c r="G83" s="64"/>
      <c r="H83" s="64"/>
      <c r="I83" s="64"/>
      <c r="J83" s="64"/>
      <c r="K83" s="20"/>
      <c r="L83" s="20"/>
      <c r="M83" s="20"/>
      <c r="N83" s="304"/>
      <c r="O83" s="304"/>
      <c r="P83" s="20"/>
      <c r="Q83" s="20"/>
      <c r="R83" s="20"/>
      <c r="T83" s="423"/>
      <c r="U83" s="429"/>
      <c r="V83" s="429"/>
      <c r="W83" s="429"/>
      <c r="X83" s="429"/>
      <c r="Y83" s="429"/>
      <c r="Z83" s="423"/>
    </row>
    <row r="84" spans="2:26" x14ac:dyDescent="0.2">
      <c r="B84" s="64"/>
      <c r="C84" s="20"/>
      <c r="D84" s="20"/>
      <c r="E84" s="304"/>
      <c r="F84" s="64"/>
      <c r="G84" s="64"/>
      <c r="H84" s="64"/>
      <c r="I84" s="64"/>
      <c r="J84" s="64"/>
      <c r="K84" s="20"/>
      <c r="L84" s="20"/>
      <c r="M84" s="20"/>
      <c r="N84" s="304"/>
      <c r="O84" s="304"/>
      <c r="P84" s="20"/>
      <c r="Q84" s="20"/>
      <c r="R84" s="20"/>
      <c r="T84" s="429"/>
      <c r="U84" s="429"/>
      <c r="V84" s="429"/>
      <c r="W84" s="429"/>
      <c r="X84" s="429"/>
      <c r="Y84" s="429"/>
      <c r="Z84" s="429"/>
    </row>
    <row r="85" spans="2:26" x14ac:dyDescent="0.2">
      <c r="B85" s="64"/>
      <c r="C85" s="20"/>
      <c r="D85" s="20"/>
      <c r="E85" s="304"/>
      <c r="F85" s="64"/>
      <c r="G85" s="64"/>
      <c r="H85" s="64"/>
      <c r="I85" s="64"/>
      <c r="J85" s="64"/>
      <c r="K85" s="20"/>
      <c r="L85" s="20"/>
      <c r="M85" s="20"/>
      <c r="N85" s="304"/>
      <c r="O85" s="304"/>
      <c r="P85" s="20"/>
      <c r="Q85" s="20"/>
      <c r="R85" s="20"/>
      <c r="T85" s="429"/>
      <c r="U85" s="429"/>
      <c r="V85" s="429"/>
      <c r="W85" s="429"/>
      <c r="X85" s="429"/>
      <c r="Y85" s="429"/>
      <c r="Z85" s="429"/>
    </row>
    <row r="86" spans="2:26" x14ac:dyDescent="0.2">
      <c r="B86" s="64"/>
      <c r="C86" s="20"/>
      <c r="D86" s="20"/>
      <c r="E86" s="304"/>
      <c r="F86" s="64"/>
      <c r="G86" s="64"/>
      <c r="H86" s="64"/>
      <c r="I86" s="64"/>
      <c r="J86" s="64"/>
      <c r="K86" s="20"/>
      <c r="L86" s="20"/>
      <c r="M86" s="20"/>
      <c r="N86" s="304"/>
      <c r="O86" s="304"/>
      <c r="P86" s="20"/>
      <c r="Q86" s="20"/>
      <c r="R86" s="20"/>
      <c r="T86" s="429"/>
      <c r="U86" s="429"/>
      <c r="V86" s="429"/>
      <c r="W86" s="429"/>
      <c r="X86" s="429"/>
      <c r="Y86" s="429"/>
      <c r="Z86" s="429"/>
    </row>
    <row r="87" spans="2:26" x14ac:dyDescent="0.2">
      <c r="B87" s="64"/>
      <c r="C87" s="20"/>
      <c r="D87" s="20"/>
      <c r="E87" s="304"/>
      <c r="F87" s="64"/>
      <c r="G87" s="64"/>
      <c r="H87" s="64"/>
      <c r="I87" s="64"/>
      <c r="J87" s="64"/>
      <c r="K87" s="20"/>
      <c r="L87" s="20"/>
      <c r="M87" s="20"/>
      <c r="N87" s="304"/>
      <c r="O87" s="304"/>
      <c r="P87" s="20"/>
      <c r="Q87" s="20"/>
      <c r="R87" s="20"/>
      <c r="T87" s="429"/>
      <c r="U87" s="429"/>
      <c r="V87" s="429"/>
      <c r="W87" s="429"/>
      <c r="X87" s="429"/>
      <c r="Y87" s="429"/>
      <c r="Z87" s="429"/>
    </row>
    <row r="88" spans="2:26" x14ac:dyDescent="0.2">
      <c r="B88" s="64"/>
      <c r="C88" s="20"/>
      <c r="D88" s="20"/>
      <c r="E88" s="304"/>
      <c r="F88" s="64"/>
      <c r="G88" s="64"/>
      <c r="H88" s="64"/>
      <c r="I88" s="64"/>
      <c r="J88" s="64"/>
      <c r="K88" s="20"/>
      <c r="L88" s="20"/>
      <c r="M88" s="20"/>
      <c r="N88" s="304"/>
      <c r="O88" s="304"/>
      <c r="P88" s="20"/>
      <c r="Q88" s="20"/>
      <c r="R88" s="20"/>
      <c r="T88" s="429"/>
      <c r="U88" s="429"/>
      <c r="V88" s="429"/>
      <c r="W88" s="429"/>
      <c r="X88" s="429"/>
      <c r="Y88" s="429"/>
      <c r="Z88" s="429"/>
    </row>
    <row r="89" spans="2:26" x14ac:dyDescent="0.2">
      <c r="B89" s="64"/>
      <c r="C89" s="20"/>
      <c r="D89" s="20"/>
      <c r="E89" s="304"/>
      <c r="F89" s="64"/>
      <c r="G89" s="64"/>
      <c r="H89" s="64"/>
      <c r="I89" s="64"/>
      <c r="J89" s="64"/>
      <c r="K89" s="20"/>
      <c r="L89" s="20"/>
      <c r="M89" s="20"/>
      <c r="N89" s="304"/>
      <c r="O89" s="304"/>
      <c r="P89" s="20"/>
      <c r="Q89" s="20"/>
      <c r="R89" s="20"/>
      <c r="T89" s="429"/>
      <c r="U89" s="429"/>
      <c r="V89" s="429"/>
      <c r="W89" s="429"/>
      <c r="X89" s="429"/>
      <c r="Y89" s="429"/>
      <c r="Z89" s="429"/>
    </row>
    <row r="90" spans="2:26" x14ac:dyDescent="0.2">
      <c r="B90" s="64"/>
      <c r="C90" s="20"/>
      <c r="D90" s="20"/>
      <c r="E90" s="304"/>
      <c r="F90" s="64"/>
      <c r="G90" s="64"/>
      <c r="H90" s="64"/>
      <c r="I90" s="64"/>
      <c r="J90" s="64"/>
      <c r="K90" s="20"/>
      <c r="L90" s="20"/>
      <c r="M90" s="20"/>
      <c r="N90" s="304"/>
      <c r="O90" s="304"/>
      <c r="P90" s="20"/>
      <c r="Q90" s="20"/>
      <c r="R90" s="20"/>
      <c r="T90" s="429"/>
      <c r="U90" s="429"/>
      <c r="V90" s="429"/>
      <c r="W90" s="429"/>
      <c r="X90" s="429"/>
      <c r="Y90" s="429"/>
      <c r="Z90" s="429"/>
    </row>
    <row r="91" spans="2:26" x14ac:dyDescent="0.2">
      <c r="B91" s="64"/>
      <c r="C91" s="20"/>
      <c r="D91" s="20"/>
      <c r="E91" s="304"/>
      <c r="F91" s="64"/>
      <c r="G91" s="64"/>
      <c r="H91" s="64"/>
      <c r="I91" s="64"/>
      <c r="J91" s="64"/>
      <c r="K91" s="20"/>
      <c r="L91" s="20"/>
      <c r="M91" s="20"/>
      <c r="N91" s="304"/>
      <c r="O91" s="304"/>
      <c r="P91" s="20"/>
      <c r="Q91" s="20"/>
      <c r="R91" s="20"/>
      <c r="T91" s="429"/>
      <c r="U91" s="429"/>
      <c r="V91" s="429"/>
      <c r="W91" s="429"/>
      <c r="X91" s="429"/>
      <c r="Y91" s="429"/>
      <c r="Z91" s="429"/>
    </row>
    <row r="92" spans="2:26" x14ac:dyDescent="0.2">
      <c r="B92" s="64"/>
      <c r="C92" s="20"/>
      <c r="D92" s="20"/>
      <c r="E92" s="304"/>
      <c r="F92" s="64"/>
      <c r="G92" s="64"/>
      <c r="H92" s="64"/>
      <c r="I92" s="64"/>
      <c r="J92" s="64"/>
      <c r="K92" s="20"/>
      <c r="L92" s="20"/>
      <c r="M92" s="20"/>
      <c r="N92" s="304"/>
      <c r="O92" s="304"/>
      <c r="P92" s="20"/>
      <c r="Q92" s="20"/>
      <c r="R92" s="20"/>
      <c r="T92" s="429"/>
      <c r="U92" s="429"/>
      <c r="V92" s="429"/>
      <c r="W92" s="429"/>
      <c r="X92" s="429"/>
      <c r="Y92" s="429"/>
      <c r="Z92" s="429"/>
    </row>
    <row r="93" spans="2:26" x14ac:dyDescent="0.2">
      <c r="B93" s="64"/>
      <c r="C93" s="20"/>
      <c r="D93" s="20"/>
      <c r="E93" s="304"/>
      <c r="F93" s="64"/>
      <c r="G93" s="64"/>
      <c r="H93" s="64"/>
      <c r="I93" s="64"/>
      <c r="J93" s="64"/>
      <c r="K93" s="20"/>
      <c r="L93" s="20"/>
      <c r="M93" s="20"/>
      <c r="N93" s="304"/>
      <c r="O93" s="304"/>
      <c r="P93" s="20"/>
      <c r="Q93" s="20"/>
      <c r="R93" s="20"/>
      <c r="T93" s="429"/>
      <c r="U93" s="429"/>
      <c r="V93" s="429"/>
      <c r="W93" s="429"/>
      <c r="X93" s="429"/>
      <c r="Y93" s="429"/>
      <c r="Z93" s="429"/>
    </row>
    <row r="94" spans="2:26" x14ac:dyDescent="0.2">
      <c r="B94" s="64"/>
      <c r="C94" s="20"/>
      <c r="D94" s="20"/>
      <c r="E94" s="304"/>
      <c r="F94" s="64"/>
      <c r="G94" s="64"/>
      <c r="H94" s="64"/>
      <c r="I94" s="64"/>
      <c r="J94" s="64"/>
      <c r="K94" s="20"/>
      <c r="L94" s="20"/>
      <c r="M94" s="20"/>
      <c r="N94" s="304"/>
      <c r="O94" s="304"/>
      <c r="P94" s="20"/>
      <c r="Q94" s="20"/>
      <c r="R94" s="20"/>
    </row>
    <row r="95" spans="2:26" x14ac:dyDescent="0.2">
      <c r="B95" s="64"/>
      <c r="C95" s="20"/>
      <c r="D95" s="20"/>
      <c r="E95" s="304"/>
      <c r="F95" s="64"/>
      <c r="G95" s="64"/>
      <c r="H95" s="64"/>
      <c r="I95" s="64"/>
      <c r="J95" s="64"/>
      <c r="K95" s="20"/>
      <c r="L95" s="20"/>
      <c r="M95" s="20"/>
      <c r="N95" s="304"/>
      <c r="O95" s="304"/>
      <c r="P95" s="20"/>
      <c r="Q95" s="20"/>
      <c r="R95" s="20"/>
    </row>
    <row r="96" spans="2:26" x14ac:dyDescent="0.2">
      <c r="B96" s="64"/>
      <c r="C96" s="20"/>
      <c r="D96" s="20"/>
      <c r="E96" s="304"/>
      <c r="F96" s="64"/>
      <c r="G96" s="64"/>
      <c r="H96" s="64"/>
      <c r="I96" s="64"/>
      <c r="J96" s="64"/>
      <c r="K96" s="20"/>
      <c r="L96" s="20"/>
      <c r="M96" s="20"/>
      <c r="N96" s="304"/>
      <c r="O96" s="304"/>
      <c r="P96" s="20"/>
      <c r="Q96" s="20"/>
      <c r="R96" s="20"/>
    </row>
    <row r="97" spans="2:18" x14ac:dyDescent="0.2">
      <c r="B97" s="64"/>
      <c r="C97" s="20"/>
      <c r="D97" s="20"/>
      <c r="E97" s="304"/>
      <c r="F97" s="64"/>
      <c r="G97" s="64"/>
      <c r="H97" s="64"/>
      <c r="I97" s="64"/>
      <c r="J97" s="64"/>
      <c r="K97" s="20"/>
      <c r="L97" s="20"/>
      <c r="M97" s="20"/>
      <c r="N97" s="304"/>
      <c r="O97" s="304"/>
      <c r="P97" s="20"/>
      <c r="Q97" s="20"/>
      <c r="R97" s="20"/>
    </row>
    <row r="98" spans="2:18" x14ac:dyDescent="0.2">
      <c r="B98" s="64"/>
      <c r="C98" s="20"/>
      <c r="D98" s="20"/>
      <c r="E98" s="304"/>
      <c r="F98" s="64"/>
      <c r="G98" s="64"/>
      <c r="H98" s="64"/>
      <c r="I98" s="64"/>
      <c r="J98" s="64"/>
      <c r="K98" s="20"/>
      <c r="L98" s="20"/>
      <c r="M98" s="20"/>
      <c r="N98" s="304"/>
      <c r="O98" s="304"/>
      <c r="P98" s="20"/>
      <c r="Q98" s="20"/>
      <c r="R98" s="20"/>
    </row>
    <row r="99" spans="2:18" x14ac:dyDescent="0.2">
      <c r="B99" s="64"/>
      <c r="C99" s="20"/>
      <c r="D99" s="20"/>
      <c r="E99" s="304"/>
      <c r="F99" s="64"/>
      <c r="G99" s="64"/>
      <c r="H99" s="64"/>
      <c r="I99" s="64"/>
      <c r="J99" s="64"/>
      <c r="K99" s="20"/>
      <c r="L99" s="20"/>
      <c r="M99" s="20"/>
      <c r="N99" s="304"/>
      <c r="O99" s="304"/>
      <c r="P99" s="20"/>
      <c r="Q99" s="20"/>
      <c r="R99" s="20"/>
    </row>
    <row r="100" spans="2:18" x14ac:dyDescent="0.2">
      <c r="B100" s="64"/>
      <c r="C100" s="20"/>
      <c r="D100" s="20"/>
      <c r="E100" s="304"/>
      <c r="F100" s="64"/>
      <c r="G100" s="64"/>
      <c r="H100" s="64"/>
      <c r="I100" s="64"/>
      <c r="J100" s="64"/>
      <c r="K100" s="20"/>
      <c r="L100" s="20"/>
      <c r="M100" s="20"/>
      <c r="N100" s="304"/>
      <c r="O100" s="304"/>
      <c r="P100" s="20"/>
      <c r="Q100" s="20"/>
      <c r="R100" s="20"/>
    </row>
    <row r="101" spans="2:18" x14ac:dyDescent="0.2">
      <c r="B101" s="64"/>
      <c r="C101" s="20"/>
      <c r="D101" s="20"/>
      <c r="E101" s="304"/>
      <c r="F101" s="64"/>
      <c r="G101" s="64"/>
      <c r="H101" s="64"/>
      <c r="I101" s="64"/>
      <c r="J101" s="64"/>
      <c r="K101" s="20"/>
      <c r="L101" s="20"/>
      <c r="M101" s="20"/>
      <c r="N101" s="304"/>
      <c r="O101" s="304"/>
      <c r="P101" s="20"/>
      <c r="Q101" s="20"/>
      <c r="R101" s="20"/>
    </row>
    <row r="102" spans="2:18" x14ac:dyDescent="0.2">
      <c r="B102" s="64"/>
      <c r="C102" s="20"/>
      <c r="D102" s="20"/>
      <c r="E102" s="304"/>
      <c r="F102" s="64"/>
      <c r="G102" s="64"/>
      <c r="H102" s="64"/>
      <c r="I102" s="64"/>
      <c r="J102" s="64"/>
      <c r="K102" s="20"/>
      <c r="L102" s="20"/>
      <c r="M102" s="20"/>
      <c r="N102" s="304"/>
      <c r="O102" s="304"/>
      <c r="P102" s="20"/>
      <c r="Q102" s="20"/>
      <c r="R102" s="20"/>
    </row>
    <row r="103" spans="2:18" x14ac:dyDescent="0.2">
      <c r="B103" s="64"/>
      <c r="C103" s="20"/>
      <c r="D103" s="20"/>
      <c r="E103" s="304"/>
      <c r="F103" s="64"/>
      <c r="G103" s="64"/>
      <c r="H103" s="64"/>
      <c r="I103" s="64"/>
      <c r="J103" s="64"/>
      <c r="K103" s="20"/>
      <c r="L103" s="20"/>
      <c r="M103" s="20"/>
      <c r="N103" s="304"/>
      <c r="O103" s="304"/>
      <c r="P103" s="20"/>
      <c r="Q103" s="20"/>
      <c r="R103" s="20"/>
    </row>
    <row r="104" spans="2:18" x14ac:dyDescent="0.2">
      <c r="B104" s="64"/>
      <c r="C104" s="20"/>
      <c r="D104" s="20"/>
      <c r="E104" s="304"/>
      <c r="F104" s="64"/>
      <c r="G104" s="64"/>
      <c r="H104" s="64"/>
      <c r="I104" s="64"/>
      <c r="J104" s="64"/>
      <c r="K104" s="20"/>
      <c r="L104" s="20"/>
      <c r="M104" s="20"/>
      <c r="N104" s="304"/>
      <c r="O104" s="304"/>
      <c r="P104" s="20"/>
      <c r="Q104" s="20"/>
      <c r="R104" s="20"/>
    </row>
    <row r="105" spans="2:18" x14ac:dyDescent="0.2">
      <c r="B105" s="64"/>
      <c r="C105" s="20"/>
      <c r="D105" s="20"/>
      <c r="E105" s="304"/>
      <c r="F105" s="64"/>
      <c r="G105" s="64"/>
      <c r="H105" s="64"/>
      <c r="I105" s="64"/>
      <c r="J105" s="64"/>
      <c r="K105" s="20"/>
      <c r="L105" s="20"/>
      <c r="M105" s="20"/>
      <c r="N105" s="304"/>
      <c r="O105" s="304"/>
      <c r="P105" s="20"/>
      <c r="Q105" s="20"/>
      <c r="R105" s="20"/>
    </row>
    <row r="106" spans="2:18" x14ac:dyDescent="0.2">
      <c r="B106" s="64"/>
      <c r="C106" s="20"/>
      <c r="D106" s="20"/>
      <c r="E106" s="304"/>
      <c r="F106" s="64"/>
      <c r="G106" s="64"/>
      <c r="H106" s="64"/>
      <c r="I106" s="64"/>
      <c r="J106" s="64"/>
      <c r="K106" s="20"/>
      <c r="L106" s="20"/>
      <c r="M106" s="20"/>
      <c r="N106" s="304"/>
      <c r="O106" s="304"/>
      <c r="P106" s="20"/>
      <c r="Q106" s="20"/>
      <c r="R106" s="20"/>
    </row>
    <row r="107" spans="2:18" x14ac:dyDescent="0.2">
      <c r="B107" s="64"/>
      <c r="C107" s="20"/>
      <c r="D107" s="20"/>
      <c r="E107" s="304"/>
      <c r="F107" s="64"/>
      <c r="G107" s="64"/>
      <c r="H107" s="64"/>
      <c r="I107" s="64"/>
      <c r="J107" s="64"/>
      <c r="K107" s="20"/>
      <c r="L107" s="20"/>
      <c r="M107" s="20"/>
      <c r="N107" s="304"/>
      <c r="O107" s="304"/>
      <c r="P107" s="20"/>
      <c r="Q107" s="20"/>
      <c r="R107" s="20"/>
    </row>
    <row r="108" spans="2:18" x14ac:dyDescent="0.2">
      <c r="B108" s="64"/>
      <c r="C108" s="20"/>
      <c r="D108" s="20"/>
      <c r="E108" s="304"/>
      <c r="F108" s="64"/>
      <c r="G108" s="64"/>
      <c r="H108" s="64"/>
      <c r="I108" s="64"/>
      <c r="J108" s="64"/>
      <c r="K108" s="20"/>
      <c r="L108" s="20"/>
      <c r="M108" s="20"/>
      <c r="N108" s="304"/>
      <c r="O108" s="304"/>
      <c r="P108" s="20"/>
      <c r="Q108" s="20"/>
      <c r="R108" s="20"/>
    </row>
    <row r="109" spans="2:18" x14ac:dyDescent="0.2">
      <c r="B109" s="64"/>
      <c r="C109" s="20"/>
      <c r="D109" s="20"/>
      <c r="E109" s="304"/>
      <c r="F109" s="64"/>
      <c r="G109" s="64"/>
      <c r="H109" s="64"/>
      <c r="I109" s="64"/>
      <c r="J109" s="64"/>
      <c r="K109" s="20"/>
      <c r="L109" s="20"/>
      <c r="M109" s="20"/>
      <c r="N109" s="304"/>
      <c r="O109" s="304"/>
      <c r="P109" s="20"/>
      <c r="Q109" s="20"/>
      <c r="R109" s="20"/>
    </row>
    <row r="110" spans="2:18" x14ac:dyDescent="0.2">
      <c r="B110" s="64"/>
      <c r="C110" s="20"/>
      <c r="D110" s="20"/>
      <c r="E110" s="304"/>
      <c r="F110" s="64"/>
      <c r="G110" s="64"/>
      <c r="H110" s="64"/>
      <c r="I110" s="64"/>
      <c r="J110" s="64"/>
      <c r="K110" s="20"/>
      <c r="L110" s="20"/>
      <c r="M110" s="20"/>
      <c r="N110" s="304"/>
      <c r="O110" s="304"/>
      <c r="P110" s="20"/>
      <c r="Q110" s="20"/>
      <c r="R110" s="20"/>
    </row>
    <row r="111" spans="2:18" x14ac:dyDescent="0.2">
      <c r="B111" s="64"/>
      <c r="C111" s="20"/>
      <c r="D111" s="20"/>
      <c r="E111" s="304"/>
      <c r="F111" s="64"/>
      <c r="G111" s="64"/>
      <c r="H111" s="64"/>
      <c r="I111" s="64"/>
      <c r="J111" s="64"/>
      <c r="K111" s="20"/>
      <c r="L111" s="20"/>
      <c r="M111" s="20"/>
      <c r="N111" s="304"/>
      <c r="O111" s="304"/>
      <c r="P111" s="20"/>
      <c r="Q111" s="20"/>
      <c r="R111" s="20"/>
    </row>
    <row r="112" spans="2:18" x14ac:dyDescent="0.2">
      <c r="B112" s="64"/>
      <c r="C112" s="20"/>
      <c r="D112" s="20"/>
      <c r="E112" s="304"/>
      <c r="F112" s="64"/>
      <c r="G112" s="64"/>
      <c r="H112" s="64"/>
      <c r="I112" s="64"/>
      <c r="J112" s="64"/>
      <c r="K112" s="20"/>
      <c r="L112" s="20"/>
      <c r="M112" s="20"/>
      <c r="N112" s="304"/>
      <c r="O112" s="304"/>
      <c r="P112" s="20"/>
      <c r="Q112" s="20"/>
      <c r="R112" s="20"/>
    </row>
    <row r="113" spans="1:18" x14ac:dyDescent="0.2">
      <c r="B113" s="64"/>
      <c r="C113" s="20"/>
      <c r="D113" s="20"/>
      <c r="E113" s="304"/>
      <c r="F113" s="64"/>
      <c r="G113" s="64"/>
      <c r="H113" s="64"/>
      <c r="I113" s="64"/>
      <c r="J113" s="64"/>
      <c r="K113" s="20"/>
      <c r="L113" s="20"/>
      <c r="M113" s="20"/>
      <c r="N113" s="304"/>
      <c r="O113" s="304"/>
      <c r="P113" s="20"/>
      <c r="Q113" s="20"/>
      <c r="R113" s="20"/>
    </row>
    <row r="114" spans="1:18" x14ac:dyDescent="0.2">
      <c r="B114" s="64"/>
      <c r="C114" s="20"/>
      <c r="D114" s="20"/>
      <c r="E114" s="304"/>
      <c r="F114" s="64"/>
      <c r="G114" s="64"/>
      <c r="H114" s="64"/>
      <c r="I114" s="64"/>
      <c r="J114" s="64"/>
      <c r="K114" s="20"/>
      <c r="L114" s="20"/>
      <c r="M114" s="20"/>
      <c r="N114" s="304"/>
      <c r="O114" s="304"/>
      <c r="P114" s="20"/>
      <c r="Q114" s="20"/>
      <c r="R114" s="20"/>
    </row>
    <row r="115" spans="1:18" x14ac:dyDescent="0.2">
      <c r="B115" s="64"/>
      <c r="C115" s="20"/>
      <c r="D115" s="20"/>
      <c r="E115" s="304"/>
      <c r="F115" s="64"/>
      <c r="G115" s="64"/>
      <c r="H115" s="64"/>
      <c r="I115" s="64"/>
      <c r="J115" s="64"/>
      <c r="K115" s="20"/>
      <c r="L115" s="20"/>
      <c r="M115" s="20"/>
      <c r="N115" s="304"/>
      <c r="O115" s="304"/>
      <c r="P115" s="20"/>
      <c r="Q115" s="20"/>
      <c r="R115" s="20"/>
    </row>
    <row r="116" spans="1:18" x14ac:dyDescent="0.2">
      <c r="B116" s="64"/>
      <c r="C116" s="20"/>
      <c r="D116" s="20"/>
      <c r="E116" s="304"/>
      <c r="F116" s="64"/>
      <c r="G116" s="64"/>
      <c r="H116" s="64"/>
      <c r="I116" s="64"/>
      <c r="J116" s="64"/>
      <c r="K116" s="20"/>
      <c r="L116" s="20"/>
      <c r="M116" s="20"/>
      <c r="N116" s="304"/>
      <c r="O116" s="304"/>
      <c r="P116" s="20"/>
      <c r="Q116" s="20"/>
      <c r="R116" s="20"/>
    </row>
    <row r="117" spans="1:18" x14ac:dyDescent="0.2">
      <c r="B117" s="64"/>
      <c r="C117" s="20"/>
      <c r="D117" s="20"/>
      <c r="E117" s="304"/>
      <c r="F117" s="64"/>
      <c r="G117" s="64"/>
      <c r="H117" s="64"/>
      <c r="I117" s="64"/>
      <c r="J117" s="64"/>
      <c r="K117" s="20"/>
      <c r="L117" s="20"/>
      <c r="M117" s="20"/>
      <c r="N117" s="304"/>
      <c r="O117" s="304"/>
      <c r="P117" s="20"/>
      <c r="Q117" s="20"/>
      <c r="R117" s="20"/>
    </row>
    <row r="118" spans="1:18" x14ac:dyDescent="0.2">
      <c r="B118" s="64"/>
      <c r="C118" s="20"/>
      <c r="D118" s="20"/>
      <c r="E118" s="304"/>
      <c r="F118" s="64"/>
      <c r="G118" s="64"/>
      <c r="H118" s="64"/>
      <c r="I118" s="64"/>
      <c r="J118" s="64"/>
      <c r="K118" s="20"/>
      <c r="L118" s="20"/>
      <c r="M118" s="20"/>
      <c r="N118" s="304"/>
      <c r="O118" s="304"/>
      <c r="P118" s="20"/>
      <c r="Q118" s="20"/>
      <c r="R118" s="20"/>
    </row>
    <row r="119" spans="1:18" x14ac:dyDescent="0.2">
      <c r="B119" s="64"/>
      <c r="C119" s="20"/>
      <c r="D119" s="20"/>
      <c r="E119" s="304"/>
      <c r="F119" s="64"/>
      <c r="G119" s="64"/>
      <c r="H119" s="64"/>
      <c r="I119" s="64"/>
      <c r="J119" s="64"/>
      <c r="K119" s="20"/>
      <c r="L119" s="20"/>
      <c r="M119" s="20"/>
      <c r="N119" s="304"/>
      <c r="O119" s="304"/>
      <c r="P119" s="20"/>
      <c r="Q119" s="20"/>
      <c r="R119" s="20"/>
    </row>
    <row r="120" spans="1:18" x14ac:dyDescent="0.2">
      <c r="B120" s="64"/>
      <c r="C120" s="20"/>
      <c r="D120" s="20"/>
      <c r="E120" s="304"/>
      <c r="F120" s="64"/>
      <c r="G120" s="64"/>
      <c r="H120" s="64"/>
      <c r="I120" s="64"/>
      <c r="J120" s="64"/>
      <c r="K120" s="20"/>
      <c r="L120" s="20"/>
      <c r="M120" s="20"/>
      <c r="N120" s="304"/>
      <c r="O120" s="304"/>
      <c r="P120" s="20"/>
      <c r="Q120" s="20"/>
      <c r="R120" s="20"/>
    </row>
    <row r="121" spans="1:18" x14ac:dyDescent="0.2">
      <c r="B121" s="64"/>
      <c r="C121" s="20"/>
      <c r="D121" s="20"/>
      <c r="E121" s="304"/>
      <c r="F121" s="64"/>
      <c r="G121" s="64"/>
      <c r="H121" s="64"/>
      <c r="I121" s="64"/>
      <c r="J121" s="64"/>
      <c r="K121" s="20"/>
      <c r="L121" s="20"/>
      <c r="M121" s="20"/>
      <c r="N121" s="304"/>
      <c r="O121" s="304"/>
      <c r="P121" s="20"/>
      <c r="Q121" s="20"/>
      <c r="R121" s="20"/>
    </row>
    <row r="122" spans="1:18" x14ac:dyDescent="0.2">
      <c r="B122" s="64"/>
      <c r="C122" s="20"/>
      <c r="D122" s="20"/>
      <c r="E122" s="304"/>
      <c r="F122" s="64"/>
      <c r="G122" s="64"/>
      <c r="H122" s="64"/>
      <c r="I122" s="64"/>
      <c r="J122" s="64"/>
      <c r="K122" s="20"/>
      <c r="L122" s="20"/>
      <c r="M122" s="20"/>
      <c r="N122" s="304"/>
      <c r="O122" s="304"/>
      <c r="P122" s="20"/>
      <c r="Q122" s="20"/>
      <c r="R122" s="20"/>
    </row>
    <row r="123" spans="1:18" x14ac:dyDescent="0.2">
      <c r="B123" s="64"/>
      <c r="C123" s="20"/>
      <c r="D123" s="20"/>
      <c r="E123" s="304"/>
      <c r="F123" s="64"/>
      <c r="G123" s="64"/>
      <c r="H123" s="64"/>
      <c r="I123" s="64"/>
      <c r="J123" s="64"/>
      <c r="K123" s="20"/>
      <c r="L123" s="20"/>
      <c r="M123" s="20"/>
      <c r="N123" s="304"/>
      <c r="O123" s="304"/>
      <c r="P123" s="20"/>
      <c r="Q123" s="20"/>
      <c r="R123" s="20"/>
    </row>
    <row r="124" spans="1:18" x14ac:dyDescent="0.2">
      <c r="A124" s="20"/>
      <c r="B124" s="64"/>
      <c r="C124" s="20"/>
      <c r="D124" s="20"/>
      <c r="E124" s="304"/>
      <c r="F124" s="64"/>
      <c r="G124" s="64"/>
      <c r="H124" s="64"/>
      <c r="I124" s="64"/>
      <c r="J124" s="64"/>
      <c r="K124" s="20"/>
      <c r="L124" s="20"/>
      <c r="M124" s="20"/>
      <c r="N124" s="304"/>
      <c r="O124" s="304"/>
      <c r="P124" s="20"/>
      <c r="Q124" s="20"/>
      <c r="R124" s="20"/>
    </row>
    <row r="125" spans="1:18" x14ac:dyDescent="0.2">
      <c r="A125" s="20"/>
      <c r="B125" s="64"/>
      <c r="C125" s="20"/>
      <c r="D125" s="20"/>
      <c r="E125" s="304"/>
      <c r="F125" s="64"/>
      <c r="G125" s="64"/>
      <c r="H125" s="64"/>
      <c r="I125" s="64"/>
      <c r="J125" s="64"/>
      <c r="K125" s="20"/>
      <c r="L125" s="20"/>
      <c r="M125" s="20"/>
      <c r="N125" s="304"/>
      <c r="O125" s="304"/>
      <c r="P125" s="20"/>
      <c r="Q125" s="20"/>
      <c r="R125" s="20"/>
    </row>
    <row r="126" spans="1:18" x14ac:dyDescent="0.2">
      <c r="A126" s="20"/>
      <c r="B126" s="64"/>
      <c r="C126" s="20"/>
      <c r="D126" s="20"/>
      <c r="E126" s="304"/>
      <c r="F126" s="64"/>
      <c r="G126" s="64"/>
      <c r="H126" s="64"/>
      <c r="I126" s="64"/>
      <c r="J126" s="64"/>
      <c r="K126" s="20"/>
      <c r="L126" s="20"/>
      <c r="M126" s="20"/>
      <c r="N126" s="304"/>
      <c r="O126" s="304"/>
      <c r="P126" s="20"/>
      <c r="Q126" s="20"/>
      <c r="R126" s="20"/>
    </row>
    <row r="127" spans="1:18" x14ac:dyDescent="0.2">
      <c r="A127" s="20"/>
      <c r="B127" s="64"/>
      <c r="C127" s="20"/>
      <c r="D127" s="20"/>
      <c r="E127" s="304"/>
      <c r="F127" s="64"/>
      <c r="G127" s="64"/>
      <c r="H127" s="64"/>
      <c r="I127" s="64"/>
      <c r="J127" s="64"/>
      <c r="K127" s="20"/>
      <c r="L127" s="20"/>
      <c r="M127" s="20"/>
      <c r="N127" s="304"/>
      <c r="O127" s="304"/>
      <c r="P127" s="20"/>
      <c r="Q127" s="20"/>
      <c r="R127" s="20"/>
    </row>
    <row r="128" spans="1:18" x14ac:dyDescent="0.2">
      <c r="A128" s="20"/>
      <c r="B128" s="64"/>
      <c r="C128" s="20"/>
      <c r="D128" s="20"/>
      <c r="E128" s="304"/>
      <c r="F128" s="64"/>
      <c r="G128" s="64"/>
      <c r="H128" s="64"/>
      <c r="I128" s="64"/>
      <c r="J128" s="64"/>
      <c r="K128" s="20"/>
      <c r="L128" s="20"/>
      <c r="M128" s="20"/>
      <c r="N128" s="304"/>
      <c r="O128" s="304"/>
      <c r="P128" s="20"/>
      <c r="Q128" s="20"/>
      <c r="R128" s="20"/>
    </row>
    <row r="129" spans="1:18" x14ac:dyDescent="0.2">
      <c r="A129" s="20"/>
      <c r="B129" s="64"/>
      <c r="C129" s="20"/>
      <c r="D129" s="20"/>
      <c r="E129" s="304"/>
      <c r="F129" s="64"/>
      <c r="G129" s="64"/>
      <c r="H129" s="64"/>
      <c r="I129" s="64"/>
      <c r="J129" s="64"/>
      <c r="K129" s="20"/>
      <c r="L129" s="20"/>
      <c r="M129" s="20"/>
      <c r="N129" s="304"/>
      <c r="O129" s="304"/>
      <c r="P129" s="20"/>
      <c r="Q129" s="20"/>
      <c r="R129" s="20"/>
    </row>
    <row r="130" spans="1:18" x14ac:dyDescent="0.2">
      <c r="A130" s="20"/>
      <c r="B130" s="64"/>
      <c r="C130" s="20"/>
      <c r="D130" s="20"/>
      <c r="E130" s="304"/>
      <c r="F130" s="64"/>
      <c r="G130" s="64"/>
      <c r="H130" s="64"/>
      <c r="I130" s="64"/>
      <c r="J130" s="64"/>
      <c r="K130" s="20"/>
      <c r="L130" s="20"/>
      <c r="M130" s="20"/>
      <c r="N130" s="304"/>
      <c r="O130" s="304"/>
      <c r="P130" s="20"/>
      <c r="Q130" s="20"/>
      <c r="R130" s="20"/>
    </row>
    <row r="131" spans="1:18" x14ac:dyDescent="0.2">
      <c r="A131" s="20"/>
      <c r="B131" s="64"/>
      <c r="C131" s="20"/>
      <c r="D131" s="20"/>
      <c r="E131" s="304"/>
      <c r="F131" s="64"/>
      <c r="G131" s="64"/>
      <c r="H131" s="64"/>
      <c r="I131" s="64"/>
      <c r="J131" s="64"/>
      <c r="K131" s="20"/>
      <c r="L131" s="20"/>
      <c r="M131" s="20"/>
      <c r="N131" s="304"/>
      <c r="O131" s="304"/>
      <c r="P131" s="20"/>
      <c r="Q131" s="20"/>
      <c r="R131" s="20"/>
    </row>
    <row r="132" spans="1:18" x14ac:dyDescent="0.2">
      <c r="A132" s="20"/>
      <c r="B132" s="64"/>
      <c r="C132" s="20"/>
      <c r="D132" s="20"/>
      <c r="E132" s="304"/>
      <c r="F132" s="64"/>
      <c r="G132" s="64"/>
      <c r="H132" s="64"/>
      <c r="I132" s="64"/>
      <c r="J132" s="64"/>
      <c r="K132" s="20"/>
      <c r="L132" s="20"/>
      <c r="M132" s="20"/>
      <c r="N132" s="304"/>
      <c r="O132" s="304"/>
      <c r="P132" s="20"/>
      <c r="Q132" s="20"/>
      <c r="R132" s="20"/>
    </row>
    <row r="133" spans="1:18" x14ac:dyDescent="0.2">
      <c r="A133" s="20"/>
      <c r="B133" s="64"/>
      <c r="C133" s="20"/>
      <c r="D133" s="20"/>
      <c r="E133" s="304"/>
      <c r="F133" s="64"/>
      <c r="G133" s="64"/>
      <c r="H133" s="64"/>
      <c r="I133" s="64"/>
      <c r="J133" s="64"/>
      <c r="K133" s="20"/>
      <c r="L133" s="20"/>
      <c r="M133" s="20"/>
      <c r="N133" s="304"/>
      <c r="O133" s="304"/>
      <c r="P133" s="20"/>
      <c r="Q133" s="20"/>
      <c r="R133" s="20"/>
    </row>
    <row r="134" spans="1:18" x14ac:dyDescent="0.2">
      <c r="A134" s="20"/>
      <c r="B134" s="64"/>
      <c r="C134" s="20"/>
      <c r="D134" s="20"/>
      <c r="E134" s="304"/>
      <c r="F134" s="64"/>
      <c r="G134" s="64"/>
      <c r="H134" s="64"/>
      <c r="I134" s="64"/>
      <c r="J134" s="64"/>
      <c r="K134" s="20"/>
      <c r="L134" s="20"/>
      <c r="M134" s="20"/>
      <c r="N134" s="304"/>
      <c r="O134" s="304"/>
      <c r="P134" s="20"/>
      <c r="Q134" s="20"/>
      <c r="R134" s="20"/>
    </row>
    <row r="135" spans="1:18" x14ac:dyDescent="0.2">
      <c r="A135" s="20"/>
      <c r="B135" s="64"/>
      <c r="C135" s="20"/>
      <c r="D135" s="20"/>
      <c r="E135" s="304"/>
      <c r="F135" s="64"/>
      <c r="G135" s="64"/>
      <c r="H135" s="64"/>
      <c r="I135" s="64"/>
      <c r="J135" s="64"/>
      <c r="K135" s="20"/>
      <c r="L135" s="20"/>
      <c r="M135" s="20"/>
      <c r="N135" s="304"/>
      <c r="O135" s="304"/>
      <c r="P135" s="20"/>
      <c r="Q135" s="20"/>
      <c r="R135" s="20"/>
    </row>
    <row r="136" spans="1:18" x14ac:dyDescent="0.2">
      <c r="A136" s="20"/>
      <c r="B136" s="64"/>
      <c r="C136" s="20"/>
      <c r="D136" s="20"/>
      <c r="E136" s="304"/>
      <c r="F136" s="64"/>
      <c r="G136" s="64"/>
      <c r="H136" s="64"/>
      <c r="I136" s="64"/>
      <c r="J136" s="64"/>
      <c r="K136" s="20"/>
      <c r="L136" s="20"/>
      <c r="M136" s="20"/>
      <c r="N136" s="304"/>
      <c r="O136" s="304"/>
      <c r="P136" s="20"/>
      <c r="Q136" s="20"/>
      <c r="R136" s="20"/>
    </row>
    <row r="137" spans="1:18" x14ac:dyDescent="0.2">
      <c r="A137" s="20"/>
      <c r="B137" s="64"/>
      <c r="C137" s="20"/>
      <c r="D137" s="20"/>
      <c r="E137" s="304"/>
      <c r="F137" s="64"/>
      <c r="G137" s="64"/>
      <c r="H137" s="64"/>
      <c r="I137" s="64"/>
      <c r="J137" s="64"/>
      <c r="K137" s="20"/>
      <c r="L137" s="20"/>
      <c r="M137" s="20"/>
      <c r="N137" s="304"/>
      <c r="O137" s="304"/>
      <c r="P137" s="20"/>
      <c r="Q137" s="20"/>
      <c r="R137" s="20"/>
    </row>
    <row r="138" spans="1:18" x14ac:dyDescent="0.2">
      <c r="A138" s="20"/>
      <c r="B138" s="64"/>
      <c r="C138" s="20"/>
      <c r="D138" s="20"/>
      <c r="E138" s="304"/>
      <c r="F138" s="64"/>
      <c r="G138" s="64"/>
      <c r="H138" s="64"/>
      <c r="I138" s="64"/>
      <c r="J138" s="64"/>
      <c r="K138" s="20"/>
      <c r="L138" s="20"/>
      <c r="M138" s="20"/>
      <c r="N138" s="304"/>
      <c r="O138" s="304"/>
      <c r="P138" s="20"/>
      <c r="Q138" s="20"/>
      <c r="R138" s="20"/>
    </row>
    <row r="139" spans="1:18" x14ac:dyDescent="0.2">
      <c r="A139" s="20"/>
      <c r="B139" s="64"/>
      <c r="C139" s="20"/>
      <c r="D139" s="20"/>
      <c r="E139" s="304"/>
      <c r="F139" s="64"/>
      <c r="G139" s="64"/>
      <c r="H139" s="64"/>
      <c r="I139" s="64"/>
      <c r="J139" s="64"/>
      <c r="K139" s="20"/>
      <c r="L139" s="20"/>
      <c r="M139" s="20"/>
      <c r="N139" s="304"/>
      <c r="O139" s="304"/>
      <c r="P139" s="20"/>
      <c r="Q139" s="20"/>
      <c r="R139" s="20"/>
    </row>
    <row r="140" spans="1:18" x14ac:dyDescent="0.2">
      <c r="A140" s="20"/>
      <c r="B140" s="64"/>
      <c r="C140" s="20"/>
      <c r="D140" s="20"/>
      <c r="E140" s="304"/>
      <c r="F140" s="64"/>
      <c r="G140" s="64"/>
      <c r="H140" s="64"/>
      <c r="I140" s="64"/>
      <c r="J140" s="64"/>
      <c r="K140" s="20"/>
      <c r="L140" s="20"/>
      <c r="M140" s="20"/>
      <c r="N140" s="304"/>
      <c r="O140" s="304"/>
      <c r="P140" s="20"/>
      <c r="Q140" s="20"/>
      <c r="R140" s="20"/>
    </row>
    <row r="141" spans="1:18" x14ac:dyDescent="0.2">
      <c r="A141" s="20"/>
      <c r="B141" s="64"/>
      <c r="C141" s="20"/>
      <c r="D141" s="20"/>
      <c r="E141" s="304"/>
      <c r="F141" s="64"/>
      <c r="G141" s="64"/>
      <c r="H141" s="64"/>
      <c r="I141" s="64"/>
      <c r="J141" s="64"/>
      <c r="K141" s="20"/>
      <c r="L141" s="20"/>
      <c r="M141" s="20"/>
      <c r="N141" s="304"/>
      <c r="O141" s="304"/>
      <c r="P141" s="20"/>
      <c r="Q141" s="20"/>
      <c r="R141" s="20"/>
    </row>
    <row r="142" spans="1:18" x14ac:dyDescent="0.2">
      <c r="A142" s="20"/>
      <c r="B142" s="64"/>
      <c r="C142" s="20"/>
      <c r="D142" s="20"/>
      <c r="E142" s="304"/>
      <c r="F142" s="64"/>
      <c r="G142" s="64"/>
      <c r="H142" s="64"/>
      <c r="I142" s="64"/>
      <c r="J142" s="64"/>
      <c r="K142" s="20"/>
      <c r="L142" s="20"/>
      <c r="M142" s="20"/>
      <c r="N142" s="304"/>
      <c r="O142" s="304"/>
      <c r="P142" s="20"/>
      <c r="Q142" s="20"/>
      <c r="R142" s="20"/>
    </row>
    <row r="143" spans="1:18" x14ac:dyDescent="0.2">
      <c r="A143" s="20"/>
      <c r="B143" s="64"/>
      <c r="C143" s="20"/>
      <c r="D143" s="20"/>
      <c r="E143" s="304"/>
      <c r="F143" s="64"/>
      <c r="G143" s="64"/>
      <c r="H143" s="64"/>
      <c r="I143" s="64"/>
      <c r="J143" s="64"/>
      <c r="K143" s="20"/>
      <c r="L143" s="20"/>
      <c r="M143" s="20"/>
      <c r="N143" s="304"/>
      <c r="O143" s="304"/>
      <c r="P143" s="20"/>
      <c r="Q143" s="20"/>
      <c r="R143" s="20"/>
    </row>
    <row r="144" spans="1:18" x14ac:dyDescent="0.2">
      <c r="A144" s="20"/>
      <c r="B144" s="64"/>
      <c r="C144" s="20"/>
      <c r="D144" s="20"/>
      <c r="E144" s="304"/>
      <c r="F144" s="64"/>
      <c r="G144" s="64"/>
      <c r="H144" s="64"/>
      <c r="I144" s="64"/>
      <c r="J144" s="64"/>
      <c r="K144" s="20"/>
      <c r="L144" s="20"/>
      <c r="M144" s="20"/>
      <c r="N144" s="304"/>
      <c r="O144" s="304"/>
      <c r="P144" s="20"/>
      <c r="Q144" s="20"/>
      <c r="R144" s="20"/>
    </row>
    <row r="145" spans="1:18" x14ac:dyDescent="0.2">
      <c r="A145" s="20"/>
      <c r="B145" s="64"/>
      <c r="C145" s="20"/>
      <c r="D145" s="20"/>
      <c r="E145" s="304"/>
      <c r="F145" s="64"/>
      <c r="G145" s="64"/>
      <c r="H145" s="64"/>
      <c r="I145" s="64"/>
      <c r="J145" s="64"/>
      <c r="K145" s="20"/>
      <c r="L145" s="20"/>
      <c r="M145" s="20"/>
      <c r="N145" s="304"/>
      <c r="O145" s="304"/>
      <c r="P145" s="20"/>
      <c r="Q145" s="20"/>
      <c r="R145" s="20"/>
    </row>
    <row r="146" spans="1:18" x14ac:dyDescent="0.2">
      <c r="A146" s="20"/>
      <c r="B146" s="64"/>
      <c r="C146" s="20"/>
      <c r="D146" s="20"/>
      <c r="E146" s="304"/>
      <c r="F146" s="64"/>
      <c r="G146" s="64"/>
      <c r="H146" s="64"/>
      <c r="I146" s="64"/>
      <c r="J146" s="64"/>
      <c r="K146" s="20"/>
      <c r="L146" s="20"/>
      <c r="M146" s="20"/>
      <c r="N146" s="304"/>
      <c r="O146" s="304"/>
      <c r="P146" s="20"/>
      <c r="Q146" s="20"/>
      <c r="R146" s="20"/>
    </row>
    <row r="147" spans="1:18" x14ac:dyDescent="0.2">
      <c r="A147" s="20"/>
      <c r="B147" s="64"/>
      <c r="C147" s="20"/>
      <c r="D147" s="20"/>
      <c r="E147" s="304"/>
      <c r="F147" s="64"/>
      <c r="G147" s="64"/>
      <c r="H147" s="64"/>
      <c r="I147" s="64"/>
      <c r="J147" s="64"/>
      <c r="K147" s="20"/>
      <c r="L147" s="20"/>
      <c r="M147" s="20"/>
      <c r="N147" s="304"/>
      <c r="O147" s="304"/>
      <c r="P147" s="20"/>
      <c r="Q147" s="20"/>
      <c r="R147" s="20"/>
    </row>
    <row r="148" spans="1:18" x14ac:dyDescent="0.2">
      <c r="A148" s="20"/>
      <c r="B148" s="64"/>
      <c r="C148" s="20"/>
      <c r="D148" s="20"/>
      <c r="E148" s="304"/>
      <c r="F148" s="64"/>
      <c r="G148" s="64"/>
      <c r="H148" s="64"/>
      <c r="I148" s="64"/>
      <c r="J148" s="64"/>
      <c r="K148" s="20"/>
      <c r="L148" s="20"/>
      <c r="M148" s="20"/>
      <c r="N148" s="304"/>
      <c r="O148" s="304"/>
      <c r="P148" s="20"/>
      <c r="Q148" s="20"/>
      <c r="R148" s="20"/>
    </row>
    <row r="149" spans="1:18" x14ac:dyDescent="0.2">
      <c r="A149" s="20"/>
      <c r="B149" s="64"/>
      <c r="C149" s="20"/>
      <c r="D149" s="20"/>
      <c r="E149" s="304"/>
      <c r="F149" s="64"/>
      <c r="G149" s="64"/>
      <c r="H149" s="64"/>
      <c r="I149" s="64"/>
      <c r="J149" s="64"/>
      <c r="K149" s="20"/>
      <c r="L149" s="20"/>
      <c r="M149" s="20"/>
      <c r="N149" s="304"/>
      <c r="O149" s="304"/>
      <c r="P149" s="20"/>
      <c r="Q149" s="20"/>
      <c r="R149" s="20"/>
    </row>
    <row r="150" spans="1:18" x14ac:dyDescent="0.2">
      <c r="A150" s="20"/>
      <c r="B150" s="64"/>
      <c r="C150" s="20"/>
      <c r="D150" s="20"/>
      <c r="E150" s="304"/>
      <c r="F150" s="64"/>
      <c r="G150" s="64"/>
      <c r="H150" s="64"/>
      <c r="I150" s="64"/>
      <c r="J150" s="64"/>
      <c r="K150" s="20"/>
      <c r="L150" s="20"/>
      <c r="M150" s="20"/>
      <c r="N150" s="304"/>
      <c r="O150" s="304"/>
      <c r="P150" s="20"/>
      <c r="Q150" s="20"/>
      <c r="R150" s="20"/>
    </row>
    <row r="151" spans="1:18" x14ac:dyDescent="0.2">
      <c r="A151" s="20"/>
      <c r="B151" s="64"/>
      <c r="C151" s="20"/>
      <c r="D151" s="20"/>
      <c r="E151" s="304"/>
      <c r="F151" s="64"/>
      <c r="G151" s="64"/>
      <c r="H151" s="64"/>
      <c r="I151" s="64"/>
      <c r="J151" s="64"/>
      <c r="K151" s="20"/>
      <c r="L151" s="20"/>
      <c r="M151" s="20"/>
      <c r="N151" s="304"/>
      <c r="O151" s="304"/>
      <c r="P151" s="20"/>
      <c r="Q151" s="20"/>
      <c r="R151" s="20"/>
    </row>
    <row r="152" spans="1:18" x14ac:dyDescent="0.2">
      <c r="A152" s="20"/>
      <c r="B152" s="64"/>
      <c r="C152" s="20"/>
      <c r="D152" s="20"/>
      <c r="E152" s="304"/>
      <c r="F152" s="64"/>
      <c r="G152" s="64"/>
      <c r="H152" s="64"/>
      <c r="I152" s="64"/>
      <c r="J152" s="64"/>
      <c r="K152" s="20"/>
      <c r="L152" s="20"/>
      <c r="M152" s="20"/>
      <c r="N152" s="304"/>
      <c r="O152" s="304"/>
      <c r="P152" s="20"/>
      <c r="Q152" s="20"/>
      <c r="R152" s="20"/>
    </row>
    <row r="153" spans="1:18" x14ac:dyDescent="0.2">
      <c r="A153" s="20"/>
      <c r="B153" s="64"/>
      <c r="C153" s="20"/>
      <c r="D153" s="20"/>
      <c r="E153" s="304"/>
      <c r="F153" s="64"/>
      <c r="G153" s="64"/>
      <c r="H153" s="64"/>
      <c r="I153" s="64"/>
      <c r="J153" s="64"/>
      <c r="K153" s="20"/>
      <c r="L153" s="20"/>
      <c r="M153" s="20"/>
      <c r="N153" s="304"/>
      <c r="O153" s="304"/>
      <c r="P153" s="20"/>
      <c r="Q153" s="20"/>
      <c r="R153" s="20"/>
    </row>
    <row r="154" spans="1:18" x14ac:dyDescent="0.2">
      <c r="A154" s="20"/>
      <c r="B154" s="64"/>
      <c r="C154" s="20"/>
      <c r="D154" s="20"/>
      <c r="E154" s="304"/>
      <c r="F154" s="64"/>
      <c r="G154" s="64"/>
      <c r="H154" s="64"/>
      <c r="I154" s="64"/>
      <c r="J154" s="64"/>
      <c r="K154" s="20"/>
      <c r="L154" s="20"/>
      <c r="M154" s="20"/>
      <c r="N154" s="304"/>
      <c r="O154" s="304"/>
      <c r="P154" s="20"/>
      <c r="Q154" s="20"/>
      <c r="R154" s="20"/>
    </row>
    <row r="155" spans="1:18" x14ac:dyDescent="0.2">
      <c r="A155" s="20"/>
      <c r="B155" s="64"/>
      <c r="C155" s="20"/>
      <c r="D155" s="20"/>
      <c r="E155" s="304"/>
      <c r="F155" s="64"/>
      <c r="G155" s="64"/>
      <c r="H155" s="64"/>
      <c r="I155" s="64"/>
      <c r="J155" s="64"/>
      <c r="K155" s="20"/>
      <c r="L155" s="20"/>
      <c r="M155" s="20"/>
      <c r="N155" s="304"/>
      <c r="O155" s="304"/>
      <c r="P155" s="20"/>
      <c r="Q155" s="20"/>
      <c r="R155" s="20"/>
    </row>
    <row r="156" spans="1:18" x14ac:dyDescent="0.2">
      <c r="A156" s="20"/>
      <c r="B156" s="64"/>
      <c r="C156" s="20"/>
      <c r="D156" s="20"/>
      <c r="E156" s="304"/>
      <c r="F156" s="64"/>
      <c r="G156" s="64"/>
      <c r="H156" s="64"/>
      <c r="I156" s="64"/>
      <c r="J156" s="64"/>
      <c r="K156" s="20"/>
      <c r="L156" s="20"/>
      <c r="M156" s="20"/>
      <c r="N156" s="304"/>
      <c r="O156" s="304"/>
      <c r="P156" s="20"/>
      <c r="Q156" s="20"/>
      <c r="R156" s="20"/>
    </row>
    <row r="157" spans="1:18" x14ac:dyDescent="0.2">
      <c r="A157" s="20"/>
      <c r="B157" s="64"/>
      <c r="C157" s="20"/>
      <c r="D157" s="20"/>
      <c r="E157" s="304"/>
      <c r="F157" s="64"/>
      <c r="G157" s="64"/>
      <c r="H157" s="64"/>
      <c r="I157" s="64"/>
      <c r="J157" s="64"/>
      <c r="K157" s="20"/>
      <c r="L157" s="20"/>
      <c r="M157" s="20"/>
      <c r="N157" s="304"/>
      <c r="O157" s="304"/>
      <c r="P157" s="20"/>
      <c r="Q157" s="20"/>
      <c r="R157" s="20"/>
    </row>
    <row r="158" spans="1:18" x14ac:dyDescent="0.2">
      <c r="A158" s="20"/>
      <c r="B158" s="64"/>
      <c r="C158" s="20"/>
      <c r="D158" s="20"/>
      <c r="E158" s="304"/>
      <c r="F158" s="64"/>
      <c r="G158" s="64"/>
      <c r="H158" s="64"/>
      <c r="I158" s="64"/>
      <c r="J158" s="64"/>
      <c r="K158" s="20"/>
      <c r="L158" s="20"/>
      <c r="M158" s="20"/>
      <c r="N158" s="304"/>
      <c r="O158" s="304"/>
      <c r="P158" s="20"/>
      <c r="Q158" s="20"/>
      <c r="R158" s="20"/>
    </row>
    <row r="159" spans="1:18" x14ac:dyDescent="0.2">
      <c r="A159" s="20"/>
      <c r="B159" s="64"/>
      <c r="C159" s="20"/>
      <c r="D159" s="20"/>
      <c r="E159" s="304"/>
      <c r="F159" s="64"/>
      <c r="G159" s="64"/>
      <c r="H159" s="64"/>
      <c r="I159" s="64"/>
      <c r="J159" s="64"/>
      <c r="K159" s="20"/>
      <c r="L159" s="20"/>
      <c r="M159" s="20"/>
      <c r="N159" s="304"/>
      <c r="O159" s="304"/>
      <c r="P159" s="20"/>
      <c r="Q159" s="20"/>
      <c r="R159" s="20"/>
    </row>
    <row r="160" spans="1:18" x14ac:dyDescent="0.2">
      <c r="A160" s="20"/>
      <c r="B160" s="64"/>
      <c r="C160" s="20"/>
      <c r="D160" s="20"/>
      <c r="E160" s="304"/>
      <c r="F160" s="64"/>
      <c r="G160" s="64"/>
      <c r="H160" s="64"/>
      <c r="I160" s="64"/>
      <c r="J160" s="64"/>
      <c r="K160" s="20"/>
      <c r="L160" s="20"/>
      <c r="M160" s="20"/>
      <c r="N160" s="304"/>
      <c r="O160" s="304"/>
      <c r="P160" s="20"/>
      <c r="Q160" s="20"/>
      <c r="R160" s="20"/>
    </row>
    <row r="161" spans="1:18" x14ac:dyDescent="0.2">
      <c r="A161" s="20"/>
      <c r="B161" s="64"/>
      <c r="C161" s="20"/>
      <c r="D161" s="20"/>
      <c r="E161" s="304"/>
      <c r="F161" s="64"/>
      <c r="G161" s="64"/>
      <c r="H161" s="64"/>
      <c r="I161" s="64"/>
      <c r="J161" s="64"/>
      <c r="K161" s="20"/>
      <c r="L161" s="20"/>
      <c r="M161" s="20"/>
      <c r="N161" s="304"/>
      <c r="O161" s="304"/>
      <c r="P161" s="20"/>
      <c r="Q161" s="20"/>
      <c r="R161" s="20"/>
    </row>
    <row r="162" spans="1:18" x14ac:dyDescent="0.2">
      <c r="A162" s="20"/>
      <c r="B162" s="64"/>
      <c r="C162" s="20"/>
      <c r="D162" s="20"/>
      <c r="E162" s="304"/>
      <c r="F162" s="64"/>
      <c r="G162" s="64"/>
      <c r="H162" s="64"/>
      <c r="I162" s="64"/>
      <c r="J162" s="64"/>
      <c r="K162" s="20"/>
      <c r="L162" s="20"/>
      <c r="M162" s="20"/>
      <c r="N162" s="304"/>
      <c r="O162" s="304"/>
      <c r="P162" s="20"/>
      <c r="Q162" s="20"/>
      <c r="R162" s="20"/>
    </row>
    <row r="163" spans="1:18" x14ac:dyDescent="0.2">
      <c r="A163" s="20"/>
      <c r="B163" s="64"/>
      <c r="C163" s="20"/>
      <c r="D163" s="20"/>
      <c r="E163" s="304"/>
      <c r="F163" s="64"/>
      <c r="G163" s="64"/>
      <c r="H163" s="64"/>
      <c r="I163" s="64"/>
      <c r="J163" s="64"/>
      <c r="K163" s="20"/>
      <c r="L163" s="20"/>
      <c r="M163" s="20"/>
      <c r="N163" s="304"/>
      <c r="O163" s="304"/>
      <c r="P163" s="20"/>
      <c r="Q163" s="20"/>
      <c r="R163" s="20"/>
    </row>
    <row r="164" spans="1:18" x14ac:dyDescent="0.2">
      <c r="A164" s="20"/>
      <c r="B164" s="64"/>
      <c r="C164" s="20"/>
      <c r="D164" s="20"/>
      <c r="E164" s="304"/>
      <c r="F164" s="64"/>
      <c r="G164" s="64"/>
      <c r="H164" s="64"/>
      <c r="I164" s="64"/>
      <c r="J164" s="64"/>
      <c r="K164" s="20"/>
      <c r="L164" s="20"/>
      <c r="M164" s="20"/>
      <c r="N164" s="304"/>
      <c r="O164" s="304"/>
      <c r="P164" s="20"/>
      <c r="Q164" s="20"/>
      <c r="R164" s="20"/>
    </row>
    <row r="165" spans="1:18" x14ac:dyDescent="0.2">
      <c r="A165" s="20"/>
      <c r="B165" s="64"/>
      <c r="C165" s="20"/>
      <c r="D165" s="20"/>
      <c r="E165" s="304"/>
      <c r="F165" s="64"/>
      <c r="G165" s="64"/>
      <c r="H165" s="64"/>
      <c r="I165" s="64"/>
      <c r="J165" s="64"/>
      <c r="K165" s="20"/>
      <c r="L165" s="20"/>
      <c r="M165" s="20"/>
      <c r="N165" s="304"/>
      <c r="O165" s="304"/>
      <c r="P165" s="20"/>
      <c r="Q165" s="20"/>
      <c r="R165" s="20"/>
    </row>
    <row r="166" spans="1:18" x14ac:dyDescent="0.2">
      <c r="A166" s="20"/>
      <c r="B166" s="64"/>
      <c r="C166" s="20"/>
      <c r="D166" s="20"/>
      <c r="E166" s="304"/>
      <c r="F166" s="64"/>
      <c r="G166" s="64"/>
      <c r="H166" s="64"/>
      <c r="I166" s="64"/>
      <c r="J166" s="64"/>
      <c r="K166" s="20"/>
      <c r="L166" s="20"/>
      <c r="M166" s="20"/>
      <c r="N166" s="304"/>
      <c r="O166" s="304"/>
      <c r="P166" s="20"/>
      <c r="Q166" s="20"/>
      <c r="R166" s="20"/>
    </row>
    <row r="167" spans="1:18" x14ac:dyDescent="0.2">
      <c r="A167" s="20"/>
      <c r="B167" s="64"/>
      <c r="C167" s="20"/>
      <c r="D167" s="20"/>
      <c r="E167" s="304"/>
      <c r="F167" s="64"/>
      <c r="G167" s="64"/>
      <c r="H167" s="64"/>
      <c r="I167" s="64"/>
      <c r="J167" s="64"/>
      <c r="K167" s="20"/>
      <c r="L167" s="20"/>
      <c r="M167" s="20"/>
      <c r="N167" s="304"/>
      <c r="O167" s="304"/>
      <c r="P167" s="20"/>
      <c r="Q167" s="20"/>
      <c r="R167" s="20"/>
    </row>
    <row r="168" spans="1:18" x14ac:dyDescent="0.2">
      <c r="A168" s="20"/>
      <c r="B168" s="64"/>
      <c r="C168" s="20"/>
      <c r="D168" s="20"/>
      <c r="E168" s="304"/>
      <c r="F168" s="64"/>
      <c r="G168" s="64"/>
      <c r="H168" s="64"/>
      <c r="I168" s="64"/>
      <c r="J168" s="64"/>
      <c r="K168" s="20"/>
      <c r="L168" s="20"/>
      <c r="M168" s="20"/>
      <c r="N168" s="304"/>
      <c r="O168" s="304"/>
      <c r="P168" s="20"/>
      <c r="Q168" s="20"/>
      <c r="R168" s="20"/>
    </row>
    <row r="169" spans="1:18" x14ac:dyDescent="0.2">
      <c r="A169" s="20"/>
      <c r="B169" s="64"/>
      <c r="C169" s="20"/>
      <c r="D169" s="20"/>
      <c r="E169" s="304"/>
      <c r="F169" s="64"/>
      <c r="G169" s="64"/>
      <c r="H169" s="64"/>
      <c r="I169" s="64"/>
      <c r="J169" s="64"/>
      <c r="K169" s="20"/>
      <c r="L169" s="20"/>
      <c r="M169" s="20"/>
      <c r="N169" s="304"/>
      <c r="O169" s="304"/>
      <c r="P169" s="20"/>
      <c r="Q169" s="20"/>
      <c r="R169" s="20"/>
    </row>
    <row r="170" spans="1:18" x14ac:dyDescent="0.2">
      <c r="A170" s="20"/>
      <c r="B170" s="64"/>
      <c r="C170" s="20"/>
      <c r="D170" s="20"/>
      <c r="E170" s="304"/>
      <c r="F170" s="64"/>
      <c r="G170" s="64"/>
      <c r="H170" s="64"/>
      <c r="I170" s="64"/>
      <c r="J170" s="64"/>
      <c r="K170" s="20"/>
      <c r="L170" s="20"/>
      <c r="M170" s="20"/>
      <c r="N170" s="304"/>
      <c r="O170" s="304"/>
      <c r="P170" s="20"/>
      <c r="Q170" s="20"/>
      <c r="R170" s="20"/>
    </row>
    <row r="171" spans="1:18" x14ac:dyDescent="0.2">
      <c r="A171" s="20"/>
      <c r="B171" s="64"/>
      <c r="C171" s="20"/>
      <c r="D171" s="20"/>
      <c r="E171" s="304"/>
      <c r="F171" s="64"/>
      <c r="G171" s="64"/>
      <c r="H171" s="64"/>
      <c r="I171" s="64"/>
      <c r="J171" s="64"/>
      <c r="K171" s="20"/>
      <c r="L171" s="20"/>
      <c r="M171" s="20"/>
      <c r="N171" s="304"/>
      <c r="O171" s="304"/>
      <c r="P171" s="20"/>
      <c r="Q171" s="20"/>
      <c r="R171" s="20"/>
    </row>
    <row r="172" spans="1:18" x14ac:dyDescent="0.2">
      <c r="A172" s="20"/>
      <c r="B172" s="64"/>
      <c r="C172" s="20"/>
      <c r="D172" s="20"/>
      <c r="E172" s="304"/>
      <c r="F172" s="64"/>
      <c r="G172" s="64"/>
      <c r="H172" s="64"/>
      <c r="I172" s="64"/>
      <c r="J172" s="64"/>
      <c r="K172" s="20"/>
      <c r="L172" s="20"/>
      <c r="M172" s="20"/>
      <c r="N172" s="304"/>
      <c r="O172" s="304"/>
      <c r="P172" s="20"/>
      <c r="Q172" s="20"/>
      <c r="R172" s="20"/>
    </row>
    <row r="173" spans="1:18" x14ac:dyDescent="0.2">
      <c r="A173" s="20"/>
      <c r="B173" s="64"/>
      <c r="C173" s="20"/>
      <c r="D173" s="20"/>
      <c r="E173" s="304"/>
      <c r="F173" s="64"/>
      <c r="G173" s="64"/>
      <c r="H173" s="64"/>
      <c r="I173" s="64"/>
      <c r="J173" s="64"/>
      <c r="K173" s="20"/>
      <c r="L173" s="20"/>
      <c r="M173" s="20"/>
      <c r="N173" s="304"/>
      <c r="O173" s="304"/>
      <c r="P173" s="20"/>
      <c r="Q173" s="20"/>
      <c r="R173" s="20"/>
    </row>
    <row r="174" spans="1:18" x14ac:dyDescent="0.2">
      <c r="A174" s="20"/>
      <c r="B174" s="64"/>
      <c r="C174" s="20"/>
      <c r="D174" s="20"/>
      <c r="E174" s="304"/>
      <c r="F174" s="64"/>
      <c r="G174" s="64"/>
      <c r="H174" s="64"/>
      <c r="I174" s="64"/>
      <c r="J174" s="64"/>
      <c r="K174" s="20"/>
      <c r="L174" s="20"/>
      <c r="M174" s="20"/>
      <c r="N174" s="304"/>
      <c r="O174" s="304"/>
      <c r="P174" s="20"/>
      <c r="Q174" s="20"/>
      <c r="R174" s="20"/>
    </row>
    <row r="175" spans="1:18" x14ac:dyDescent="0.2">
      <c r="A175" s="20"/>
      <c r="B175" s="64"/>
      <c r="C175" s="20"/>
      <c r="D175" s="20"/>
      <c r="E175" s="304"/>
      <c r="F175" s="64"/>
      <c r="G175" s="64"/>
      <c r="H175" s="64"/>
      <c r="I175" s="64"/>
      <c r="J175" s="64"/>
      <c r="K175" s="20"/>
      <c r="L175" s="20"/>
      <c r="M175" s="20"/>
      <c r="N175" s="304"/>
      <c r="O175" s="304"/>
      <c r="P175" s="20"/>
      <c r="Q175" s="20"/>
      <c r="R175" s="20"/>
    </row>
    <row r="176" spans="1:18" x14ac:dyDescent="0.2">
      <c r="A176" s="20"/>
      <c r="B176" s="64"/>
      <c r="C176" s="20"/>
      <c r="D176" s="20"/>
      <c r="E176" s="304"/>
      <c r="F176" s="64"/>
      <c r="G176" s="64"/>
      <c r="H176" s="64"/>
      <c r="I176" s="64"/>
      <c r="J176" s="64"/>
      <c r="K176" s="20"/>
      <c r="L176" s="20"/>
      <c r="M176" s="20"/>
      <c r="N176" s="304"/>
      <c r="O176" s="304"/>
      <c r="P176" s="20"/>
      <c r="Q176" s="20"/>
      <c r="R176" s="20"/>
    </row>
    <row r="177" spans="1:18" x14ac:dyDescent="0.2">
      <c r="A177" s="20"/>
      <c r="B177" s="64"/>
      <c r="C177" s="20"/>
      <c r="D177" s="20"/>
      <c r="E177" s="304"/>
      <c r="F177" s="64"/>
      <c r="G177" s="64"/>
      <c r="H177" s="64"/>
      <c r="I177" s="64"/>
      <c r="J177" s="64"/>
      <c r="K177" s="20"/>
      <c r="L177" s="20"/>
      <c r="M177" s="20"/>
      <c r="N177" s="304"/>
      <c r="O177" s="304"/>
      <c r="P177" s="20"/>
      <c r="Q177" s="20"/>
      <c r="R177" s="20"/>
    </row>
    <row r="178" spans="1:18" x14ac:dyDescent="0.2">
      <c r="A178" s="20"/>
      <c r="B178" s="64"/>
      <c r="C178" s="20"/>
      <c r="D178" s="20"/>
      <c r="E178" s="304"/>
      <c r="F178" s="64"/>
      <c r="G178" s="64"/>
      <c r="H178" s="64"/>
      <c r="I178" s="64"/>
      <c r="J178" s="64"/>
      <c r="K178" s="20"/>
      <c r="L178" s="20"/>
      <c r="M178" s="20"/>
      <c r="N178" s="304"/>
      <c r="O178" s="304"/>
      <c r="P178" s="20"/>
      <c r="Q178" s="20"/>
      <c r="R178" s="20"/>
    </row>
    <row r="179" spans="1:18" x14ac:dyDescent="0.2">
      <c r="A179" s="20"/>
      <c r="B179" s="64"/>
      <c r="C179" s="20"/>
      <c r="D179" s="20"/>
      <c r="E179" s="304"/>
      <c r="F179" s="64"/>
      <c r="G179" s="64"/>
      <c r="H179" s="64"/>
      <c r="I179" s="64"/>
      <c r="J179" s="64"/>
      <c r="K179" s="20"/>
      <c r="L179" s="20"/>
      <c r="M179" s="20"/>
      <c r="N179" s="304"/>
      <c r="O179" s="304"/>
      <c r="P179" s="20"/>
      <c r="Q179" s="20"/>
      <c r="R179" s="20"/>
    </row>
  </sheetData>
  <dataConsolidate/>
  <mergeCells count="33">
    <mergeCell ref="U26:Z26"/>
    <mergeCell ref="T67:Y67"/>
    <mergeCell ref="W20:X20"/>
    <mergeCell ref="AD40:AI40"/>
    <mergeCell ref="U46:Z46"/>
    <mergeCell ref="Q1:R1"/>
    <mergeCell ref="R36:R37"/>
    <mergeCell ref="A26:A27"/>
    <mergeCell ref="Q44:R44"/>
    <mergeCell ref="A6:A8"/>
    <mergeCell ref="A9:A13"/>
    <mergeCell ref="A15:A20"/>
    <mergeCell ref="A21:A24"/>
    <mergeCell ref="Q41:R43"/>
    <mergeCell ref="Q33:Q35"/>
    <mergeCell ref="R33:R35"/>
    <mergeCell ref="Q36:Q37"/>
    <mergeCell ref="T1:V1"/>
    <mergeCell ref="A55:A56"/>
    <mergeCell ref="A36:A37"/>
    <mergeCell ref="A39:A40"/>
    <mergeCell ref="A41:A43"/>
    <mergeCell ref="L1:P1"/>
    <mergeCell ref="A28:A32"/>
    <mergeCell ref="A49:A50"/>
    <mergeCell ref="A51:A52"/>
    <mergeCell ref="A53:A54"/>
    <mergeCell ref="A33:A35"/>
    <mergeCell ref="A45:A48"/>
    <mergeCell ref="C1:K1"/>
    <mergeCell ref="A4:A5"/>
    <mergeCell ref="Q4:R5"/>
    <mergeCell ref="Q45:R48"/>
  </mergeCells>
  <conditionalFormatting sqref="P3:P56">
    <cfRule type="cellIs" dxfId="120" priority="9" operator="lessThan">
      <formula>0</formula>
    </cfRule>
  </conditionalFormatting>
  <conditionalFormatting sqref="V28:AA39">
    <cfRule type="cellIs" dxfId="119" priority="5" operator="greaterThan">
      <formula>0</formula>
    </cfRule>
  </conditionalFormatting>
  <conditionalFormatting sqref="U69:Z80">
    <cfRule type="cellIs" dxfId="118" priority="7" operator="greaterThan">
      <formula>0</formula>
    </cfRule>
  </conditionalFormatting>
  <conditionalFormatting sqref="N3:N56">
    <cfRule type="expression" dxfId="117" priority="6">
      <formula>N3&lt;E3</formula>
    </cfRule>
  </conditionalFormatting>
  <conditionalFormatting sqref="AA48:AA59">
    <cfRule type="cellIs" dxfId="116" priority="4" operator="greaterThan">
      <formula>0</formula>
    </cfRule>
  </conditionalFormatting>
  <conditionalFormatting sqref="W48:Z59">
    <cfRule type="cellIs" dxfId="115" priority="3" operator="greaterThan">
      <formula>0</formula>
    </cfRule>
  </conditionalFormatting>
  <conditionalFormatting sqref="V48:V59">
    <cfRule type="cellIs" dxfId="114" priority="2" operator="greaterThan">
      <formula>0</formula>
    </cfRule>
  </conditionalFormatting>
  <conditionalFormatting sqref="AE42:AJ53">
    <cfRule type="cellIs" dxfId="113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9"/>
  <sheetViews>
    <sheetView topLeftCell="S24" zoomScale="120" zoomScaleNormal="120" workbookViewId="0">
      <selection activeCell="AB31" sqref="AB31:AD36"/>
    </sheetView>
  </sheetViews>
  <sheetFormatPr defaultColWidth="9" defaultRowHeight="12.75" x14ac:dyDescent="0.2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8.28515625" style="59" customWidth="1"/>
    <col min="6" max="10" width="23.7109375" style="61" customWidth="1"/>
    <col min="11" max="11" width="16.140625" style="59" customWidth="1"/>
    <col min="12" max="12" width="28.85546875" style="59" customWidth="1"/>
    <col min="13" max="15" width="17.7109375" style="59" customWidth="1"/>
    <col min="16" max="16" width="23.28515625" style="59" customWidth="1"/>
    <col min="17" max="17" width="26.42578125" style="59" customWidth="1"/>
    <col min="18" max="18" width="48.42578125" style="59" customWidth="1"/>
    <col min="19" max="19" width="23" style="58" customWidth="1"/>
    <col min="20" max="20" width="22.85546875" style="5" customWidth="1"/>
    <col min="21" max="21" width="23.7109375" style="5" customWidth="1"/>
    <col min="22" max="22" width="21.5703125" style="5" customWidth="1"/>
    <col min="23" max="29" width="9" style="5"/>
    <col min="30" max="30" width="20.28515625" style="5" customWidth="1"/>
    <col min="31" max="16384" width="9" style="5"/>
  </cols>
  <sheetData>
    <row r="1" spans="1:22" ht="14.25" customHeight="1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8"/>
      <c r="J1" s="468"/>
      <c r="K1" s="469"/>
      <c r="L1" s="465" t="s">
        <v>451</v>
      </c>
      <c r="M1" s="466"/>
      <c r="N1" s="466"/>
      <c r="O1" s="466"/>
      <c r="P1" s="466"/>
      <c r="Q1" s="476" t="s">
        <v>543</v>
      </c>
      <c r="R1" s="477"/>
      <c r="T1" s="494" t="s">
        <v>570</v>
      </c>
      <c r="U1" s="495"/>
      <c r="V1" s="496"/>
    </row>
    <row r="2" spans="1:22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89" t="s">
        <v>41</v>
      </c>
      <c r="F2" s="315" t="s">
        <v>447</v>
      </c>
      <c r="G2" s="190" t="s">
        <v>459</v>
      </c>
      <c r="H2" s="190" t="s">
        <v>461</v>
      </c>
      <c r="I2" s="190" t="s">
        <v>492</v>
      </c>
      <c r="J2" s="189" t="s">
        <v>33</v>
      </c>
      <c r="K2" s="316" t="s">
        <v>444</v>
      </c>
      <c r="L2" s="188" t="s">
        <v>446</v>
      </c>
      <c r="M2" s="188" t="s">
        <v>34</v>
      </c>
      <c r="N2" s="187" t="s">
        <v>493</v>
      </c>
      <c r="O2" s="186" t="s">
        <v>33</v>
      </c>
      <c r="P2" s="187" t="s">
        <v>444</v>
      </c>
      <c r="Q2" s="325" t="s">
        <v>443</v>
      </c>
      <c r="R2" s="185" t="s">
        <v>442</v>
      </c>
      <c r="T2" s="90"/>
      <c r="U2" s="431"/>
      <c r="V2" s="100"/>
    </row>
    <row r="3" spans="1:22" ht="15" customHeight="1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178">
        <f>IF(D3&lt;135,300, IF(AND(D3&gt;135,D3&lt;288),250, IF(AND(D3&gt;288,D3&lt;537),200,IF(AND(D3&gt;537,D3&lt;1096),150,100))))</f>
        <v>200</v>
      </c>
      <c r="F3" s="314">
        <v>131.95400000000001</v>
      </c>
      <c r="G3" s="178">
        <v>2</v>
      </c>
      <c r="H3" s="314">
        <f>F3*G3</f>
        <v>263.90800000000002</v>
      </c>
      <c r="I3" s="178">
        <f t="shared" ref="I3:I56" si="0">CEILING(H3/(0.84*E3),1)</f>
        <v>2</v>
      </c>
      <c r="J3" s="178">
        <f>I3*E3</f>
        <v>400</v>
      </c>
      <c r="K3" s="178">
        <f>J3-H3</f>
        <v>136.09199999999998</v>
      </c>
      <c r="L3" s="175" t="s">
        <v>435</v>
      </c>
      <c r="M3" s="177">
        <v>598.85</v>
      </c>
      <c r="N3" s="176">
        <f>IF(M3&lt;135,300, IF(AND(M3&gt;135,M3&lt;288),250, IF(AND(M3&gt;288,M3&lt;537),200,IF(AND(M3&gt;537,M3&lt;1096),150,100))))</f>
        <v>150</v>
      </c>
      <c r="O3" s="175">
        <f>N3*I3</f>
        <v>300</v>
      </c>
      <c r="P3" s="176">
        <f>O3-H3</f>
        <v>36.091999999999985</v>
      </c>
      <c r="Q3" s="486" t="s">
        <v>351</v>
      </c>
      <c r="R3" s="473"/>
      <c r="T3" s="138" t="s">
        <v>390</v>
      </c>
      <c r="U3" s="137" t="s">
        <v>389</v>
      </c>
      <c r="V3" s="136" t="s">
        <v>388</v>
      </c>
    </row>
    <row r="4" spans="1:22" ht="15" customHeight="1" x14ac:dyDescent="0.2">
      <c r="A4" s="462" t="s">
        <v>44</v>
      </c>
      <c r="B4" s="174" t="s">
        <v>3</v>
      </c>
      <c r="C4" s="173" t="s">
        <v>44</v>
      </c>
      <c r="D4" s="172">
        <v>424.31</v>
      </c>
      <c r="E4" s="94">
        <f t="shared" ref="E4:E56" si="1">IF(D4&lt;135,300, IF(AND(D4&gt;135,D4&lt;288),250, IF(AND(D4&gt;288,D4&lt;537),200,IF(AND(D4&gt;537,D4&lt;1096),150,100))))</f>
        <v>200</v>
      </c>
      <c r="F4" s="305">
        <v>79.758499999999998</v>
      </c>
      <c r="G4" s="84">
        <v>2</v>
      </c>
      <c r="H4" s="307">
        <f t="shared" ref="H4:H56" si="2">F4*G4</f>
        <v>159.517</v>
      </c>
      <c r="I4" s="84">
        <f t="shared" si="0"/>
        <v>1</v>
      </c>
      <c r="J4" s="84">
        <f t="shared" ref="J4:J56" si="3">I4*E4</f>
        <v>200</v>
      </c>
      <c r="K4" s="84">
        <f t="shared" ref="K4:K13" si="4">J4-H4</f>
        <v>40.483000000000004</v>
      </c>
      <c r="L4" s="168" t="s">
        <v>434</v>
      </c>
      <c r="M4" s="170">
        <v>561.44000000000005</v>
      </c>
      <c r="N4" s="92">
        <f t="shared" ref="N4:N56" si="5">IF(M4&lt;135,300, IF(AND(M4&gt;135,M4&lt;288),250, IF(AND(M4&gt;288,M4&lt;537),200,IF(AND(M4&gt;537,M4&lt;1096),150,100))))</f>
        <v>150</v>
      </c>
      <c r="O4" s="91">
        <f t="shared" ref="O4:O56" si="6">N4*I4</f>
        <v>150</v>
      </c>
      <c r="P4" s="92">
        <f t="shared" ref="P4:P13" si="7">O4-H4</f>
        <v>-9.5169999999999959</v>
      </c>
      <c r="Q4" s="484" t="s">
        <v>351</v>
      </c>
      <c r="R4" s="471"/>
      <c r="T4" s="164"/>
      <c r="U4" s="163"/>
      <c r="V4" s="100">
        <f>(U4/600)*100</f>
        <v>0</v>
      </c>
    </row>
    <row r="5" spans="1:22" ht="14.25" customHeight="1" thickBot="1" x14ac:dyDescent="0.25">
      <c r="A5" s="463"/>
      <c r="B5" s="167" t="s">
        <v>25</v>
      </c>
      <c r="C5" s="116" t="s">
        <v>65</v>
      </c>
      <c r="D5" s="95">
        <v>645.40499999999997</v>
      </c>
      <c r="E5" s="94">
        <f t="shared" si="1"/>
        <v>150</v>
      </c>
      <c r="F5" s="306">
        <v>101.52370000000001</v>
      </c>
      <c r="G5" s="73">
        <v>2</v>
      </c>
      <c r="H5" s="309">
        <f t="shared" si="2"/>
        <v>203.04740000000001</v>
      </c>
      <c r="I5" s="73">
        <f t="shared" si="0"/>
        <v>2</v>
      </c>
      <c r="J5" s="73">
        <f t="shared" si="3"/>
        <v>300</v>
      </c>
      <c r="K5" s="73">
        <f t="shared" si="4"/>
        <v>96.95259999999999</v>
      </c>
      <c r="L5" s="91" t="s">
        <v>429</v>
      </c>
      <c r="M5" s="93">
        <v>691.82</v>
      </c>
      <c r="N5" s="92">
        <f t="shared" si="5"/>
        <v>150</v>
      </c>
      <c r="O5" s="91">
        <f t="shared" si="6"/>
        <v>300</v>
      </c>
      <c r="P5" s="92">
        <f t="shared" si="7"/>
        <v>96.95259999999999</v>
      </c>
      <c r="Q5" s="486"/>
      <c r="R5" s="473"/>
      <c r="T5" s="164"/>
      <c r="U5" s="163"/>
      <c r="V5" s="100">
        <f>(U5/400)*100</f>
        <v>0</v>
      </c>
    </row>
    <row r="6" spans="1:22" ht="14.25" customHeight="1" x14ac:dyDescent="0.2">
      <c r="A6" s="462" t="s">
        <v>433</v>
      </c>
      <c r="B6" s="87" t="s">
        <v>432</v>
      </c>
      <c r="C6" s="86" t="s">
        <v>392</v>
      </c>
      <c r="D6" s="85">
        <v>774.56</v>
      </c>
      <c r="E6" s="84">
        <f t="shared" si="1"/>
        <v>150</v>
      </c>
      <c r="F6" s="307">
        <v>593.39</v>
      </c>
      <c r="G6" s="94">
        <v>2</v>
      </c>
      <c r="H6" s="306">
        <f t="shared" si="2"/>
        <v>1186.78</v>
      </c>
      <c r="I6" s="94">
        <f t="shared" si="0"/>
        <v>10</v>
      </c>
      <c r="J6" s="94">
        <f t="shared" si="3"/>
        <v>1500</v>
      </c>
      <c r="K6" s="94">
        <f t="shared" si="4"/>
        <v>313.22000000000003</v>
      </c>
      <c r="L6" s="101" t="s">
        <v>431</v>
      </c>
      <c r="M6" s="83">
        <v>778.62</v>
      </c>
      <c r="N6" s="82">
        <f t="shared" si="5"/>
        <v>150</v>
      </c>
      <c r="O6" s="101">
        <f t="shared" si="6"/>
        <v>1500</v>
      </c>
      <c r="P6" s="82">
        <f t="shared" si="7"/>
        <v>313.22000000000003</v>
      </c>
      <c r="Q6" s="484" t="s">
        <v>351</v>
      </c>
      <c r="R6" s="471"/>
      <c r="T6" s="164"/>
      <c r="U6" s="163"/>
      <c r="V6" s="100">
        <f>(U6/500)*100</f>
        <v>0</v>
      </c>
    </row>
    <row r="7" spans="1:22" ht="14.25" customHeight="1" x14ac:dyDescent="0.2">
      <c r="A7" s="464"/>
      <c r="B7" s="97" t="s">
        <v>4</v>
      </c>
      <c r="C7" s="96" t="s">
        <v>45</v>
      </c>
      <c r="D7" s="110">
        <v>221.095</v>
      </c>
      <c r="E7" s="94">
        <f t="shared" si="1"/>
        <v>250</v>
      </c>
      <c r="F7" s="311">
        <v>165.54</v>
      </c>
      <c r="G7" s="94">
        <v>2</v>
      </c>
      <c r="H7" s="306">
        <f t="shared" si="2"/>
        <v>331.08</v>
      </c>
      <c r="I7" s="94">
        <f t="shared" si="0"/>
        <v>2</v>
      </c>
      <c r="J7" s="94">
        <f t="shared" si="3"/>
        <v>500</v>
      </c>
      <c r="K7" s="94">
        <f t="shared" si="4"/>
        <v>168.92000000000002</v>
      </c>
      <c r="L7" s="102" t="s">
        <v>430</v>
      </c>
      <c r="M7" s="108">
        <v>904.18</v>
      </c>
      <c r="N7" s="92">
        <f t="shared" si="5"/>
        <v>150</v>
      </c>
      <c r="O7" s="91">
        <f t="shared" si="6"/>
        <v>300</v>
      </c>
      <c r="P7" s="92">
        <f t="shared" si="7"/>
        <v>-31.079999999999984</v>
      </c>
      <c r="Q7" s="485"/>
      <c r="R7" s="475"/>
      <c r="T7" s="164" t="s">
        <v>395</v>
      </c>
      <c r="U7" s="163">
        <v>40</v>
      </c>
      <c r="V7" s="100">
        <f>U7/250*100</f>
        <v>16</v>
      </c>
    </row>
    <row r="8" spans="1:22" ht="14.25" customHeight="1" thickBot="1" x14ac:dyDescent="0.25">
      <c r="A8" s="464"/>
      <c r="B8" s="97" t="s">
        <v>25</v>
      </c>
      <c r="C8" s="96" t="s">
        <v>65</v>
      </c>
      <c r="D8" s="95">
        <v>645.40499999999997</v>
      </c>
      <c r="E8" s="73">
        <f t="shared" si="1"/>
        <v>150</v>
      </c>
      <c r="F8" s="306">
        <v>101.52370000000001</v>
      </c>
      <c r="G8" s="94">
        <v>2</v>
      </c>
      <c r="H8" s="306">
        <f t="shared" si="2"/>
        <v>203.04740000000001</v>
      </c>
      <c r="I8" s="94">
        <f t="shared" si="0"/>
        <v>2</v>
      </c>
      <c r="J8" s="94">
        <f t="shared" si="3"/>
        <v>300</v>
      </c>
      <c r="K8" s="94">
        <f t="shared" si="4"/>
        <v>96.95259999999999</v>
      </c>
      <c r="L8" s="91" t="s">
        <v>429</v>
      </c>
      <c r="M8" s="93">
        <v>691.82</v>
      </c>
      <c r="N8" s="121">
        <f t="shared" si="5"/>
        <v>150</v>
      </c>
      <c r="O8" s="70">
        <f t="shared" si="6"/>
        <v>300</v>
      </c>
      <c r="P8" s="121">
        <f t="shared" si="7"/>
        <v>96.95259999999999</v>
      </c>
      <c r="Q8" s="486"/>
      <c r="R8" s="473"/>
      <c r="T8" s="164" t="s">
        <v>401</v>
      </c>
      <c r="U8" s="163">
        <v>123</v>
      </c>
      <c r="V8" s="100">
        <f>(U8/150)*100</f>
        <v>82</v>
      </c>
    </row>
    <row r="9" spans="1:22" ht="14.25" customHeight="1" x14ac:dyDescent="0.2">
      <c r="A9" s="462" t="s">
        <v>46</v>
      </c>
      <c r="B9" s="87" t="s">
        <v>5</v>
      </c>
      <c r="C9" s="86" t="s">
        <v>46</v>
      </c>
      <c r="D9" s="85">
        <v>87.444999999999993</v>
      </c>
      <c r="E9" s="94">
        <f t="shared" si="1"/>
        <v>300</v>
      </c>
      <c r="F9" s="307">
        <v>330.03719999999998</v>
      </c>
      <c r="G9" s="84">
        <v>2</v>
      </c>
      <c r="H9" s="307">
        <f t="shared" si="2"/>
        <v>660.07439999999997</v>
      </c>
      <c r="I9" s="84">
        <f t="shared" si="0"/>
        <v>3</v>
      </c>
      <c r="J9" s="84">
        <f t="shared" si="3"/>
        <v>900</v>
      </c>
      <c r="K9" s="84">
        <f t="shared" si="4"/>
        <v>239.92560000000003</v>
      </c>
      <c r="L9" s="101" t="s">
        <v>428</v>
      </c>
      <c r="M9" s="83">
        <v>243.73500000000001</v>
      </c>
      <c r="N9" s="92">
        <f t="shared" si="5"/>
        <v>250</v>
      </c>
      <c r="O9" s="91">
        <f t="shared" si="6"/>
        <v>750</v>
      </c>
      <c r="P9" s="92">
        <f t="shared" si="7"/>
        <v>89.925600000000031</v>
      </c>
      <c r="Q9" s="317"/>
      <c r="R9" s="125"/>
      <c r="T9" s="164"/>
      <c r="U9" s="163"/>
      <c r="V9" s="100">
        <f>(U9/200)*100</f>
        <v>0</v>
      </c>
    </row>
    <row r="10" spans="1:22" ht="14.25" customHeight="1" x14ac:dyDescent="0.2">
      <c r="A10" s="464"/>
      <c r="B10" s="97" t="s">
        <v>7</v>
      </c>
      <c r="C10" s="96" t="s">
        <v>48</v>
      </c>
      <c r="D10" s="110">
        <v>457.755</v>
      </c>
      <c r="E10" s="94">
        <f t="shared" si="1"/>
        <v>200</v>
      </c>
      <c r="F10" s="311">
        <v>200.11</v>
      </c>
      <c r="G10" s="94">
        <v>2</v>
      </c>
      <c r="H10" s="306">
        <f t="shared" si="2"/>
        <v>400.22</v>
      </c>
      <c r="I10" s="94">
        <f t="shared" si="0"/>
        <v>3</v>
      </c>
      <c r="J10" s="94">
        <f t="shared" si="3"/>
        <v>600</v>
      </c>
      <c r="K10" s="94">
        <f t="shared" si="4"/>
        <v>199.77999999999997</v>
      </c>
      <c r="L10" s="102" t="s">
        <v>427</v>
      </c>
      <c r="M10" s="108">
        <v>614.06500000000005</v>
      </c>
      <c r="N10" s="92">
        <f t="shared" si="5"/>
        <v>150</v>
      </c>
      <c r="O10" s="91">
        <f t="shared" si="6"/>
        <v>450</v>
      </c>
      <c r="P10" s="92">
        <f t="shared" si="7"/>
        <v>49.779999999999973</v>
      </c>
      <c r="Q10" s="318"/>
      <c r="R10" s="146"/>
      <c r="T10" s="164" t="s">
        <v>384</v>
      </c>
      <c r="U10" s="163">
        <v>44.41</v>
      </c>
      <c r="V10" s="100">
        <f>(U10/200)*100</f>
        <v>22.204999999999998</v>
      </c>
    </row>
    <row r="11" spans="1:22" ht="14.25" customHeight="1" x14ac:dyDescent="0.2">
      <c r="A11" s="464"/>
      <c r="B11" s="97" t="s">
        <v>8</v>
      </c>
      <c r="C11" s="96" t="s">
        <v>74</v>
      </c>
      <c r="D11" s="110">
        <v>632.29</v>
      </c>
      <c r="E11" s="94">
        <f t="shared" si="1"/>
        <v>150</v>
      </c>
      <c r="F11" s="311">
        <v>416.14780000000002</v>
      </c>
      <c r="G11" s="94">
        <v>2</v>
      </c>
      <c r="H11" s="306">
        <f t="shared" si="2"/>
        <v>832.29560000000004</v>
      </c>
      <c r="I11" s="94">
        <f t="shared" si="0"/>
        <v>7</v>
      </c>
      <c r="J11" s="94">
        <f t="shared" si="3"/>
        <v>1050</v>
      </c>
      <c r="K11" s="94">
        <f t="shared" si="4"/>
        <v>217.70439999999996</v>
      </c>
      <c r="L11" s="102" t="s">
        <v>426</v>
      </c>
      <c r="M11" s="108">
        <v>692.19500000000005</v>
      </c>
      <c r="N11" s="92">
        <f t="shared" si="5"/>
        <v>150</v>
      </c>
      <c r="O11" s="91">
        <f t="shared" si="6"/>
        <v>1050</v>
      </c>
      <c r="P11" s="92">
        <f t="shared" si="7"/>
        <v>217.70439999999996</v>
      </c>
      <c r="Q11" s="318"/>
      <c r="R11" s="146"/>
      <c r="T11" s="164" t="s">
        <v>469</v>
      </c>
      <c r="U11" s="163">
        <v>9</v>
      </c>
      <c r="V11" s="100">
        <f>(U11/200)*100</f>
        <v>4.5</v>
      </c>
    </row>
    <row r="12" spans="1:22" ht="14.25" customHeight="1" x14ac:dyDescent="0.2">
      <c r="A12" s="464"/>
      <c r="B12" s="97" t="s">
        <v>12</v>
      </c>
      <c r="C12" s="96" t="s">
        <v>52</v>
      </c>
      <c r="D12" s="110">
        <v>428.91</v>
      </c>
      <c r="E12" s="94">
        <f t="shared" si="1"/>
        <v>200</v>
      </c>
      <c r="F12" s="311">
        <v>320.77999999999997</v>
      </c>
      <c r="G12" s="94">
        <v>2</v>
      </c>
      <c r="H12" s="306">
        <f t="shared" si="2"/>
        <v>641.55999999999995</v>
      </c>
      <c r="I12" s="94">
        <f t="shared" si="0"/>
        <v>4</v>
      </c>
      <c r="J12" s="94">
        <f t="shared" si="3"/>
        <v>800</v>
      </c>
      <c r="K12" s="94">
        <f t="shared" si="4"/>
        <v>158.44000000000005</v>
      </c>
      <c r="L12" s="102" t="s">
        <v>420</v>
      </c>
      <c r="M12" s="108">
        <v>440.09</v>
      </c>
      <c r="N12" s="92">
        <f t="shared" si="5"/>
        <v>200</v>
      </c>
      <c r="O12" s="91">
        <f t="shared" si="6"/>
        <v>800</v>
      </c>
      <c r="P12" s="92">
        <f t="shared" si="7"/>
        <v>158.44000000000005</v>
      </c>
      <c r="Q12" s="318"/>
      <c r="R12" s="146"/>
      <c r="T12" s="164" t="s">
        <v>26</v>
      </c>
      <c r="U12" s="163">
        <v>56</v>
      </c>
      <c r="V12" s="100">
        <f>(U12/450)*100</f>
        <v>12.444444444444445</v>
      </c>
    </row>
    <row r="13" spans="1:22" ht="14.25" customHeight="1" thickBot="1" x14ac:dyDescent="0.25">
      <c r="A13" s="464"/>
      <c r="B13" s="97" t="s">
        <v>396</v>
      </c>
      <c r="C13" s="96" t="s">
        <v>63</v>
      </c>
      <c r="D13" s="95">
        <v>530.30999999999995</v>
      </c>
      <c r="E13" s="94">
        <f t="shared" si="1"/>
        <v>200</v>
      </c>
      <c r="F13" s="306">
        <v>22.35</v>
      </c>
      <c r="G13" s="73">
        <v>2</v>
      </c>
      <c r="H13" s="309">
        <f t="shared" si="2"/>
        <v>44.7</v>
      </c>
      <c r="I13" s="73">
        <f t="shared" si="0"/>
        <v>1</v>
      </c>
      <c r="J13" s="73">
        <f t="shared" si="3"/>
        <v>200</v>
      </c>
      <c r="K13" s="73">
        <f t="shared" si="4"/>
        <v>155.30000000000001</v>
      </c>
      <c r="L13" s="91" t="s">
        <v>418</v>
      </c>
      <c r="M13" s="93">
        <v>541.49</v>
      </c>
      <c r="N13" s="92">
        <f t="shared" si="5"/>
        <v>150</v>
      </c>
      <c r="O13" s="91">
        <f t="shared" si="6"/>
        <v>150</v>
      </c>
      <c r="P13" s="92">
        <f t="shared" si="7"/>
        <v>105.3</v>
      </c>
      <c r="Q13" s="319"/>
      <c r="R13" s="120"/>
      <c r="T13" s="164"/>
      <c r="U13" s="163"/>
      <c r="V13" s="100">
        <f>(U13/600)*100</f>
        <v>0</v>
      </c>
    </row>
    <row r="14" spans="1:22" ht="13.5" thickBot="1" x14ac:dyDescent="0.25">
      <c r="A14" s="428" t="s">
        <v>426</v>
      </c>
      <c r="B14" s="87" t="s">
        <v>351</v>
      </c>
      <c r="C14" s="157"/>
      <c r="D14" s="85"/>
      <c r="E14" s="178">
        <f t="shared" si="1"/>
        <v>300</v>
      </c>
      <c r="F14" s="307"/>
      <c r="G14" s="94">
        <v>2</v>
      </c>
      <c r="H14" s="306">
        <f t="shared" si="2"/>
        <v>0</v>
      </c>
      <c r="I14" s="94">
        <f t="shared" si="0"/>
        <v>0</v>
      </c>
      <c r="J14" s="94">
        <f t="shared" si="3"/>
        <v>0</v>
      </c>
      <c r="K14" s="94"/>
      <c r="L14" s="101"/>
      <c r="M14" s="83"/>
      <c r="N14" s="176">
        <f t="shared" si="5"/>
        <v>300</v>
      </c>
      <c r="O14" s="175">
        <f t="shared" si="6"/>
        <v>0</v>
      </c>
      <c r="P14" s="176"/>
      <c r="Q14" s="424"/>
      <c r="R14" s="425"/>
      <c r="T14" s="164" t="s">
        <v>20</v>
      </c>
      <c r="U14" s="163">
        <v>306</v>
      </c>
      <c r="V14" s="100">
        <f>(U14/200)*100</f>
        <v>153</v>
      </c>
    </row>
    <row r="15" spans="1:22" ht="14.25" customHeight="1" x14ac:dyDescent="0.2">
      <c r="A15" s="462" t="s">
        <v>49</v>
      </c>
      <c r="B15" s="87" t="s">
        <v>425</v>
      </c>
      <c r="C15" s="86" t="s">
        <v>47</v>
      </c>
      <c r="D15" s="85">
        <v>341.36500000000001</v>
      </c>
      <c r="E15" s="94">
        <f t="shared" si="1"/>
        <v>200</v>
      </c>
      <c r="F15" s="307">
        <v>414.50749999999999</v>
      </c>
      <c r="G15" s="84">
        <v>2</v>
      </c>
      <c r="H15" s="307">
        <f t="shared" si="2"/>
        <v>829.01499999999999</v>
      </c>
      <c r="I15" s="84">
        <f t="shared" si="0"/>
        <v>5</v>
      </c>
      <c r="J15" s="84">
        <f t="shared" si="3"/>
        <v>1000</v>
      </c>
      <c r="K15" s="84">
        <f>J15-H15</f>
        <v>170.98500000000001</v>
      </c>
      <c r="L15" s="101" t="s">
        <v>424</v>
      </c>
      <c r="M15" s="83">
        <v>527.53499999999997</v>
      </c>
      <c r="N15" s="92">
        <f t="shared" si="5"/>
        <v>200</v>
      </c>
      <c r="O15" s="91">
        <f t="shared" si="6"/>
        <v>1000</v>
      </c>
      <c r="P15" s="92">
        <f>O15-H15</f>
        <v>170.98500000000001</v>
      </c>
      <c r="Q15" s="320"/>
      <c r="R15" s="125"/>
      <c r="T15" s="164"/>
      <c r="U15" s="163"/>
      <c r="V15" s="100">
        <f>(U15/1400)*100</f>
        <v>0</v>
      </c>
    </row>
    <row r="16" spans="1:22" ht="14.25" customHeight="1" x14ac:dyDescent="0.2">
      <c r="A16" s="464"/>
      <c r="B16" s="97" t="s">
        <v>9</v>
      </c>
      <c r="C16" s="96" t="s">
        <v>423</v>
      </c>
      <c r="D16" s="110">
        <v>72.555000000000007</v>
      </c>
      <c r="E16" s="94">
        <f t="shared" si="1"/>
        <v>300</v>
      </c>
      <c r="F16" s="311">
        <v>249.06020000000001</v>
      </c>
      <c r="G16" s="94">
        <v>2</v>
      </c>
      <c r="H16" s="306">
        <f t="shared" si="2"/>
        <v>498.12040000000002</v>
      </c>
      <c r="I16" s="94">
        <f t="shared" si="0"/>
        <v>2</v>
      </c>
      <c r="J16" s="94">
        <f t="shared" si="3"/>
        <v>600</v>
      </c>
      <c r="K16" s="94">
        <f t="shared" ref="K16:K24" si="8">J16-H16</f>
        <v>101.87959999999998</v>
      </c>
      <c r="L16" s="102" t="s">
        <v>422</v>
      </c>
      <c r="M16" s="108">
        <v>258.625</v>
      </c>
      <c r="N16" s="92">
        <f t="shared" si="5"/>
        <v>250</v>
      </c>
      <c r="O16" s="91">
        <f t="shared" si="6"/>
        <v>500</v>
      </c>
      <c r="P16" s="92">
        <f t="shared" ref="P16:P24" si="9">O16-H16</f>
        <v>1.8795999999999822</v>
      </c>
      <c r="Q16" s="321"/>
      <c r="R16" s="143"/>
      <c r="T16" s="164" t="s">
        <v>19</v>
      </c>
      <c r="U16" s="163">
        <v>186</v>
      </c>
      <c r="V16" s="100">
        <f>(U16/1000)*100</f>
        <v>18.600000000000001</v>
      </c>
    </row>
    <row r="17" spans="1:30" ht="14.25" customHeight="1" x14ac:dyDescent="0.2">
      <c r="A17" s="464"/>
      <c r="B17" s="97" t="s">
        <v>10</v>
      </c>
      <c r="C17" s="96" t="s">
        <v>386</v>
      </c>
      <c r="D17" s="110">
        <v>894.93</v>
      </c>
      <c r="E17" s="94">
        <f t="shared" si="1"/>
        <v>150</v>
      </c>
      <c r="F17" s="311">
        <v>185.4342</v>
      </c>
      <c r="G17" s="94">
        <v>2</v>
      </c>
      <c r="H17" s="306">
        <f t="shared" si="2"/>
        <v>370.86840000000001</v>
      </c>
      <c r="I17" s="94">
        <f t="shared" si="0"/>
        <v>3</v>
      </c>
      <c r="J17" s="94">
        <f t="shared" si="3"/>
        <v>450</v>
      </c>
      <c r="K17" s="94">
        <f t="shared" si="8"/>
        <v>79.131599999999992</v>
      </c>
      <c r="L17" s="102" t="s">
        <v>385</v>
      </c>
      <c r="M17" s="108">
        <v>975.03499999999997</v>
      </c>
      <c r="N17" s="92">
        <f t="shared" si="5"/>
        <v>150</v>
      </c>
      <c r="O17" s="91">
        <f t="shared" si="6"/>
        <v>450</v>
      </c>
      <c r="P17" s="92">
        <f t="shared" si="9"/>
        <v>79.131599999999992</v>
      </c>
      <c r="Q17" s="321"/>
      <c r="R17" s="143"/>
      <c r="T17" s="164" t="s">
        <v>29</v>
      </c>
      <c r="U17" s="163">
        <v>15</v>
      </c>
      <c r="V17" s="100">
        <f>(U17/150)*100</f>
        <v>10</v>
      </c>
    </row>
    <row r="18" spans="1:30" ht="14.25" customHeight="1" x14ac:dyDescent="0.2">
      <c r="A18" s="464"/>
      <c r="B18" s="97" t="s">
        <v>11</v>
      </c>
      <c r="C18" s="96" t="s">
        <v>378</v>
      </c>
      <c r="D18" s="110">
        <v>839.23</v>
      </c>
      <c r="E18" s="94">
        <f t="shared" si="1"/>
        <v>150</v>
      </c>
      <c r="F18" s="311">
        <v>213.84829999999999</v>
      </c>
      <c r="G18" s="94">
        <v>2</v>
      </c>
      <c r="H18" s="306">
        <f t="shared" si="2"/>
        <v>427.69659999999999</v>
      </c>
      <c r="I18" s="94">
        <f t="shared" si="0"/>
        <v>4</v>
      </c>
      <c r="J18" s="94">
        <f t="shared" si="3"/>
        <v>600</v>
      </c>
      <c r="K18" s="94">
        <f t="shared" si="8"/>
        <v>172.30340000000001</v>
      </c>
      <c r="L18" s="102" t="s">
        <v>421</v>
      </c>
      <c r="M18" s="108">
        <v>1025.3</v>
      </c>
      <c r="N18" s="92">
        <f t="shared" si="5"/>
        <v>150</v>
      </c>
      <c r="O18" s="91">
        <f t="shared" si="6"/>
        <v>600</v>
      </c>
      <c r="P18" s="92">
        <f t="shared" si="9"/>
        <v>172.30340000000001</v>
      </c>
      <c r="Q18" s="322"/>
      <c r="R18" s="143"/>
      <c r="T18" s="164"/>
      <c r="U18" s="163"/>
      <c r="V18" s="100">
        <f>(U18/150)*100</f>
        <v>0</v>
      </c>
    </row>
    <row r="19" spans="1:30" ht="14.25" customHeight="1" thickBot="1" x14ac:dyDescent="0.25">
      <c r="A19" s="464"/>
      <c r="B19" s="97" t="s">
        <v>12</v>
      </c>
      <c r="C19" s="96" t="s">
        <v>52</v>
      </c>
      <c r="D19" s="110">
        <v>428.91</v>
      </c>
      <c r="E19" s="94">
        <f t="shared" si="1"/>
        <v>200</v>
      </c>
      <c r="F19" s="311">
        <v>320.7817</v>
      </c>
      <c r="G19" s="94">
        <v>2</v>
      </c>
      <c r="H19" s="306">
        <f t="shared" si="2"/>
        <v>641.5634</v>
      </c>
      <c r="I19" s="94">
        <f t="shared" si="0"/>
        <v>4</v>
      </c>
      <c r="J19" s="94">
        <f t="shared" si="3"/>
        <v>800</v>
      </c>
      <c r="K19" s="94">
        <f t="shared" si="8"/>
        <v>158.4366</v>
      </c>
      <c r="L19" s="102" t="s">
        <v>420</v>
      </c>
      <c r="M19" s="108">
        <v>440.09</v>
      </c>
      <c r="N19" s="92">
        <f t="shared" si="5"/>
        <v>200</v>
      </c>
      <c r="O19" s="91">
        <f t="shared" si="6"/>
        <v>800</v>
      </c>
      <c r="P19" s="92">
        <f t="shared" si="9"/>
        <v>158.4366</v>
      </c>
      <c r="Q19" s="322"/>
      <c r="R19" s="143"/>
      <c r="T19" s="164"/>
      <c r="U19" s="163"/>
      <c r="V19" s="100">
        <f>(U19/200)*100</f>
        <v>0</v>
      </c>
    </row>
    <row r="20" spans="1:30" ht="14.25" customHeight="1" thickBot="1" x14ac:dyDescent="0.25">
      <c r="A20" s="464"/>
      <c r="B20" s="97" t="s">
        <v>419</v>
      </c>
      <c r="C20" s="96" t="s">
        <v>411</v>
      </c>
      <c r="D20" s="95">
        <v>530.30999999999995</v>
      </c>
      <c r="E20" s="94">
        <f t="shared" si="1"/>
        <v>200</v>
      </c>
      <c r="F20" s="306">
        <v>22.35</v>
      </c>
      <c r="G20" s="73">
        <v>2</v>
      </c>
      <c r="H20" s="309">
        <f t="shared" si="2"/>
        <v>44.7</v>
      </c>
      <c r="I20" s="73">
        <f t="shared" si="0"/>
        <v>1</v>
      </c>
      <c r="J20" s="73">
        <f t="shared" si="3"/>
        <v>200</v>
      </c>
      <c r="K20" s="73">
        <f t="shared" si="8"/>
        <v>155.30000000000001</v>
      </c>
      <c r="L20" s="91" t="s">
        <v>418</v>
      </c>
      <c r="M20" s="93">
        <v>541.49</v>
      </c>
      <c r="N20" s="92">
        <f t="shared" si="5"/>
        <v>150</v>
      </c>
      <c r="O20" s="91">
        <f t="shared" si="6"/>
        <v>150</v>
      </c>
      <c r="P20" s="92">
        <f t="shared" si="9"/>
        <v>105.3</v>
      </c>
      <c r="Q20" s="323"/>
      <c r="R20" s="120"/>
      <c r="T20" s="162" t="s">
        <v>417</v>
      </c>
      <c r="U20" s="161">
        <f>SUM(U7:U19)</f>
        <v>779.41</v>
      </c>
      <c r="V20" s="430"/>
    </row>
    <row r="21" spans="1:30" ht="14.25" customHeight="1" x14ac:dyDescent="0.2">
      <c r="A21" s="462" t="s">
        <v>413</v>
      </c>
      <c r="B21" s="87" t="s">
        <v>7</v>
      </c>
      <c r="C21" s="86" t="s">
        <v>48</v>
      </c>
      <c r="D21" s="85">
        <v>457.755</v>
      </c>
      <c r="E21" s="84">
        <f t="shared" si="1"/>
        <v>200</v>
      </c>
      <c r="F21" s="307">
        <v>200.1122</v>
      </c>
      <c r="G21" s="94">
        <v>2</v>
      </c>
      <c r="H21" s="306">
        <f t="shared" si="2"/>
        <v>400.2244</v>
      </c>
      <c r="I21" s="94">
        <f t="shared" si="0"/>
        <v>3</v>
      </c>
      <c r="J21" s="94">
        <f t="shared" si="3"/>
        <v>600</v>
      </c>
      <c r="K21" s="94">
        <f t="shared" si="8"/>
        <v>199.7756</v>
      </c>
      <c r="L21" s="101" t="s">
        <v>416</v>
      </c>
      <c r="M21" s="83">
        <v>733.18499999999995</v>
      </c>
      <c r="N21" s="82">
        <f t="shared" si="5"/>
        <v>150</v>
      </c>
      <c r="O21" s="101">
        <f t="shared" si="6"/>
        <v>450</v>
      </c>
      <c r="P21" s="82">
        <f t="shared" si="9"/>
        <v>49.775599999999997</v>
      </c>
      <c r="Q21" s="484" t="s">
        <v>351</v>
      </c>
      <c r="R21" s="471"/>
      <c r="T21" s="160" t="s">
        <v>365</v>
      </c>
      <c r="U21" s="159">
        <f>(U20/23900)*100</f>
        <v>3.2611297071129703</v>
      </c>
      <c r="V21" s="431"/>
    </row>
    <row r="22" spans="1:30" ht="14.25" customHeight="1" x14ac:dyDescent="0.2">
      <c r="A22" s="464"/>
      <c r="B22" s="97" t="s">
        <v>415</v>
      </c>
      <c r="C22" s="96" t="s">
        <v>74</v>
      </c>
      <c r="D22" s="110">
        <v>632.29</v>
      </c>
      <c r="E22" s="94">
        <f t="shared" si="1"/>
        <v>150</v>
      </c>
      <c r="F22" s="311">
        <v>416.14780000000002</v>
      </c>
      <c r="G22" s="94">
        <v>2</v>
      </c>
      <c r="H22" s="306">
        <f t="shared" si="2"/>
        <v>832.29560000000004</v>
      </c>
      <c r="I22" s="94">
        <f t="shared" si="0"/>
        <v>7</v>
      </c>
      <c r="J22" s="94">
        <f t="shared" si="3"/>
        <v>1050</v>
      </c>
      <c r="K22" s="94">
        <f t="shared" si="8"/>
        <v>217.70439999999996</v>
      </c>
      <c r="L22" s="102" t="s">
        <v>361</v>
      </c>
      <c r="M22" s="108">
        <v>692.19500000000005</v>
      </c>
      <c r="N22" s="92">
        <f t="shared" si="5"/>
        <v>150</v>
      </c>
      <c r="O22" s="91">
        <f t="shared" si="6"/>
        <v>1050</v>
      </c>
      <c r="P22" s="92">
        <f t="shared" si="9"/>
        <v>217.70439999999996</v>
      </c>
      <c r="Q22" s="485"/>
      <c r="R22" s="475"/>
    </row>
    <row r="23" spans="1:30" ht="14.25" customHeight="1" x14ac:dyDescent="0.2">
      <c r="A23" s="464"/>
      <c r="B23" s="97" t="s">
        <v>414</v>
      </c>
      <c r="C23" s="96" t="s">
        <v>413</v>
      </c>
      <c r="D23" s="110">
        <v>370.31</v>
      </c>
      <c r="E23" s="94">
        <f t="shared" si="1"/>
        <v>200</v>
      </c>
      <c r="F23" s="311">
        <v>24.103000000000002</v>
      </c>
      <c r="G23" s="94">
        <v>2</v>
      </c>
      <c r="H23" s="306">
        <f t="shared" si="2"/>
        <v>48.206000000000003</v>
      </c>
      <c r="I23" s="94">
        <f t="shared" si="0"/>
        <v>1</v>
      </c>
      <c r="J23" s="94">
        <f t="shared" si="3"/>
        <v>200</v>
      </c>
      <c r="K23" s="94">
        <f t="shared" si="8"/>
        <v>151.79399999999998</v>
      </c>
      <c r="L23" s="102" t="s">
        <v>412</v>
      </c>
      <c r="M23" s="108">
        <v>820.63</v>
      </c>
      <c r="N23" s="92">
        <f t="shared" si="5"/>
        <v>150</v>
      </c>
      <c r="O23" s="91">
        <f t="shared" si="6"/>
        <v>150</v>
      </c>
      <c r="P23" s="92">
        <f t="shared" si="9"/>
        <v>101.794</v>
      </c>
      <c r="Q23" s="485"/>
      <c r="R23" s="475"/>
      <c r="T23" s="431"/>
      <c r="U23" s="58"/>
    </row>
    <row r="24" spans="1:30" ht="14.25" customHeight="1" thickBot="1" x14ac:dyDescent="0.25">
      <c r="A24" s="464"/>
      <c r="B24" s="97" t="s">
        <v>396</v>
      </c>
      <c r="C24" s="96" t="s">
        <v>411</v>
      </c>
      <c r="D24" s="95">
        <v>530.30999999999995</v>
      </c>
      <c r="E24" s="73">
        <f t="shared" si="1"/>
        <v>200</v>
      </c>
      <c r="F24" s="306">
        <v>22.35</v>
      </c>
      <c r="G24" s="94">
        <v>2</v>
      </c>
      <c r="H24" s="306">
        <f t="shared" si="2"/>
        <v>44.7</v>
      </c>
      <c r="I24" s="94">
        <f t="shared" si="0"/>
        <v>1</v>
      </c>
      <c r="J24" s="94">
        <f t="shared" si="3"/>
        <v>200</v>
      </c>
      <c r="K24" s="94">
        <f t="shared" si="8"/>
        <v>155.30000000000001</v>
      </c>
      <c r="L24" s="91" t="s">
        <v>410</v>
      </c>
      <c r="M24" s="93">
        <v>660.63</v>
      </c>
      <c r="N24" s="121">
        <f t="shared" si="5"/>
        <v>150</v>
      </c>
      <c r="O24" s="70">
        <f t="shared" si="6"/>
        <v>150</v>
      </c>
      <c r="P24" s="121">
        <f t="shared" si="9"/>
        <v>105.3</v>
      </c>
      <c r="Q24" s="486"/>
      <c r="R24" s="473"/>
      <c r="T24" s="431"/>
    </row>
    <row r="25" spans="1:30" ht="15" customHeight="1" thickBot="1" x14ac:dyDescent="0.25">
      <c r="A25" s="158" t="s">
        <v>409</v>
      </c>
      <c r="B25" s="87" t="s">
        <v>408</v>
      </c>
      <c r="C25" s="157"/>
      <c r="D25" s="85"/>
      <c r="E25" s="94">
        <f t="shared" si="1"/>
        <v>300</v>
      </c>
      <c r="F25" s="307"/>
      <c r="G25" s="178">
        <v>2</v>
      </c>
      <c r="H25" s="314">
        <f t="shared" si="2"/>
        <v>0</v>
      </c>
      <c r="I25" s="178">
        <f t="shared" si="0"/>
        <v>0</v>
      </c>
      <c r="J25" s="178">
        <f t="shared" si="3"/>
        <v>0</v>
      </c>
      <c r="K25" s="178"/>
      <c r="L25" s="101"/>
      <c r="M25" s="83"/>
      <c r="N25" s="92">
        <f t="shared" si="5"/>
        <v>300</v>
      </c>
      <c r="O25" s="91">
        <f t="shared" si="6"/>
        <v>0</v>
      </c>
      <c r="P25" s="92"/>
      <c r="Q25" s="424"/>
      <c r="R25" s="425"/>
      <c r="T25" s="491" t="s">
        <v>591</v>
      </c>
      <c r="U25" s="492"/>
      <c r="V25" s="492"/>
      <c r="W25" s="492"/>
      <c r="X25" s="492"/>
      <c r="Y25" s="493"/>
      <c r="Z25" s="161"/>
    </row>
    <row r="26" spans="1:30" x14ac:dyDescent="0.2">
      <c r="A26" s="480" t="s">
        <v>407</v>
      </c>
      <c r="B26" s="155" t="s">
        <v>14</v>
      </c>
      <c r="C26" s="86" t="s">
        <v>406</v>
      </c>
      <c r="D26" s="85">
        <v>391.72</v>
      </c>
      <c r="E26" s="84">
        <f t="shared" si="1"/>
        <v>200</v>
      </c>
      <c r="F26" s="307">
        <v>664.51419999999996</v>
      </c>
      <c r="G26" s="94">
        <v>2</v>
      </c>
      <c r="H26" s="306">
        <f t="shared" si="2"/>
        <v>1329.0283999999999</v>
      </c>
      <c r="I26" s="94">
        <f t="shared" si="0"/>
        <v>8</v>
      </c>
      <c r="J26" s="94">
        <f t="shared" si="3"/>
        <v>1600</v>
      </c>
      <c r="K26" s="94">
        <f>J26-H26</f>
        <v>270.97160000000008</v>
      </c>
      <c r="L26" s="101" t="s">
        <v>405</v>
      </c>
      <c r="M26" s="83">
        <v>799.22</v>
      </c>
      <c r="N26" s="82">
        <f t="shared" si="5"/>
        <v>150</v>
      </c>
      <c r="O26" s="101">
        <f t="shared" si="6"/>
        <v>1200</v>
      </c>
      <c r="P26" s="197">
        <f>O26-H26</f>
        <v>-129.02839999999992</v>
      </c>
      <c r="Q26" s="317" t="s">
        <v>384</v>
      </c>
      <c r="R26" s="125">
        <v>44.31</v>
      </c>
      <c r="T26" s="346" t="s">
        <v>528</v>
      </c>
      <c r="U26" s="348" t="s">
        <v>529</v>
      </c>
      <c r="V26" s="348" t="s">
        <v>530</v>
      </c>
      <c r="W26" s="348" t="s">
        <v>531</v>
      </c>
      <c r="X26" s="348" t="s">
        <v>532</v>
      </c>
      <c r="Y26" s="349" t="s">
        <v>582</v>
      </c>
      <c r="Z26" s="328" t="s">
        <v>417</v>
      </c>
    </row>
    <row r="27" spans="1:30" ht="14.25" customHeight="1" thickBot="1" x14ac:dyDescent="0.25">
      <c r="A27" s="481"/>
      <c r="B27" s="76" t="s">
        <v>360</v>
      </c>
      <c r="C27" s="75" t="s">
        <v>55</v>
      </c>
      <c r="D27" s="152">
        <v>566.26</v>
      </c>
      <c r="E27" s="73">
        <f t="shared" si="1"/>
        <v>150</v>
      </c>
      <c r="F27" s="313">
        <v>424.66829999999999</v>
      </c>
      <c r="G27" s="94">
        <v>2</v>
      </c>
      <c r="H27" s="306">
        <f t="shared" si="2"/>
        <v>849.33659999999998</v>
      </c>
      <c r="I27" s="94">
        <f t="shared" si="0"/>
        <v>7</v>
      </c>
      <c r="J27" s="94">
        <f t="shared" si="3"/>
        <v>1050</v>
      </c>
      <c r="K27" s="94">
        <f t="shared" ref="K27:K56" si="10">J27-H27</f>
        <v>200.66340000000002</v>
      </c>
      <c r="L27" s="272" t="s">
        <v>404</v>
      </c>
      <c r="M27" s="150">
        <v>973.76</v>
      </c>
      <c r="N27" s="121">
        <f t="shared" si="5"/>
        <v>150</v>
      </c>
      <c r="O27" s="70">
        <f t="shared" si="6"/>
        <v>1050</v>
      </c>
      <c r="P27" s="326">
        <f t="shared" ref="P27:P56" si="11">O27-H27</f>
        <v>200.66340000000002</v>
      </c>
      <c r="Q27" s="324"/>
      <c r="R27" s="149"/>
      <c r="T27" s="60" t="s">
        <v>84</v>
      </c>
      <c r="U27" s="350">
        <v>0</v>
      </c>
      <c r="V27" s="350">
        <v>0</v>
      </c>
      <c r="W27" s="351">
        <v>0</v>
      </c>
      <c r="X27" s="351">
        <v>0</v>
      </c>
      <c r="Y27" s="352">
        <v>0</v>
      </c>
      <c r="Z27" s="353">
        <f>SUM(U27:Y27)</f>
        <v>0</v>
      </c>
    </row>
    <row r="28" spans="1:30" ht="14.25" customHeight="1" x14ac:dyDescent="0.2">
      <c r="A28" s="464" t="s">
        <v>403</v>
      </c>
      <c r="B28" s="63" t="s">
        <v>6</v>
      </c>
      <c r="C28" s="116" t="s">
        <v>47</v>
      </c>
      <c r="D28" s="95">
        <v>341.46499999999997</v>
      </c>
      <c r="E28" s="94">
        <f t="shared" si="1"/>
        <v>200</v>
      </c>
      <c r="F28" s="306">
        <v>414.50749999999999</v>
      </c>
      <c r="G28" s="84">
        <v>2</v>
      </c>
      <c r="H28" s="307">
        <f t="shared" si="2"/>
        <v>829.01499999999999</v>
      </c>
      <c r="I28" s="84">
        <f t="shared" si="0"/>
        <v>5</v>
      </c>
      <c r="J28" s="84">
        <f t="shared" si="3"/>
        <v>1000</v>
      </c>
      <c r="K28" s="84">
        <f t="shared" si="10"/>
        <v>170.98500000000001</v>
      </c>
      <c r="L28" s="91" t="s">
        <v>402</v>
      </c>
      <c r="M28" s="93">
        <v>849.47500000000002</v>
      </c>
      <c r="N28" s="92">
        <f t="shared" si="5"/>
        <v>150</v>
      </c>
      <c r="O28" s="91">
        <f t="shared" si="6"/>
        <v>750</v>
      </c>
      <c r="P28" s="327">
        <f t="shared" si="11"/>
        <v>-79.014999999999986</v>
      </c>
      <c r="Q28" s="317"/>
      <c r="R28" s="125"/>
      <c r="T28" s="60" t="s">
        <v>85</v>
      </c>
      <c r="U28" s="350">
        <v>0</v>
      </c>
      <c r="V28" s="350">
        <v>1</v>
      </c>
      <c r="W28" s="350">
        <v>0</v>
      </c>
      <c r="X28" s="350">
        <v>0</v>
      </c>
      <c r="Y28" s="352">
        <v>0</v>
      </c>
      <c r="Z28" s="60">
        <f t="shared" ref="Z28:Z38" si="12">SUM(U28:Y28)</f>
        <v>1</v>
      </c>
    </row>
    <row r="29" spans="1:30" ht="14.25" customHeight="1" x14ac:dyDescent="0.2">
      <c r="A29" s="464"/>
      <c r="B29" s="63" t="s">
        <v>401</v>
      </c>
      <c r="C29" s="116" t="s">
        <v>386</v>
      </c>
      <c r="D29" s="95">
        <v>894.93</v>
      </c>
      <c r="E29" s="94">
        <f t="shared" si="1"/>
        <v>150</v>
      </c>
      <c r="F29" s="306">
        <v>185.4342</v>
      </c>
      <c r="G29" s="94">
        <v>2</v>
      </c>
      <c r="H29" s="306">
        <f t="shared" si="2"/>
        <v>370.86840000000001</v>
      </c>
      <c r="I29" s="94">
        <f t="shared" si="0"/>
        <v>3</v>
      </c>
      <c r="J29" s="94">
        <f t="shared" si="3"/>
        <v>450</v>
      </c>
      <c r="K29" s="94">
        <f t="shared" si="10"/>
        <v>79.131599999999992</v>
      </c>
      <c r="L29" s="91" t="s">
        <v>385</v>
      </c>
      <c r="M29" s="93">
        <v>975.03499999999997</v>
      </c>
      <c r="N29" s="92">
        <f t="shared" si="5"/>
        <v>150</v>
      </c>
      <c r="O29" s="91">
        <f t="shared" si="6"/>
        <v>450</v>
      </c>
      <c r="P29" s="327">
        <f t="shared" si="11"/>
        <v>79.131599999999992</v>
      </c>
      <c r="Q29" s="322" t="s">
        <v>395</v>
      </c>
      <c r="R29" s="143">
        <v>40</v>
      </c>
      <c r="T29" s="60" t="s">
        <v>86</v>
      </c>
      <c r="U29" s="350">
        <v>0</v>
      </c>
      <c r="V29" s="350">
        <v>0</v>
      </c>
      <c r="W29" s="350">
        <v>0</v>
      </c>
      <c r="X29" s="350">
        <v>0</v>
      </c>
      <c r="Y29" s="352">
        <v>0</v>
      </c>
      <c r="Z29" s="60">
        <f t="shared" si="12"/>
        <v>0</v>
      </c>
    </row>
    <row r="30" spans="1:30" ht="14.25" customHeight="1" x14ac:dyDescent="0.2">
      <c r="A30" s="464"/>
      <c r="B30" s="97" t="s">
        <v>400</v>
      </c>
      <c r="C30" s="96" t="s">
        <v>378</v>
      </c>
      <c r="D30" s="110">
        <v>839.23</v>
      </c>
      <c r="E30" s="94">
        <f t="shared" si="1"/>
        <v>150</v>
      </c>
      <c r="F30" s="311">
        <v>213.84829999999999</v>
      </c>
      <c r="G30" s="94">
        <v>2</v>
      </c>
      <c r="H30" s="306">
        <f t="shared" si="2"/>
        <v>427.69659999999999</v>
      </c>
      <c r="I30" s="94">
        <f t="shared" si="0"/>
        <v>4</v>
      </c>
      <c r="J30" s="94">
        <f t="shared" si="3"/>
        <v>600</v>
      </c>
      <c r="K30" s="94">
        <f t="shared" si="10"/>
        <v>172.30340000000001</v>
      </c>
      <c r="L30" s="102" t="s">
        <v>399</v>
      </c>
      <c r="M30" s="108">
        <v>1347.24</v>
      </c>
      <c r="N30" s="92">
        <f t="shared" si="5"/>
        <v>100</v>
      </c>
      <c r="O30" s="91">
        <f t="shared" si="6"/>
        <v>400</v>
      </c>
      <c r="P30" s="327">
        <f t="shared" si="11"/>
        <v>-27.696599999999989</v>
      </c>
      <c r="Q30" s="318" t="s">
        <v>401</v>
      </c>
      <c r="R30" s="146">
        <v>123</v>
      </c>
      <c r="T30" s="60" t="s">
        <v>87</v>
      </c>
      <c r="U30" s="350">
        <v>2</v>
      </c>
      <c r="V30" s="350">
        <v>1</v>
      </c>
      <c r="W30" s="350">
        <v>0</v>
      </c>
      <c r="X30" s="350">
        <v>0</v>
      </c>
      <c r="Y30" s="352">
        <v>0</v>
      </c>
      <c r="Z30" s="60">
        <f t="shared" si="12"/>
        <v>3</v>
      </c>
      <c r="AA30" s="433"/>
      <c r="AB30" s="459"/>
      <c r="AC30" s="459"/>
    </row>
    <row r="31" spans="1:30" ht="14.25" customHeight="1" x14ac:dyDescent="0.2">
      <c r="A31" s="464"/>
      <c r="B31" s="97" t="s">
        <v>398</v>
      </c>
      <c r="C31" s="96" t="s">
        <v>52</v>
      </c>
      <c r="D31" s="95">
        <v>428.91</v>
      </c>
      <c r="E31" s="94">
        <f t="shared" si="1"/>
        <v>200</v>
      </c>
      <c r="F31" s="306">
        <v>320.7817</v>
      </c>
      <c r="G31" s="94">
        <v>2</v>
      </c>
      <c r="H31" s="306">
        <f t="shared" si="2"/>
        <v>641.5634</v>
      </c>
      <c r="I31" s="94">
        <f t="shared" si="0"/>
        <v>4</v>
      </c>
      <c r="J31" s="94">
        <f t="shared" si="3"/>
        <v>800</v>
      </c>
      <c r="K31" s="94">
        <f t="shared" si="10"/>
        <v>158.4366</v>
      </c>
      <c r="L31" s="91" t="s">
        <v>397</v>
      </c>
      <c r="M31" s="93">
        <v>762.03</v>
      </c>
      <c r="N31" s="92">
        <f t="shared" si="5"/>
        <v>150</v>
      </c>
      <c r="O31" s="91">
        <f t="shared" si="6"/>
        <v>600</v>
      </c>
      <c r="P31" s="327">
        <f t="shared" si="11"/>
        <v>-41.563400000000001</v>
      </c>
      <c r="Q31" s="322" t="s">
        <v>469</v>
      </c>
      <c r="R31" s="143">
        <v>9</v>
      </c>
      <c r="T31" s="60" t="s">
        <v>88</v>
      </c>
      <c r="U31" s="350">
        <v>1</v>
      </c>
      <c r="V31" s="350">
        <v>0</v>
      </c>
      <c r="W31" s="350">
        <v>0</v>
      </c>
      <c r="X31" s="350">
        <v>0</v>
      </c>
      <c r="Y31" s="352">
        <v>0</v>
      </c>
      <c r="Z31" s="60">
        <f t="shared" si="12"/>
        <v>1</v>
      </c>
      <c r="AA31" s="432"/>
      <c r="AB31" s="457" t="s">
        <v>534</v>
      </c>
      <c r="AC31" s="457" t="s">
        <v>535</v>
      </c>
      <c r="AD31" s="355" t="s">
        <v>536</v>
      </c>
    </row>
    <row r="32" spans="1:30" ht="14.25" customHeight="1" thickBot="1" x14ac:dyDescent="0.25">
      <c r="A32" s="464"/>
      <c r="B32" s="97" t="s">
        <v>395</v>
      </c>
      <c r="C32" s="96" t="s">
        <v>56</v>
      </c>
      <c r="D32" s="95">
        <v>268.91000000000003</v>
      </c>
      <c r="E32" s="94">
        <f t="shared" si="1"/>
        <v>250</v>
      </c>
      <c r="F32" s="306">
        <v>277.57420000000002</v>
      </c>
      <c r="G32" s="73">
        <v>2</v>
      </c>
      <c r="H32" s="309">
        <f t="shared" si="2"/>
        <v>555.14840000000004</v>
      </c>
      <c r="I32" s="73">
        <f t="shared" si="0"/>
        <v>3</v>
      </c>
      <c r="J32" s="73">
        <f t="shared" si="3"/>
        <v>750</v>
      </c>
      <c r="K32" s="73">
        <f t="shared" si="10"/>
        <v>194.85159999999996</v>
      </c>
      <c r="L32" s="91" t="s">
        <v>394</v>
      </c>
      <c r="M32" s="93">
        <v>922.03</v>
      </c>
      <c r="N32" s="92">
        <f t="shared" si="5"/>
        <v>150</v>
      </c>
      <c r="O32" s="91">
        <f t="shared" si="6"/>
        <v>450</v>
      </c>
      <c r="P32" s="327">
        <f t="shared" si="11"/>
        <v>-105.14840000000004</v>
      </c>
      <c r="Q32" s="319" t="s">
        <v>343</v>
      </c>
      <c r="R32" s="120">
        <v>41</v>
      </c>
      <c r="T32" s="60" t="s">
        <v>89</v>
      </c>
      <c r="U32" s="350">
        <v>0</v>
      </c>
      <c r="V32" s="350">
        <v>0</v>
      </c>
      <c r="W32" s="350">
        <v>0</v>
      </c>
      <c r="X32" s="350">
        <v>0</v>
      </c>
      <c r="Y32" s="352">
        <v>0</v>
      </c>
      <c r="Z32" s="60">
        <f t="shared" si="12"/>
        <v>0</v>
      </c>
      <c r="AA32" s="432"/>
      <c r="AB32" s="61" t="s">
        <v>529</v>
      </c>
      <c r="AC32" s="61">
        <v>100</v>
      </c>
      <c r="AD32" s="454">
        <v>15</v>
      </c>
    </row>
    <row r="33" spans="1:40" x14ac:dyDescent="0.2">
      <c r="A33" s="462" t="s">
        <v>382</v>
      </c>
      <c r="B33" s="87" t="s">
        <v>393</v>
      </c>
      <c r="C33" s="86" t="s">
        <v>392</v>
      </c>
      <c r="D33" s="85">
        <v>774.56</v>
      </c>
      <c r="E33" s="84">
        <f t="shared" si="1"/>
        <v>150</v>
      </c>
      <c r="F33" s="307">
        <v>593.39</v>
      </c>
      <c r="G33" s="94">
        <v>2</v>
      </c>
      <c r="H33" s="306">
        <f t="shared" si="2"/>
        <v>1186.78</v>
      </c>
      <c r="I33" s="94">
        <f t="shared" si="0"/>
        <v>10</v>
      </c>
      <c r="J33" s="94">
        <f t="shared" si="3"/>
        <v>1500</v>
      </c>
      <c r="K33" s="94">
        <f t="shared" si="10"/>
        <v>313.22000000000003</v>
      </c>
      <c r="L33" s="101" t="s">
        <v>391</v>
      </c>
      <c r="M33" s="83">
        <v>778.62</v>
      </c>
      <c r="N33" s="82">
        <f t="shared" si="5"/>
        <v>150</v>
      </c>
      <c r="O33" s="101">
        <f t="shared" si="6"/>
        <v>1500</v>
      </c>
      <c r="P33" s="197">
        <f t="shared" si="11"/>
        <v>313.22000000000003</v>
      </c>
      <c r="Q33" s="487"/>
      <c r="R33" s="478"/>
      <c r="T33" s="60" t="s">
        <v>90</v>
      </c>
      <c r="U33" s="350">
        <v>1</v>
      </c>
      <c r="V33" s="350">
        <v>0</v>
      </c>
      <c r="W33" s="350">
        <v>0</v>
      </c>
      <c r="X33" s="350">
        <v>0</v>
      </c>
      <c r="Y33" s="352">
        <v>0</v>
      </c>
      <c r="Z33" s="60">
        <f t="shared" si="12"/>
        <v>1</v>
      </c>
      <c r="AA33" s="433"/>
      <c r="AB33" s="356" t="s">
        <v>530</v>
      </c>
      <c r="AC33" s="356">
        <v>150</v>
      </c>
      <c r="AD33" s="455">
        <v>16.3689</v>
      </c>
    </row>
    <row r="34" spans="1:40" ht="14.25" customHeight="1" x14ac:dyDescent="0.2">
      <c r="A34" s="464"/>
      <c r="B34" s="97" t="s">
        <v>387</v>
      </c>
      <c r="C34" s="96" t="s">
        <v>386</v>
      </c>
      <c r="D34" s="110">
        <v>894.93</v>
      </c>
      <c r="E34" s="94">
        <f t="shared" si="1"/>
        <v>150</v>
      </c>
      <c r="F34" s="311">
        <v>185.4342</v>
      </c>
      <c r="G34" s="94">
        <v>2</v>
      </c>
      <c r="H34" s="306">
        <f t="shared" si="2"/>
        <v>370.86840000000001</v>
      </c>
      <c r="I34" s="94">
        <f t="shared" si="0"/>
        <v>3</v>
      </c>
      <c r="J34" s="94">
        <f t="shared" si="3"/>
        <v>450</v>
      </c>
      <c r="K34" s="94">
        <f t="shared" si="10"/>
        <v>79.131599999999992</v>
      </c>
      <c r="L34" s="102" t="s">
        <v>385</v>
      </c>
      <c r="M34" s="108">
        <v>975.03499999999997</v>
      </c>
      <c r="N34" s="92">
        <f t="shared" si="5"/>
        <v>150</v>
      </c>
      <c r="O34" s="91">
        <f t="shared" si="6"/>
        <v>450</v>
      </c>
      <c r="P34" s="327">
        <f t="shared" si="11"/>
        <v>79.131599999999992</v>
      </c>
      <c r="Q34" s="488"/>
      <c r="R34" s="489"/>
      <c r="T34" s="60" t="s">
        <v>91</v>
      </c>
      <c r="U34" s="350">
        <v>2</v>
      </c>
      <c r="V34" s="350">
        <v>1</v>
      </c>
      <c r="W34" s="352">
        <v>0</v>
      </c>
      <c r="X34" s="352">
        <v>0</v>
      </c>
      <c r="Y34" s="352">
        <v>0</v>
      </c>
      <c r="Z34" s="60">
        <f t="shared" si="12"/>
        <v>3</v>
      </c>
      <c r="AA34" s="433"/>
      <c r="AB34" s="356" t="s">
        <v>531</v>
      </c>
      <c r="AC34" s="356">
        <v>200</v>
      </c>
      <c r="AD34" s="455">
        <v>16.746700000000001</v>
      </c>
    </row>
    <row r="35" spans="1:40" ht="14.25" customHeight="1" thickBot="1" x14ac:dyDescent="0.25">
      <c r="A35" s="464"/>
      <c r="B35" s="97" t="s">
        <v>383</v>
      </c>
      <c r="C35" s="96" t="s">
        <v>382</v>
      </c>
      <c r="D35" s="95">
        <v>553.46500000000003</v>
      </c>
      <c r="E35" s="73">
        <f t="shared" si="1"/>
        <v>150</v>
      </c>
      <c r="F35" s="306">
        <v>491.47570000000002</v>
      </c>
      <c r="G35" s="94">
        <v>2</v>
      </c>
      <c r="H35" s="306">
        <f t="shared" si="2"/>
        <v>982.95140000000004</v>
      </c>
      <c r="I35" s="94">
        <f t="shared" si="0"/>
        <v>8</v>
      </c>
      <c r="J35" s="94">
        <f t="shared" si="3"/>
        <v>1200</v>
      </c>
      <c r="K35" s="94">
        <f t="shared" si="10"/>
        <v>217.04859999999996</v>
      </c>
      <c r="L35" s="91" t="s">
        <v>381</v>
      </c>
      <c r="M35" s="93">
        <v>660.12</v>
      </c>
      <c r="N35" s="121">
        <f t="shared" si="5"/>
        <v>150</v>
      </c>
      <c r="O35" s="70">
        <f t="shared" si="6"/>
        <v>1200</v>
      </c>
      <c r="P35" s="326">
        <f t="shared" si="11"/>
        <v>217.04859999999996</v>
      </c>
      <c r="Q35" s="488"/>
      <c r="R35" s="489"/>
      <c r="T35" s="60" t="s">
        <v>92</v>
      </c>
      <c r="U35" s="352">
        <v>1</v>
      </c>
      <c r="V35" s="352">
        <v>0</v>
      </c>
      <c r="W35" s="352">
        <v>0</v>
      </c>
      <c r="X35" s="352">
        <v>0</v>
      </c>
      <c r="Y35" s="352">
        <v>0</v>
      </c>
      <c r="Z35" s="60">
        <f t="shared" si="12"/>
        <v>1</v>
      </c>
      <c r="AA35" s="433"/>
      <c r="AB35" s="356" t="s">
        <v>532</v>
      </c>
      <c r="AC35" s="356">
        <v>250</v>
      </c>
      <c r="AD35" s="455">
        <v>16.886600000000001</v>
      </c>
    </row>
    <row r="36" spans="1:40" x14ac:dyDescent="0.2">
      <c r="A36" s="462" t="s">
        <v>375</v>
      </c>
      <c r="B36" s="87" t="s">
        <v>379</v>
      </c>
      <c r="C36" s="86" t="s">
        <v>378</v>
      </c>
      <c r="D36" s="85">
        <v>839.23</v>
      </c>
      <c r="E36" s="94">
        <f t="shared" si="1"/>
        <v>150</v>
      </c>
      <c r="F36" s="307">
        <v>213.84829999999999</v>
      </c>
      <c r="G36" s="84">
        <v>2</v>
      </c>
      <c r="H36" s="307">
        <f t="shared" si="2"/>
        <v>427.69659999999999</v>
      </c>
      <c r="I36" s="84">
        <f t="shared" si="0"/>
        <v>4</v>
      </c>
      <c r="J36" s="84">
        <f t="shared" si="3"/>
        <v>600</v>
      </c>
      <c r="K36" s="84">
        <f t="shared" si="10"/>
        <v>172.30340000000001</v>
      </c>
      <c r="L36" s="101" t="s">
        <v>377</v>
      </c>
      <c r="M36" s="83">
        <v>844.89</v>
      </c>
      <c r="N36" s="92">
        <f t="shared" si="5"/>
        <v>150</v>
      </c>
      <c r="O36" s="91">
        <f t="shared" si="6"/>
        <v>600</v>
      </c>
      <c r="P36" s="327">
        <f t="shared" si="11"/>
        <v>172.30340000000001</v>
      </c>
      <c r="Q36" s="487"/>
      <c r="R36" s="478"/>
      <c r="T36" s="60" t="s">
        <v>93</v>
      </c>
      <c r="U36" s="352">
        <v>2</v>
      </c>
      <c r="V36" s="350">
        <v>0</v>
      </c>
      <c r="W36" s="352">
        <v>0</v>
      </c>
      <c r="X36" s="352">
        <v>0</v>
      </c>
      <c r="Y36" s="352">
        <v>0</v>
      </c>
      <c r="Z36" s="60">
        <f t="shared" si="12"/>
        <v>2</v>
      </c>
      <c r="AA36" s="18"/>
      <c r="AB36" s="357" t="s">
        <v>582</v>
      </c>
      <c r="AC36" s="357">
        <v>300</v>
      </c>
      <c r="AD36" s="456">
        <v>17</v>
      </c>
    </row>
    <row r="37" spans="1:40" ht="14.25" customHeight="1" thickBot="1" x14ac:dyDescent="0.25">
      <c r="A37" s="464"/>
      <c r="B37" s="97" t="s">
        <v>376</v>
      </c>
      <c r="C37" s="96" t="s">
        <v>375</v>
      </c>
      <c r="D37" s="95">
        <v>497.76499999999999</v>
      </c>
      <c r="E37" s="94">
        <f t="shared" si="1"/>
        <v>200</v>
      </c>
      <c r="F37" s="306">
        <v>1151.328</v>
      </c>
      <c r="G37" s="73">
        <v>2</v>
      </c>
      <c r="H37" s="309">
        <f t="shared" si="2"/>
        <v>2302.6559999999999</v>
      </c>
      <c r="I37" s="73">
        <f t="shared" si="0"/>
        <v>14</v>
      </c>
      <c r="J37" s="73">
        <f t="shared" si="3"/>
        <v>2800</v>
      </c>
      <c r="K37" s="73">
        <f t="shared" si="10"/>
        <v>497.34400000000005</v>
      </c>
      <c r="L37" s="91" t="s">
        <v>374</v>
      </c>
      <c r="M37" s="93">
        <v>503.42500000000001</v>
      </c>
      <c r="N37" s="92">
        <f t="shared" si="5"/>
        <v>200</v>
      </c>
      <c r="O37" s="91">
        <f t="shared" si="6"/>
        <v>2800</v>
      </c>
      <c r="P37" s="327">
        <f t="shared" si="11"/>
        <v>497.34400000000005</v>
      </c>
      <c r="Q37" s="490"/>
      <c r="R37" s="479"/>
      <c r="T37" s="60" t="s">
        <v>94</v>
      </c>
      <c r="U37" s="352">
        <v>2</v>
      </c>
      <c r="V37" s="350">
        <v>1</v>
      </c>
      <c r="W37" s="352">
        <v>0</v>
      </c>
      <c r="X37" s="352">
        <v>0</v>
      </c>
      <c r="Y37" s="352">
        <v>0</v>
      </c>
      <c r="Z37" s="60">
        <f t="shared" si="12"/>
        <v>3</v>
      </c>
      <c r="AA37" s="433"/>
    </row>
    <row r="38" spans="1:40" ht="13.5" thickBot="1" x14ac:dyDescent="0.25">
      <c r="A38" s="428" t="s">
        <v>372</v>
      </c>
      <c r="B38" s="87" t="s">
        <v>373</v>
      </c>
      <c r="C38" s="86" t="s">
        <v>372</v>
      </c>
      <c r="D38" s="85">
        <v>285.27999999999997</v>
      </c>
      <c r="E38" s="178">
        <f t="shared" si="1"/>
        <v>250</v>
      </c>
      <c r="F38" s="307">
        <v>779.52329999999995</v>
      </c>
      <c r="G38" s="94">
        <v>2</v>
      </c>
      <c r="H38" s="306">
        <f t="shared" si="2"/>
        <v>1559.0465999999999</v>
      </c>
      <c r="I38" s="94">
        <f t="shared" si="0"/>
        <v>8</v>
      </c>
      <c r="J38" s="94">
        <f t="shared" si="3"/>
        <v>2000</v>
      </c>
      <c r="K38" s="94">
        <f t="shared" si="10"/>
        <v>440.9534000000001</v>
      </c>
      <c r="L38" s="101" t="s">
        <v>371</v>
      </c>
      <c r="M38" s="83">
        <v>539.80499999999995</v>
      </c>
      <c r="N38" s="176">
        <f t="shared" si="5"/>
        <v>150</v>
      </c>
      <c r="O38" s="175">
        <f t="shared" si="6"/>
        <v>1200</v>
      </c>
      <c r="P38" s="248">
        <f t="shared" si="11"/>
        <v>-359.0465999999999</v>
      </c>
      <c r="Q38" s="322" t="s">
        <v>370</v>
      </c>
      <c r="R38" s="131">
        <v>186</v>
      </c>
      <c r="T38" s="358" t="s">
        <v>508</v>
      </c>
      <c r="U38" s="359">
        <v>1</v>
      </c>
      <c r="V38" s="359">
        <v>0</v>
      </c>
      <c r="W38" s="359">
        <v>0</v>
      </c>
      <c r="X38" s="359">
        <v>0</v>
      </c>
      <c r="Y38" s="359">
        <v>0</v>
      </c>
      <c r="Z38" s="358">
        <f t="shared" si="12"/>
        <v>1</v>
      </c>
      <c r="AA38" s="433"/>
    </row>
    <row r="39" spans="1:40" x14ac:dyDescent="0.2">
      <c r="A39" s="462" t="s">
        <v>60</v>
      </c>
      <c r="B39" s="87" t="s">
        <v>368</v>
      </c>
      <c r="C39" s="86" t="s">
        <v>367</v>
      </c>
      <c r="D39" s="85">
        <v>239.47</v>
      </c>
      <c r="E39" s="94">
        <f t="shared" si="1"/>
        <v>250</v>
      </c>
      <c r="F39" s="307">
        <v>886.15449999999998</v>
      </c>
      <c r="G39" s="84">
        <v>2</v>
      </c>
      <c r="H39" s="307">
        <f t="shared" si="2"/>
        <v>1772.309</v>
      </c>
      <c r="I39" s="84">
        <f t="shared" si="0"/>
        <v>9</v>
      </c>
      <c r="J39" s="84">
        <f t="shared" si="3"/>
        <v>2250</v>
      </c>
      <c r="K39" s="84">
        <f t="shared" si="10"/>
        <v>477.69100000000003</v>
      </c>
      <c r="L39" s="101" t="s">
        <v>366</v>
      </c>
      <c r="M39" s="83">
        <v>585.61500000000001</v>
      </c>
      <c r="N39" s="92">
        <f t="shared" si="5"/>
        <v>150</v>
      </c>
      <c r="O39" s="91">
        <f t="shared" si="6"/>
        <v>1350</v>
      </c>
      <c r="P39" s="327">
        <f t="shared" si="11"/>
        <v>-422.30899999999997</v>
      </c>
      <c r="Q39" s="317" t="s">
        <v>20</v>
      </c>
      <c r="R39" s="125">
        <v>306</v>
      </c>
      <c r="T39" s="328" t="s">
        <v>537</v>
      </c>
      <c r="U39" s="360">
        <f t="shared" ref="U39:Z39" si="13">SUM(U27:U38)</f>
        <v>12</v>
      </c>
      <c r="V39" s="360">
        <f t="shared" si="13"/>
        <v>4</v>
      </c>
      <c r="W39" s="360">
        <f t="shared" si="13"/>
        <v>0</v>
      </c>
      <c r="X39" s="360">
        <f t="shared" si="13"/>
        <v>0</v>
      </c>
      <c r="Y39" s="360">
        <f t="shared" si="13"/>
        <v>0</v>
      </c>
      <c r="Z39" s="361">
        <f t="shared" si="13"/>
        <v>16</v>
      </c>
      <c r="AA39" s="429"/>
      <c r="AB39" s="491" t="s">
        <v>593</v>
      </c>
      <c r="AC39" s="492"/>
      <c r="AD39" s="492"/>
      <c r="AE39" s="492"/>
      <c r="AF39" s="492"/>
      <c r="AG39" s="493"/>
      <c r="AH39" s="161"/>
    </row>
    <row r="40" spans="1:40" ht="14.25" customHeight="1" thickBot="1" x14ac:dyDescent="0.25">
      <c r="A40" s="463"/>
      <c r="B40" s="76" t="s">
        <v>364</v>
      </c>
      <c r="C40" s="75" t="s">
        <v>61</v>
      </c>
      <c r="D40" s="74">
        <v>381.34</v>
      </c>
      <c r="E40" s="94">
        <f t="shared" si="1"/>
        <v>200</v>
      </c>
      <c r="F40" s="309">
        <v>233.80699999999999</v>
      </c>
      <c r="G40" s="73">
        <v>2</v>
      </c>
      <c r="H40" s="309">
        <f t="shared" si="2"/>
        <v>467.61399999999998</v>
      </c>
      <c r="I40" s="73">
        <f t="shared" si="0"/>
        <v>3</v>
      </c>
      <c r="J40" s="73">
        <f t="shared" si="3"/>
        <v>600</v>
      </c>
      <c r="K40" s="73">
        <f t="shared" si="10"/>
        <v>132.38600000000002</v>
      </c>
      <c r="L40" s="70" t="s">
        <v>328</v>
      </c>
      <c r="M40" s="72">
        <v>673.16499999999996</v>
      </c>
      <c r="N40" s="92">
        <f t="shared" si="5"/>
        <v>150</v>
      </c>
      <c r="O40" s="91">
        <f t="shared" si="6"/>
        <v>450</v>
      </c>
      <c r="P40" s="327">
        <f t="shared" si="11"/>
        <v>-17.613999999999976</v>
      </c>
      <c r="Q40" s="319" t="s">
        <v>343</v>
      </c>
      <c r="R40" s="120">
        <v>15</v>
      </c>
      <c r="T40" s="328" t="s">
        <v>536</v>
      </c>
      <c r="U40" s="362">
        <f>PRODUCT(U39,AD32)</f>
        <v>180</v>
      </c>
      <c r="V40" s="452">
        <f>PRODUCT(V39,AD33)</f>
        <v>65.4756</v>
      </c>
      <c r="W40" s="452">
        <f>PRODUCT(W39,AD34)</f>
        <v>0</v>
      </c>
      <c r="X40" s="452">
        <f>PRODUCT(X39,AD35)</f>
        <v>0</v>
      </c>
      <c r="Y40" s="452">
        <f>PRODUCT(Y39,AD36)</f>
        <v>0</v>
      </c>
      <c r="Z40" s="453">
        <f>SUM(U40:Y40)</f>
        <v>245.47559999999999</v>
      </c>
      <c r="AA40" s="429"/>
      <c r="AB40" s="346" t="s">
        <v>528</v>
      </c>
      <c r="AC40" s="348" t="s">
        <v>529</v>
      </c>
      <c r="AD40" s="348" t="s">
        <v>530</v>
      </c>
      <c r="AE40" s="348" t="s">
        <v>531</v>
      </c>
      <c r="AF40" s="348" t="s">
        <v>532</v>
      </c>
      <c r="AG40" s="349" t="s">
        <v>582</v>
      </c>
      <c r="AH40" s="328" t="s">
        <v>417</v>
      </c>
    </row>
    <row r="41" spans="1:40" x14ac:dyDescent="0.2">
      <c r="A41" s="464" t="s">
        <v>363</v>
      </c>
      <c r="B41" s="63" t="s">
        <v>362</v>
      </c>
      <c r="C41" s="116" t="s">
        <v>74</v>
      </c>
      <c r="D41" s="95">
        <v>632.29499999999996</v>
      </c>
      <c r="E41" s="84">
        <f t="shared" si="1"/>
        <v>150</v>
      </c>
      <c r="F41" s="306">
        <v>416.14780000000002</v>
      </c>
      <c r="G41" s="94">
        <v>2</v>
      </c>
      <c r="H41" s="306">
        <f t="shared" si="2"/>
        <v>832.29560000000004</v>
      </c>
      <c r="I41" s="94">
        <f t="shared" si="0"/>
        <v>7</v>
      </c>
      <c r="J41" s="94">
        <f t="shared" si="3"/>
        <v>1050</v>
      </c>
      <c r="K41" s="94">
        <f t="shared" si="10"/>
        <v>217.70439999999996</v>
      </c>
      <c r="L41" s="91" t="s">
        <v>361</v>
      </c>
      <c r="M41" s="93">
        <v>692.19500000000005</v>
      </c>
      <c r="N41" s="82">
        <f t="shared" si="5"/>
        <v>150</v>
      </c>
      <c r="O41" s="101">
        <f t="shared" si="6"/>
        <v>1050</v>
      </c>
      <c r="P41" s="197">
        <f t="shared" si="11"/>
        <v>217.70439999999996</v>
      </c>
      <c r="Q41" s="484" t="s">
        <v>351</v>
      </c>
      <c r="R41" s="471"/>
      <c r="T41" s="328" t="s">
        <v>535</v>
      </c>
      <c r="U41" s="362">
        <f>U39*AC32</f>
        <v>1200</v>
      </c>
      <c r="V41" s="362">
        <f>V39*AC33</f>
        <v>600</v>
      </c>
      <c r="W41" s="362">
        <f>W39*AC34</f>
        <v>0</v>
      </c>
      <c r="X41" s="362">
        <f>X39*AC35</f>
        <v>0</v>
      </c>
      <c r="Y41" s="362">
        <f>Y39*AC36</f>
        <v>0</v>
      </c>
      <c r="Z41" s="328">
        <f>SUM(U41:Y41)</f>
        <v>1800</v>
      </c>
      <c r="AA41" s="429"/>
      <c r="AB41" s="60" t="s">
        <v>84</v>
      </c>
      <c r="AC41" s="352">
        <f>U27+U47</f>
        <v>0</v>
      </c>
      <c r="AD41" s="352">
        <f t="shared" ref="AD41:AG52" si="14">V27+V47</f>
        <v>10</v>
      </c>
      <c r="AE41" s="352">
        <f t="shared" si="14"/>
        <v>3</v>
      </c>
      <c r="AF41" s="352">
        <f t="shared" si="14"/>
        <v>2</v>
      </c>
      <c r="AG41" s="352">
        <f t="shared" si="14"/>
        <v>0</v>
      </c>
      <c r="AH41" s="353">
        <f>SUM(AC41:AG41)</f>
        <v>15</v>
      </c>
    </row>
    <row r="42" spans="1:40" ht="14.25" customHeight="1" x14ac:dyDescent="0.2">
      <c r="A42" s="464"/>
      <c r="B42" s="97" t="s">
        <v>360</v>
      </c>
      <c r="C42" s="96" t="s">
        <v>55</v>
      </c>
      <c r="D42" s="110">
        <v>566.26</v>
      </c>
      <c r="E42" s="94">
        <f t="shared" si="1"/>
        <v>150</v>
      </c>
      <c r="F42" s="311">
        <v>424.66829999999999</v>
      </c>
      <c r="G42" s="94">
        <v>2</v>
      </c>
      <c r="H42" s="306">
        <f t="shared" si="2"/>
        <v>849.33659999999998</v>
      </c>
      <c r="I42" s="94">
        <f t="shared" si="0"/>
        <v>7</v>
      </c>
      <c r="J42" s="94">
        <f t="shared" si="3"/>
        <v>1050</v>
      </c>
      <c r="K42" s="94">
        <f t="shared" si="10"/>
        <v>200.66340000000002</v>
      </c>
      <c r="L42" s="102" t="s">
        <v>359</v>
      </c>
      <c r="M42" s="108">
        <v>1033.6600000000001</v>
      </c>
      <c r="N42" s="92">
        <f t="shared" si="5"/>
        <v>150</v>
      </c>
      <c r="O42" s="91">
        <f t="shared" si="6"/>
        <v>1050</v>
      </c>
      <c r="P42" s="327">
        <f t="shared" si="11"/>
        <v>200.66340000000002</v>
      </c>
      <c r="Q42" s="485"/>
      <c r="R42" s="475"/>
      <c r="AA42" s="429"/>
      <c r="AB42" s="60" t="s">
        <v>85</v>
      </c>
      <c r="AC42" s="352">
        <f t="shared" ref="AC42:AC52" si="15">U28+U48</f>
        <v>0</v>
      </c>
      <c r="AD42" s="352">
        <f t="shared" si="14"/>
        <v>15</v>
      </c>
      <c r="AE42" s="352">
        <f t="shared" si="14"/>
        <v>8</v>
      </c>
      <c r="AF42" s="352">
        <f t="shared" si="14"/>
        <v>0</v>
      </c>
      <c r="AG42" s="352">
        <f t="shared" si="14"/>
        <v>5</v>
      </c>
      <c r="AH42" s="60">
        <f t="shared" ref="AH42:AH52" si="16">SUM(AC42:AG42)</f>
        <v>28</v>
      </c>
    </row>
    <row r="43" spans="1:40" ht="14.25" customHeight="1" thickBot="1" x14ac:dyDescent="0.25">
      <c r="A43" s="464"/>
      <c r="B43" s="97" t="s">
        <v>358</v>
      </c>
      <c r="C43" s="96" t="s">
        <v>62</v>
      </c>
      <c r="D43" s="95">
        <v>174.54</v>
      </c>
      <c r="E43" s="73">
        <f t="shared" si="1"/>
        <v>250</v>
      </c>
      <c r="F43" s="306">
        <v>80.336669999999998</v>
      </c>
      <c r="G43" s="94">
        <v>2</v>
      </c>
      <c r="H43" s="306">
        <f t="shared" si="2"/>
        <v>160.67334</v>
      </c>
      <c r="I43" s="94">
        <f t="shared" si="0"/>
        <v>1</v>
      </c>
      <c r="J43" s="94">
        <f t="shared" si="3"/>
        <v>250</v>
      </c>
      <c r="K43" s="94">
        <f t="shared" si="10"/>
        <v>89.326660000000004</v>
      </c>
      <c r="L43" s="91" t="s">
        <v>357</v>
      </c>
      <c r="M43" s="93">
        <v>811.21</v>
      </c>
      <c r="N43" s="121">
        <f t="shared" si="5"/>
        <v>150</v>
      </c>
      <c r="O43" s="70">
        <f t="shared" si="6"/>
        <v>150</v>
      </c>
      <c r="P43" s="326">
        <f t="shared" si="11"/>
        <v>-10.673339999999996</v>
      </c>
      <c r="Q43" s="486"/>
      <c r="R43" s="473"/>
      <c r="T43" s="429"/>
      <c r="U43" s="429"/>
      <c r="V43" s="429"/>
      <c r="W43" s="429"/>
      <c r="X43" s="429"/>
      <c r="Y43" s="429"/>
      <c r="Z43" s="429"/>
      <c r="AA43" s="429"/>
      <c r="AB43" s="60" t="s">
        <v>86</v>
      </c>
      <c r="AC43" s="352">
        <f t="shared" si="15"/>
        <v>0</v>
      </c>
      <c r="AD43" s="352">
        <f t="shared" si="14"/>
        <v>0</v>
      </c>
      <c r="AE43" s="352">
        <f t="shared" si="14"/>
        <v>5</v>
      </c>
      <c r="AF43" s="352">
        <f t="shared" si="14"/>
        <v>0</v>
      </c>
      <c r="AG43" s="352">
        <f t="shared" si="14"/>
        <v>3</v>
      </c>
      <c r="AH43" s="60">
        <f t="shared" si="16"/>
        <v>8</v>
      </c>
    </row>
    <row r="44" spans="1:40" ht="13.5" thickBot="1" x14ac:dyDescent="0.25">
      <c r="A44" s="428" t="s">
        <v>355</v>
      </c>
      <c r="B44" s="87" t="s">
        <v>356</v>
      </c>
      <c r="C44" s="86" t="s">
        <v>355</v>
      </c>
      <c r="D44" s="85">
        <v>517.28</v>
      </c>
      <c r="E44" s="94">
        <f t="shared" si="1"/>
        <v>200</v>
      </c>
      <c r="F44" s="307">
        <v>67.241829999999993</v>
      </c>
      <c r="G44" s="178">
        <v>2</v>
      </c>
      <c r="H44" s="314">
        <f t="shared" si="2"/>
        <v>134.48365999999999</v>
      </c>
      <c r="I44" s="178">
        <f t="shared" si="0"/>
        <v>1</v>
      </c>
      <c r="J44" s="178">
        <f t="shared" si="3"/>
        <v>200</v>
      </c>
      <c r="K44" s="178">
        <f t="shared" si="10"/>
        <v>65.516340000000014</v>
      </c>
      <c r="L44" s="101" t="s">
        <v>354</v>
      </c>
      <c r="M44" s="83">
        <v>607.995</v>
      </c>
      <c r="N44" s="92">
        <f t="shared" si="5"/>
        <v>150</v>
      </c>
      <c r="O44" s="91">
        <f t="shared" si="6"/>
        <v>150</v>
      </c>
      <c r="P44" s="327">
        <f t="shared" si="11"/>
        <v>15.516340000000014</v>
      </c>
      <c r="Q44" s="482"/>
      <c r="R44" s="483"/>
      <c r="AA44" s="429"/>
      <c r="AB44" s="60" t="s">
        <v>87</v>
      </c>
      <c r="AC44" s="352">
        <f t="shared" si="15"/>
        <v>2</v>
      </c>
      <c r="AD44" s="352">
        <f t="shared" si="14"/>
        <v>26</v>
      </c>
      <c r="AE44" s="352">
        <f t="shared" si="14"/>
        <v>34</v>
      </c>
      <c r="AF44" s="352">
        <f t="shared" si="14"/>
        <v>20</v>
      </c>
      <c r="AG44" s="352">
        <f t="shared" si="14"/>
        <v>0</v>
      </c>
      <c r="AH44" s="60">
        <f t="shared" si="16"/>
        <v>82</v>
      </c>
    </row>
    <row r="45" spans="1:40" ht="14.25" customHeight="1" x14ac:dyDescent="0.2">
      <c r="A45" s="462" t="s">
        <v>349</v>
      </c>
      <c r="B45" s="87" t="s">
        <v>353</v>
      </c>
      <c r="C45" s="86" t="s">
        <v>342</v>
      </c>
      <c r="D45" s="85">
        <v>592.98500000000001</v>
      </c>
      <c r="E45" s="84">
        <f t="shared" si="1"/>
        <v>150</v>
      </c>
      <c r="F45" s="307">
        <v>175.91919999999999</v>
      </c>
      <c r="G45" s="94">
        <v>2</v>
      </c>
      <c r="H45" s="306">
        <f t="shared" si="2"/>
        <v>351.83839999999998</v>
      </c>
      <c r="I45" s="94">
        <f t="shared" si="0"/>
        <v>3</v>
      </c>
      <c r="J45" s="94">
        <f t="shared" si="3"/>
        <v>450</v>
      </c>
      <c r="K45" s="94">
        <f t="shared" si="10"/>
        <v>98.161600000000021</v>
      </c>
      <c r="L45" s="101" t="s">
        <v>352</v>
      </c>
      <c r="M45" s="83">
        <v>1051.23</v>
      </c>
      <c r="N45" s="82">
        <f t="shared" si="5"/>
        <v>150</v>
      </c>
      <c r="O45" s="101">
        <f t="shared" si="6"/>
        <v>450</v>
      </c>
      <c r="P45" s="197">
        <f t="shared" si="11"/>
        <v>98.161600000000021</v>
      </c>
      <c r="Q45" s="497"/>
      <c r="R45" s="500"/>
      <c r="T45" s="491" t="s">
        <v>592</v>
      </c>
      <c r="U45" s="492"/>
      <c r="V45" s="492"/>
      <c r="W45" s="492"/>
      <c r="X45" s="492"/>
      <c r="Y45" s="493"/>
      <c r="Z45" s="161"/>
      <c r="AA45" s="429"/>
      <c r="AB45" s="60" t="s">
        <v>88</v>
      </c>
      <c r="AC45" s="352">
        <f t="shared" si="15"/>
        <v>1</v>
      </c>
      <c r="AD45" s="352">
        <f t="shared" si="14"/>
        <v>0</v>
      </c>
      <c r="AE45" s="352">
        <f t="shared" si="14"/>
        <v>16</v>
      </c>
      <c r="AF45" s="352">
        <f t="shared" si="14"/>
        <v>1</v>
      </c>
      <c r="AG45" s="352">
        <f t="shared" si="14"/>
        <v>0</v>
      </c>
      <c r="AH45" s="60">
        <f t="shared" si="16"/>
        <v>18</v>
      </c>
    </row>
    <row r="46" spans="1:40" ht="14.25" customHeight="1" x14ac:dyDescent="0.2">
      <c r="A46" s="464"/>
      <c r="B46" s="97" t="s">
        <v>350</v>
      </c>
      <c r="C46" s="96" t="s">
        <v>349</v>
      </c>
      <c r="D46" s="110">
        <v>374.84</v>
      </c>
      <c r="E46" s="94">
        <f t="shared" si="1"/>
        <v>200</v>
      </c>
      <c r="F46" s="311">
        <v>115.1143</v>
      </c>
      <c r="G46" s="94">
        <v>2</v>
      </c>
      <c r="H46" s="306">
        <f t="shared" si="2"/>
        <v>230.2286</v>
      </c>
      <c r="I46" s="94">
        <f t="shared" si="0"/>
        <v>2</v>
      </c>
      <c r="J46" s="94">
        <f t="shared" si="3"/>
        <v>400</v>
      </c>
      <c r="K46" s="94">
        <f t="shared" si="10"/>
        <v>169.7714</v>
      </c>
      <c r="L46" s="102" t="s">
        <v>348</v>
      </c>
      <c r="M46" s="108">
        <v>838.745</v>
      </c>
      <c r="N46" s="92">
        <f t="shared" si="5"/>
        <v>150</v>
      </c>
      <c r="O46" s="91">
        <f t="shared" si="6"/>
        <v>300</v>
      </c>
      <c r="P46" s="327">
        <f t="shared" si="11"/>
        <v>69.7714</v>
      </c>
      <c r="Q46" s="498"/>
      <c r="R46" s="501"/>
      <c r="T46" s="346" t="s">
        <v>528</v>
      </c>
      <c r="U46" s="348" t="s">
        <v>529</v>
      </c>
      <c r="V46" s="348" t="s">
        <v>530</v>
      </c>
      <c r="W46" s="348" t="s">
        <v>531</v>
      </c>
      <c r="X46" s="348" t="s">
        <v>532</v>
      </c>
      <c r="Y46" s="349" t="s">
        <v>582</v>
      </c>
      <c r="Z46" s="328" t="s">
        <v>417</v>
      </c>
      <c r="AA46" s="429"/>
      <c r="AB46" s="60" t="s">
        <v>89</v>
      </c>
      <c r="AC46" s="352">
        <f t="shared" si="15"/>
        <v>0</v>
      </c>
      <c r="AD46" s="352">
        <f t="shared" si="14"/>
        <v>16</v>
      </c>
      <c r="AE46" s="352">
        <f t="shared" si="14"/>
        <v>1</v>
      </c>
      <c r="AF46" s="352">
        <f t="shared" si="14"/>
        <v>1</v>
      </c>
      <c r="AG46" s="352">
        <f t="shared" si="14"/>
        <v>0</v>
      </c>
      <c r="AH46" s="60">
        <f t="shared" si="16"/>
        <v>18</v>
      </c>
    </row>
    <row r="47" spans="1:40" ht="14.25" customHeight="1" x14ac:dyDescent="0.2">
      <c r="A47" s="464"/>
      <c r="B47" s="97" t="s">
        <v>347</v>
      </c>
      <c r="C47" s="96" t="s">
        <v>335</v>
      </c>
      <c r="D47" s="110">
        <v>675.17499999999995</v>
      </c>
      <c r="E47" s="94">
        <f t="shared" si="1"/>
        <v>150</v>
      </c>
      <c r="F47" s="311">
        <v>87.5685</v>
      </c>
      <c r="G47" s="94">
        <v>2</v>
      </c>
      <c r="H47" s="306">
        <f t="shared" si="2"/>
        <v>175.137</v>
      </c>
      <c r="I47" s="94">
        <f t="shared" si="0"/>
        <v>2</v>
      </c>
      <c r="J47" s="94">
        <f t="shared" si="3"/>
        <v>300</v>
      </c>
      <c r="K47" s="94">
        <f t="shared" si="10"/>
        <v>124.863</v>
      </c>
      <c r="L47" s="102" t="s">
        <v>346</v>
      </c>
      <c r="M47" s="108">
        <v>792.93499999999995</v>
      </c>
      <c r="N47" s="92">
        <f t="shared" si="5"/>
        <v>150</v>
      </c>
      <c r="O47" s="91">
        <f t="shared" si="6"/>
        <v>300</v>
      </c>
      <c r="P47" s="327">
        <f t="shared" si="11"/>
        <v>124.863</v>
      </c>
      <c r="Q47" s="498"/>
      <c r="R47" s="501"/>
      <c r="T47" s="60" t="s">
        <v>84</v>
      </c>
      <c r="U47" s="352">
        <v>0</v>
      </c>
      <c r="V47" s="352">
        <f>10</f>
        <v>10</v>
      </c>
      <c r="W47" s="450">
        <f>2+1</f>
        <v>3</v>
      </c>
      <c r="X47" s="450">
        <f>2</f>
        <v>2</v>
      </c>
      <c r="Y47" s="352">
        <v>0</v>
      </c>
      <c r="Z47" s="353">
        <f>SUM(U47:Y47)</f>
        <v>15</v>
      </c>
      <c r="AA47" s="429"/>
      <c r="AB47" s="60" t="s">
        <v>90</v>
      </c>
      <c r="AC47" s="352">
        <f t="shared" si="15"/>
        <v>1</v>
      </c>
      <c r="AD47" s="352">
        <f t="shared" si="14"/>
        <v>0</v>
      </c>
      <c r="AE47" s="352">
        <f t="shared" si="14"/>
        <v>1</v>
      </c>
      <c r="AF47" s="352">
        <f t="shared" si="14"/>
        <v>3</v>
      </c>
      <c r="AG47" s="352">
        <f t="shared" si="14"/>
        <v>2</v>
      </c>
      <c r="AH47" s="60">
        <f t="shared" si="16"/>
        <v>7</v>
      </c>
    </row>
    <row r="48" spans="1:40" ht="14.25" customHeight="1" thickBot="1" x14ac:dyDescent="0.25">
      <c r="A48" s="464"/>
      <c r="B48" s="97" t="s">
        <v>339</v>
      </c>
      <c r="C48" s="96" t="s">
        <v>338</v>
      </c>
      <c r="D48" s="95">
        <v>768.38499999999999</v>
      </c>
      <c r="E48" s="73">
        <f t="shared" si="1"/>
        <v>150</v>
      </c>
      <c r="F48" s="306">
        <v>46.164000000000001</v>
      </c>
      <c r="G48" s="94">
        <v>2</v>
      </c>
      <c r="H48" s="306">
        <f t="shared" si="2"/>
        <v>92.328000000000003</v>
      </c>
      <c r="I48" s="94">
        <f t="shared" si="0"/>
        <v>1</v>
      </c>
      <c r="J48" s="94">
        <f t="shared" si="3"/>
        <v>150</v>
      </c>
      <c r="K48" s="94">
        <f t="shared" si="10"/>
        <v>57.671999999999997</v>
      </c>
      <c r="L48" s="91" t="s">
        <v>345</v>
      </c>
      <c r="M48" s="93">
        <v>934.80499999999995</v>
      </c>
      <c r="N48" s="121">
        <f t="shared" si="5"/>
        <v>150</v>
      </c>
      <c r="O48" s="70">
        <f t="shared" si="6"/>
        <v>150</v>
      </c>
      <c r="P48" s="326">
        <f t="shared" si="11"/>
        <v>57.671999999999997</v>
      </c>
      <c r="Q48" s="499"/>
      <c r="R48" s="502"/>
      <c r="T48" s="60" t="s">
        <v>85</v>
      </c>
      <c r="U48" s="352">
        <v>0</v>
      </c>
      <c r="V48" s="352">
        <f>7+3+4</f>
        <v>14</v>
      </c>
      <c r="W48" s="352">
        <f>5+3</f>
        <v>8</v>
      </c>
      <c r="X48" s="352">
        <v>0</v>
      </c>
      <c r="Y48" s="352">
        <f>3+2</f>
        <v>5</v>
      </c>
      <c r="Z48" s="60">
        <f t="shared" ref="Z48:Z58" si="17">SUM(U48:Y48)</f>
        <v>27</v>
      </c>
      <c r="AA48" s="429"/>
      <c r="AB48" s="60" t="s">
        <v>91</v>
      </c>
      <c r="AC48" s="352">
        <f t="shared" si="15"/>
        <v>2</v>
      </c>
      <c r="AD48" s="352">
        <f t="shared" si="14"/>
        <v>20</v>
      </c>
      <c r="AE48" s="352">
        <f t="shared" si="14"/>
        <v>3</v>
      </c>
      <c r="AF48" s="352">
        <f t="shared" si="14"/>
        <v>2</v>
      </c>
      <c r="AG48" s="352">
        <f t="shared" si="14"/>
        <v>0</v>
      </c>
      <c r="AH48" s="60">
        <f t="shared" si="16"/>
        <v>27</v>
      </c>
      <c r="AJ48" s="431"/>
      <c r="AK48" s="431"/>
      <c r="AL48" s="429"/>
      <c r="AM48" s="431"/>
      <c r="AN48" s="431"/>
    </row>
    <row r="49" spans="1:40" x14ac:dyDescent="0.2">
      <c r="A49" s="462" t="s">
        <v>344</v>
      </c>
      <c r="B49" s="87" t="s">
        <v>343</v>
      </c>
      <c r="C49" s="86" t="s">
        <v>342</v>
      </c>
      <c r="D49" s="85">
        <v>592.98500000000001</v>
      </c>
      <c r="E49" s="94">
        <f t="shared" si="1"/>
        <v>150</v>
      </c>
      <c r="F49" s="307">
        <v>175.91919999999999</v>
      </c>
      <c r="G49" s="84">
        <v>2</v>
      </c>
      <c r="H49" s="307">
        <f t="shared" si="2"/>
        <v>351.83839999999998</v>
      </c>
      <c r="I49" s="84">
        <f t="shared" si="0"/>
        <v>3</v>
      </c>
      <c r="J49" s="84">
        <f t="shared" si="3"/>
        <v>450</v>
      </c>
      <c r="K49" s="84">
        <f t="shared" si="10"/>
        <v>98.161600000000021</v>
      </c>
      <c r="L49" s="101" t="s">
        <v>341</v>
      </c>
      <c r="M49" s="83">
        <v>992.44500000000005</v>
      </c>
      <c r="N49" s="92">
        <f t="shared" si="5"/>
        <v>150</v>
      </c>
      <c r="O49" s="91">
        <f t="shared" si="6"/>
        <v>450</v>
      </c>
      <c r="P49" s="327">
        <f t="shared" si="11"/>
        <v>98.161600000000021</v>
      </c>
      <c r="Q49" s="229"/>
      <c r="R49" s="77"/>
      <c r="T49" s="60" t="s">
        <v>86</v>
      </c>
      <c r="U49" s="352">
        <v>0</v>
      </c>
      <c r="V49" s="352">
        <v>0</v>
      </c>
      <c r="W49" s="350">
        <f>4+1</f>
        <v>5</v>
      </c>
      <c r="X49" s="352">
        <v>0</v>
      </c>
      <c r="Y49" s="352">
        <f>3</f>
        <v>3</v>
      </c>
      <c r="Z49" s="60">
        <f t="shared" si="17"/>
        <v>8</v>
      </c>
      <c r="AA49" s="429"/>
      <c r="AB49" s="60" t="s">
        <v>92</v>
      </c>
      <c r="AC49" s="352">
        <f t="shared" si="15"/>
        <v>1</v>
      </c>
      <c r="AD49" s="352">
        <f t="shared" si="14"/>
        <v>7</v>
      </c>
      <c r="AE49" s="352">
        <f t="shared" si="14"/>
        <v>16</v>
      </c>
      <c r="AF49" s="352">
        <f t="shared" si="14"/>
        <v>0</v>
      </c>
      <c r="AG49" s="352">
        <f t="shared" si="14"/>
        <v>0</v>
      </c>
      <c r="AH49" s="60">
        <f t="shared" si="16"/>
        <v>24</v>
      </c>
      <c r="AJ49" s="193"/>
      <c r="AK49" s="193"/>
      <c r="AL49" s="429"/>
      <c r="AM49" s="193"/>
      <c r="AN49" s="193"/>
    </row>
    <row r="50" spans="1:40" ht="14.25" customHeight="1" thickBot="1" x14ac:dyDescent="0.25">
      <c r="A50" s="464"/>
      <c r="B50" s="97" t="s">
        <v>339</v>
      </c>
      <c r="C50" s="96" t="s">
        <v>338</v>
      </c>
      <c r="D50" s="95">
        <v>768.38499999999999</v>
      </c>
      <c r="E50" s="94">
        <f t="shared" si="1"/>
        <v>150</v>
      </c>
      <c r="F50" s="306">
        <v>46.164000000000001</v>
      </c>
      <c r="G50" s="73">
        <v>2</v>
      </c>
      <c r="H50" s="309">
        <f t="shared" si="2"/>
        <v>92.328000000000003</v>
      </c>
      <c r="I50" s="73">
        <f t="shared" si="0"/>
        <v>1</v>
      </c>
      <c r="J50" s="73">
        <f t="shared" si="3"/>
        <v>150</v>
      </c>
      <c r="K50" s="73">
        <f t="shared" si="10"/>
        <v>57.671999999999997</v>
      </c>
      <c r="L50" s="91" t="s">
        <v>337</v>
      </c>
      <c r="M50" s="93">
        <v>817.04499999999996</v>
      </c>
      <c r="N50" s="92">
        <f t="shared" si="5"/>
        <v>150</v>
      </c>
      <c r="O50" s="91">
        <f t="shared" si="6"/>
        <v>150</v>
      </c>
      <c r="P50" s="327">
        <f t="shared" si="11"/>
        <v>57.671999999999997</v>
      </c>
      <c r="Q50" s="429"/>
      <c r="R50" s="88"/>
      <c r="T50" s="60" t="s">
        <v>87</v>
      </c>
      <c r="U50" s="352">
        <v>0</v>
      </c>
      <c r="V50" s="451">
        <f>10+7+8</f>
        <v>25</v>
      </c>
      <c r="W50" s="352">
        <f>5+4+8+14+3</f>
        <v>34</v>
      </c>
      <c r="X50" s="352">
        <f>3+8+9</f>
        <v>20</v>
      </c>
      <c r="Y50" s="352">
        <v>0</v>
      </c>
      <c r="Z50" s="60">
        <f t="shared" si="17"/>
        <v>79</v>
      </c>
      <c r="AA50" s="429"/>
      <c r="AB50" s="60" t="s">
        <v>93</v>
      </c>
      <c r="AC50" s="352">
        <f t="shared" si="15"/>
        <v>2</v>
      </c>
      <c r="AD50" s="352">
        <f t="shared" si="14"/>
        <v>0</v>
      </c>
      <c r="AE50" s="352">
        <f t="shared" si="14"/>
        <v>3</v>
      </c>
      <c r="AF50" s="352">
        <f t="shared" si="14"/>
        <v>8</v>
      </c>
      <c r="AG50" s="352">
        <f t="shared" si="14"/>
        <v>0</v>
      </c>
      <c r="AH50" s="60">
        <f t="shared" si="16"/>
        <v>13</v>
      </c>
      <c r="AJ50" s="431"/>
      <c r="AK50" s="431"/>
      <c r="AL50" s="431"/>
      <c r="AM50" s="431"/>
      <c r="AN50" s="431"/>
    </row>
    <row r="51" spans="1:40" x14ac:dyDescent="0.2">
      <c r="A51" s="462" t="s">
        <v>340</v>
      </c>
      <c r="B51" s="87" t="s">
        <v>339</v>
      </c>
      <c r="C51" s="86" t="s">
        <v>338</v>
      </c>
      <c r="D51" s="85">
        <v>768.38499999999999</v>
      </c>
      <c r="E51" s="84">
        <f t="shared" si="1"/>
        <v>150</v>
      </c>
      <c r="F51" s="307">
        <v>46.164000000000001</v>
      </c>
      <c r="G51" s="94">
        <v>2</v>
      </c>
      <c r="H51" s="306">
        <f t="shared" si="2"/>
        <v>92.328000000000003</v>
      </c>
      <c r="I51" s="94">
        <f t="shared" si="0"/>
        <v>1</v>
      </c>
      <c r="J51" s="94">
        <f t="shared" si="3"/>
        <v>150</v>
      </c>
      <c r="K51" s="94">
        <f t="shared" si="10"/>
        <v>57.671999999999997</v>
      </c>
      <c r="L51" s="101" t="s">
        <v>337</v>
      </c>
      <c r="M51" s="83">
        <v>817.04499999999996</v>
      </c>
      <c r="N51" s="82">
        <f t="shared" si="5"/>
        <v>150</v>
      </c>
      <c r="O51" s="101">
        <f t="shared" si="6"/>
        <v>150</v>
      </c>
      <c r="P51" s="197">
        <f t="shared" si="11"/>
        <v>57.671999999999997</v>
      </c>
      <c r="Q51" s="429"/>
      <c r="R51" s="88"/>
      <c r="T51" s="60" t="s">
        <v>88</v>
      </c>
      <c r="U51" s="352">
        <v>0</v>
      </c>
      <c r="V51" s="352">
        <v>0</v>
      </c>
      <c r="W51" s="352">
        <f>2+3+1+8+1+1</f>
        <v>16</v>
      </c>
      <c r="X51" s="352">
        <f>1</f>
        <v>1</v>
      </c>
      <c r="Y51" s="352">
        <v>0</v>
      </c>
      <c r="Z51" s="60">
        <f t="shared" si="17"/>
        <v>17</v>
      </c>
      <c r="AA51" s="429"/>
      <c r="AB51" s="60" t="s">
        <v>94</v>
      </c>
      <c r="AC51" s="352">
        <f t="shared" si="15"/>
        <v>2</v>
      </c>
      <c r="AD51" s="352">
        <f t="shared" si="14"/>
        <v>3</v>
      </c>
      <c r="AE51" s="352">
        <f t="shared" si="14"/>
        <v>3</v>
      </c>
      <c r="AF51" s="352">
        <f t="shared" si="14"/>
        <v>9</v>
      </c>
      <c r="AG51" s="352">
        <f t="shared" si="14"/>
        <v>0</v>
      </c>
      <c r="AH51" s="60">
        <f t="shared" si="16"/>
        <v>17</v>
      </c>
      <c r="AJ51" s="345"/>
      <c r="AK51" s="345"/>
      <c r="AL51" s="431"/>
      <c r="AM51" s="345"/>
      <c r="AN51" s="345"/>
    </row>
    <row r="52" spans="1:40" ht="14.25" customHeight="1" thickBot="1" x14ac:dyDescent="0.25">
      <c r="A52" s="464"/>
      <c r="B52" s="97" t="s">
        <v>30</v>
      </c>
      <c r="C52" s="96" t="s">
        <v>326</v>
      </c>
      <c r="D52" s="95">
        <v>317.27</v>
      </c>
      <c r="E52" s="73">
        <f t="shared" si="1"/>
        <v>200</v>
      </c>
      <c r="F52" s="306">
        <v>136.87530000000001</v>
      </c>
      <c r="G52" s="94">
        <v>2</v>
      </c>
      <c r="H52" s="306">
        <f t="shared" si="2"/>
        <v>273.75060000000002</v>
      </c>
      <c r="I52" s="94">
        <f t="shared" si="0"/>
        <v>2</v>
      </c>
      <c r="J52" s="94">
        <f t="shared" si="3"/>
        <v>400</v>
      </c>
      <c r="K52" s="94">
        <f t="shared" si="10"/>
        <v>126.24939999999998</v>
      </c>
      <c r="L52" s="91" t="s">
        <v>325</v>
      </c>
      <c r="M52" s="93">
        <v>518.48</v>
      </c>
      <c r="N52" s="121">
        <f t="shared" si="5"/>
        <v>200</v>
      </c>
      <c r="O52" s="70">
        <f t="shared" si="6"/>
        <v>400</v>
      </c>
      <c r="P52" s="326">
        <f t="shared" si="11"/>
        <v>126.24939999999998</v>
      </c>
      <c r="Q52" s="431"/>
      <c r="R52" s="100"/>
      <c r="T52" s="60" t="s">
        <v>89</v>
      </c>
      <c r="U52" s="352">
        <v>0</v>
      </c>
      <c r="V52" s="352">
        <f>7+7+2</f>
        <v>16</v>
      </c>
      <c r="W52" s="352">
        <f>1</f>
        <v>1</v>
      </c>
      <c r="X52" s="352">
        <f>1</f>
        <v>1</v>
      </c>
      <c r="Y52" s="352">
        <v>0</v>
      </c>
      <c r="Z52" s="60">
        <f t="shared" si="17"/>
        <v>18</v>
      </c>
      <c r="AA52" s="429"/>
      <c r="AB52" s="358" t="s">
        <v>508</v>
      </c>
      <c r="AC52" s="352">
        <f t="shared" si="15"/>
        <v>1</v>
      </c>
      <c r="AD52" s="352">
        <f t="shared" si="14"/>
        <v>1</v>
      </c>
      <c r="AE52" s="352">
        <f t="shared" si="14"/>
        <v>3</v>
      </c>
      <c r="AF52" s="352">
        <f t="shared" si="14"/>
        <v>0</v>
      </c>
      <c r="AG52" s="352">
        <f t="shared" si="14"/>
        <v>0</v>
      </c>
      <c r="AH52" s="358">
        <f t="shared" si="16"/>
        <v>5</v>
      </c>
      <c r="AJ52" s="431"/>
      <c r="AK52" s="431"/>
      <c r="AL52" s="431"/>
      <c r="AM52" s="431"/>
      <c r="AN52" s="431"/>
    </row>
    <row r="53" spans="1:40" x14ac:dyDescent="0.2">
      <c r="A53" s="462" t="s">
        <v>336</v>
      </c>
      <c r="B53" s="87" t="s">
        <v>28</v>
      </c>
      <c r="C53" s="86" t="s">
        <v>335</v>
      </c>
      <c r="D53" s="85">
        <v>675.17499999999995</v>
      </c>
      <c r="E53" s="94">
        <f t="shared" si="1"/>
        <v>150</v>
      </c>
      <c r="F53" s="307">
        <v>87.5685</v>
      </c>
      <c r="G53" s="84">
        <v>2</v>
      </c>
      <c r="H53" s="307">
        <f t="shared" si="2"/>
        <v>175.137</v>
      </c>
      <c r="I53" s="84">
        <f t="shared" si="0"/>
        <v>2</v>
      </c>
      <c r="J53" s="84">
        <f t="shared" si="3"/>
        <v>300</v>
      </c>
      <c r="K53" s="84">
        <f t="shared" si="10"/>
        <v>124.863</v>
      </c>
      <c r="L53" s="101" t="s">
        <v>334</v>
      </c>
      <c r="M53" s="83">
        <v>792.93499999999995</v>
      </c>
      <c r="N53" s="92">
        <f t="shared" si="5"/>
        <v>150</v>
      </c>
      <c r="O53" s="91">
        <f t="shared" si="6"/>
        <v>300</v>
      </c>
      <c r="P53" s="327">
        <f t="shared" si="11"/>
        <v>124.863</v>
      </c>
      <c r="Q53" s="431"/>
      <c r="R53" s="100"/>
      <c r="T53" s="60" t="s">
        <v>90</v>
      </c>
      <c r="U53" s="352">
        <v>0</v>
      </c>
      <c r="V53" s="350">
        <v>0</v>
      </c>
      <c r="W53" s="350">
        <f>1</f>
        <v>1</v>
      </c>
      <c r="X53" s="352">
        <f>3</f>
        <v>3</v>
      </c>
      <c r="Y53" s="352">
        <f>2</f>
        <v>2</v>
      </c>
      <c r="Z53" s="60">
        <f t="shared" si="17"/>
        <v>6</v>
      </c>
      <c r="AB53" s="328" t="s">
        <v>537</v>
      </c>
      <c r="AC53" s="360">
        <f t="shared" ref="AC53:AH53" si="18">SUM(AC41:AC52)</f>
        <v>12</v>
      </c>
      <c r="AD53" s="360">
        <f t="shared" si="18"/>
        <v>98</v>
      </c>
      <c r="AE53" s="360">
        <f t="shared" si="18"/>
        <v>96</v>
      </c>
      <c r="AF53" s="360">
        <f t="shared" si="18"/>
        <v>46</v>
      </c>
      <c r="AG53" s="360">
        <f t="shared" si="18"/>
        <v>10</v>
      </c>
      <c r="AH53" s="361">
        <f t="shared" si="18"/>
        <v>262</v>
      </c>
      <c r="AJ53" s="431"/>
      <c r="AK53" s="431"/>
      <c r="AL53" s="431"/>
      <c r="AM53" s="431"/>
      <c r="AN53" s="431"/>
    </row>
    <row r="54" spans="1:40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94">
        <f t="shared" si="1"/>
        <v>200</v>
      </c>
      <c r="F54" s="306">
        <v>33.29833</v>
      </c>
      <c r="G54" s="73">
        <v>2</v>
      </c>
      <c r="H54" s="309">
        <f t="shared" si="2"/>
        <v>66.59666</v>
      </c>
      <c r="I54" s="73">
        <f t="shared" si="0"/>
        <v>1</v>
      </c>
      <c r="J54" s="73">
        <f t="shared" si="3"/>
        <v>200</v>
      </c>
      <c r="K54" s="73">
        <f t="shared" si="10"/>
        <v>133.40334000000001</v>
      </c>
      <c r="L54" s="91" t="s">
        <v>331</v>
      </c>
      <c r="M54" s="93">
        <v>524.75</v>
      </c>
      <c r="N54" s="92">
        <f t="shared" si="5"/>
        <v>200</v>
      </c>
      <c r="O54" s="91">
        <f t="shared" si="6"/>
        <v>200</v>
      </c>
      <c r="P54" s="327">
        <f t="shared" si="11"/>
        <v>133.40334000000001</v>
      </c>
      <c r="Q54" s="431"/>
      <c r="R54" s="89"/>
      <c r="T54" s="60" t="s">
        <v>91</v>
      </c>
      <c r="U54" s="352">
        <v>0</v>
      </c>
      <c r="V54" s="350">
        <f>3+8+2+3+2+1</f>
        <v>19</v>
      </c>
      <c r="W54" s="352">
        <f>1+2</f>
        <v>3</v>
      </c>
      <c r="X54" s="352">
        <f>2</f>
        <v>2</v>
      </c>
      <c r="Y54" s="352">
        <v>0</v>
      </c>
      <c r="Z54" s="60">
        <f t="shared" si="17"/>
        <v>24</v>
      </c>
      <c r="AB54" s="328" t="s">
        <v>536</v>
      </c>
      <c r="AC54" s="362">
        <f>PRODUCT(AC53*AD32)</f>
        <v>180</v>
      </c>
      <c r="AD54" s="452">
        <f>PRODUCT(AD53*AD33)</f>
        <v>1604.1522</v>
      </c>
      <c r="AE54" s="452">
        <f>PRODUCT(AE53*AD34)</f>
        <v>1607.6831999999999</v>
      </c>
      <c r="AF54" s="452">
        <f>PRODUCT(AF53*AD35)</f>
        <v>776.78360000000009</v>
      </c>
      <c r="AG54" s="452">
        <f>PRODUCT(AG53*AD36)</f>
        <v>170</v>
      </c>
      <c r="AH54" s="453">
        <f>SUM(AC54:AG54)</f>
        <v>4338.6189999999997</v>
      </c>
      <c r="AJ54" s="431"/>
      <c r="AK54" s="431"/>
      <c r="AL54" s="431"/>
      <c r="AM54" s="431"/>
      <c r="AN54" s="431"/>
    </row>
    <row r="55" spans="1:40" x14ac:dyDescent="0.2">
      <c r="A55" s="462" t="s">
        <v>330</v>
      </c>
      <c r="B55" s="87" t="s">
        <v>329</v>
      </c>
      <c r="C55" s="86" t="s">
        <v>61</v>
      </c>
      <c r="D55" s="85">
        <v>381.34</v>
      </c>
      <c r="E55" s="84">
        <f t="shared" si="1"/>
        <v>200</v>
      </c>
      <c r="F55" s="307">
        <v>233.80699999999999</v>
      </c>
      <c r="G55" s="84">
        <v>2</v>
      </c>
      <c r="H55" s="307">
        <f t="shared" si="2"/>
        <v>467.61399999999998</v>
      </c>
      <c r="I55" s="84">
        <f t="shared" si="0"/>
        <v>3</v>
      </c>
      <c r="J55" s="84">
        <f t="shared" si="3"/>
        <v>600</v>
      </c>
      <c r="K55" s="84">
        <f t="shared" si="10"/>
        <v>132.38600000000002</v>
      </c>
      <c r="L55" s="101" t="s">
        <v>328</v>
      </c>
      <c r="M55" s="83">
        <v>673.16499999999996</v>
      </c>
      <c r="N55" s="82">
        <f t="shared" si="5"/>
        <v>150</v>
      </c>
      <c r="O55" s="101">
        <f t="shared" si="6"/>
        <v>450</v>
      </c>
      <c r="P55" s="197">
        <f t="shared" si="11"/>
        <v>-17.613999999999976</v>
      </c>
      <c r="Q55" s="317" t="s">
        <v>29</v>
      </c>
      <c r="R55" s="80">
        <v>15</v>
      </c>
      <c r="T55" s="60" t="s">
        <v>92</v>
      </c>
      <c r="U55" s="352">
        <v>0</v>
      </c>
      <c r="V55" s="350">
        <f>4+3</f>
        <v>7</v>
      </c>
      <c r="W55" s="352">
        <f>14+2</f>
        <v>16</v>
      </c>
      <c r="X55" s="352">
        <v>0</v>
      </c>
      <c r="Y55" s="352">
        <v>0</v>
      </c>
      <c r="Z55" s="60">
        <f t="shared" si="17"/>
        <v>23</v>
      </c>
      <c r="AB55" s="328" t="s">
        <v>583</v>
      </c>
      <c r="AC55" s="362">
        <f>AC53*AC32</f>
        <v>1200</v>
      </c>
      <c r="AD55" s="362">
        <f>AD53*AC33</f>
        <v>14700</v>
      </c>
      <c r="AE55" s="362">
        <f>AE53*AC34</f>
        <v>19200</v>
      </c>
      <c r="AF55" s="362">
        <f>AF53*AC35</f>
        <v>11500</v>
      </c>
      <c r="AG55" s="362">
        <f>AG53*AC36</f>
        <v>3000</v>
      </c>
      <c r="AH55" s="328">
        <f>SUM(AC55:AG55)</f>
        <v>49600</v>
      </c>
      <c r="AJ55" s="431"/>
      <c r="AK55" s="431"/>
      <c r="AL55" s="431"/>
      <c r="AM55" s="431"/>
      <c r="AN55" s="431"/>
    </row>
    <row r="56" spans="1:40" ht="14.25" customHeight="1" thickBot="1" x14ac:dyDescent="0.25">
      <c r="A56" s="463"/>
      <c r="B56" s="76" t="s">
        <v>30</v>
      </c>
      <c r="C56" s="75" t="s">
        <v>326</v>
      </c>
      <c r="D56" s="74">
        <v>317.27</v>
      </c>
      <c r="E56" s="73">
        <f t="shared" si="1"/>
        <v>200</v>
      </c>
      <c r="F56" s="309">
        <v>136.87530000000001</v>
      </c>
      <c r="G56" s="73">
        <v>2</v>
      </c>
      <c r="H56" s="309">
        <f t="shared" si="2"/>
        <v>273.75060000000002</v>
      </c>
      <c r="I56" s="73">
        <f t="shared" si="0"/>
        <v>2</v>
      </c>
      <c r="J56" s="73">
        <f t="shared" si="3"/>
        <v>400</v>
      </c>
      <c r="K56" s="73">
        <f t="shared" si="10"/>
        <v>126.24939999999998</v>
      </c>
      <c r="L56" s="70" t="s">
        <v>325</v>
      </c>
      <c r="M56" s="72">
        <v>518.48</v>
      </c>
      <c r="N56" s="121">
        <f t="shared" si="5"/>
        <v>200</v>
      </c>
      <c r="O56" s="70">
        <f t="shared" si="6"/>
        <v>400</v>
      </c>
      <c r="P56" s="326">
        <f t="shared" si="11"/>
        <v>126.24939999999998</v>
      </c>
      <c r="Q56" s="319"/>
      <c r="R56" s="69"/>
      <c r="T56" s="60" t="s">
        <v>93</v>
      </c>
      <c r="U56" s="352">
        <v>0</v>
      </c>
      <c r="V56" s="350">
        <v>0</v>
      </c>
      <c r="W56" s="352">
        <f>2+1</f>
        <v>3</v>
      </c>
      <c r="X56" s="352">
        <f>8</f>
        <v>8</v>
      </c>
      <c r="Y56" s="352">
        <v>0</v>
      </c>
      <c r="Z56" s="60">
        <f t="shared" si="17"/>
        <v>11</v>
      </c>
      <c r="AC56" s="429"/>
      <c r="AD56" s="350"/>
      <c r="AE56" s="350"/>
      <c r="AF56" s="352"/>
      <c r="AG56" s="352"/>
      <c r="AH56" s="352"/>
      <c r="AJ56" s="431"/>
      <c r="AK56" s="431"/>
      <c r="AL56" s="431"/>
      <c r="AM56" s="431"/>
      <c r="AN56" s="431"/>
    </row>
    <row r="57" spans="1:40" x14ac:dyDescent="0.2">
      <c r="A57" s="431"/>
      <c r="B57" s="64"/>
      <c r="C57" s="431"/>
      <c r="D57" s="431"/>
      <c r="E57" s="431"/>
      <c r="F57" s="64"/>
      <c r="G57" s="64"/>
      <c r="H57" s="64"/>
      <c r="I57" s="64"/>
      <c r="J57" s="64"/>
      <c r="K57" s="431"/>
      <c r="L57" s="431"/>
      <c r="M57" s="431"/>
      <c r="N57" s="431"/>
      <c r="O57" s="431"/>
      <c r="P57" s="431"/>
      <c r="Q57" s="431"/>
      <c r="R57" s="431"/>
      <c r="T57" s="60" t="s">
        <v>94</v>
      </c>
      <c r="U57" s="352">
        <v>0</v>
      </c>
      <c r="V57" s="451">
        <f>2</f>
        <v>2</v>
      </c>
      <c r="W57" s="352">
        <f>2+1</f>
        <v>3</v>
      </c>
      <c r="X57" s="352">
        <f>9</f>
        <v>9</v>
      </c>
      <c r="Y57" s="352"/>
      <c r="Z57" s="60">
        <f t="shared" si="17"/>
        <v>14</v>
      </c>
      <c r="AC57" s="429"/>
      <c r="AD57" s="352"/>
      <c r="AE57" s="352"/>
      <c r="AF57" s="352"/>
      <c r="AG57" s="352"/>
      <c r="AH57" s="352"/>
      <c r="AJ57" s="431"/>
      <c r="AK57" s="431"/>
      <c r="AL57" s="431"/>
      <c r="AM57" s="431"/>
      <c r="AN57" s="431"/>
    </row>
    <row r="58" spans="1:40" ht="15" x14ac:dyDescent="0.25">
      <c r="A58" s="431"/>
      <c r="B58" s="64"/>
      <c r="C58" s="431"/>
      <c r="D58" s="431"/>
      <c r="E58" s="431"/>
      <c r="F58" s="64"/>
      <c r="G58" s="64"/>
      <c r="H58" s="64"/>
      <c r="I58" s="64"/>
      <c r="J58" s="64"/>
      <c r="K58" s="431"/>
      <c r="L58" s="431"/>
      <c r="M58" s="431"/>
      <c r="N58" s="431"/>
      <c r="O58" s="431"/>
      <c r="P58" s="431"/>
      <c r="Q58" s="431"/>
      <c r="R58" s="431"/>
      <c r="T58" s="358" t="s">
        <v>508</v>
      </c>
      <c r="U58" s="352">
        <v>0</v>
      </c>
      <c r="V58" s="359">
        <f>1</f>
        <v>1</v>
      </c>
      <c r="W58" s="359">
        <f>3</f>
        <v>3</v>
      </c>
      <c r="X58" s="359">
        <v>0</v>
      </c>
      <c r="Y58" s="352">
        <v>0</v>
      </c>
      <c r="Z58" s="358">
        <f t="shared" si="17"/>
        <v>4</v>
      </c>
      <c r="AB58">
        <f>Z39+Z59</f>
        <v>262</v>
      </c>
      <c r="AC58" s="429"/>
      <c r="AD58" s="352"/>
      <c r="AE58" s="350"/>
      <c r="AF58" s="352"/>
      <c r="AG58" s="352"/>
      <c r="AH58" s="352"/>
      <c r="AJ58" s="431"/>
      <c r="AK58" s="431"/>
      <c r="AL58" s="431"/>
      <c r="AM58" s="431"/>
      <c r="AN58" s="431"/>
    </row>
    <row r="59" spans="1:40" ht="15" x14ac:dyDescent="0.25">
      <c r="A59" s="431"/>
      <c r="B59" s="64"/>
      <c r="C59" s="431"/>
      <c r="D59" s="431"/>
      <c r="E59" s="431"/>
      <c r="F59" s="64"/>
      <c r="G59" s="64"/>
      <c r="H59" s="64"/>
      <c r="I59" s="64"/>
      <c r="J59" s="64"/>
      <c r="K59" s="431"/>
      <c r="L59" s="431"/>
      <c r="M59" s="431"/>
      <c r="N59" s="431"/>
      <c r="O59" s="431"/>
      <c r="P59" s="431"/>
      <c r="Q59" s="431"/>
      <c r="R59" s="431"/>
      <c r="T59" s="328" t="s">
        <v>537</v>
      </c>
      <c r="U59" s="360">
        <f t="shared" ref="U59:Z59" si="19">SUM(U47:U58)</f>
        <v>0</v>
      </c>
      <c r="V59" s="360">
        <f t="shared" si="19"/>
        <v>94</v>
      </c>
      <c r="W59" s="360">
        <f t="shared" si="19"/>
        <v>96</v>
      </c>
      <c r="X59" s="360">
        <f t="shared" si="19"/>
        <v>46</v>
      </c>
      <c r="Y59" s="360">
        <f t="shared" si="19"/>
        <v>10</v>
      </c>
      <c r="Z59" s="361">
        <f t="shared" si="19"/>
        <v>246</v>
      </c>
      <c r="AB59" s="549">
        <f>Z40+Z60</f>
        <v>4338.6190000000006</v>
      </c>
      <c r="AC59" s="429"/>
      <c r="AD59" s="352"/>
      <c r="AE59" s="350"/>
      <c r="AF59" s="352"/>
      <c r="AG59" s="352"/>
      <c r="AH59" s="352"/>
      <c r="AJ59" s="431"/>
      <c r="AK59" s="431"/>
      <c r="AL59" s="431"/>
      <c r="AM59" s="431"/>
      <c r="AN59" s="431"/>
    </row>
    <row r="60" spans="1:40" x14ac:dyDescent="0.2">
      <c r="A60" s="431"/>
      <c r="B60" s="64"/>
      <c r="C60" s="431"/>
      <c r="D60" s="431"/>
      <c r="E60" s="431"/>
      <c r="F60" s="64"/>
      <c r="G60" s="64"/>
      <c r="H60" s="64"/>
      <c r="I60" s="64"/>
      <c r="J60" s="64"/>
      <c r="K60" s="431"/>
      <c r="L60" s="431"/>
      <c r="M60" s="431"/>
      <c r="N60" s="431"/>
      <c r="O60" s="431"/>
      <c r="P60" s="431"/>
      <c r="Q60" s="431"/>
      <c r="R60" s="431"/>
      <c r="T60" s="328" t="s">
        <v>536</v>
      </c>
      <c r="U60" s="452">
        <f>PRODUCT(U59*AD32)</f>
        <v>0</v>
      </c>
      <c r="V60" s="452">
        <f>PRODUCT(V59*AD33)</f>
        <v>1538.6766</v>
      </c>
      <c r="W60" s="452">
        <f>PRODUCT(W59*AD34)</f>
        <v>1607.6831999999999</v>
      </c>
      <c r="X60" s="452">
        <f>PRODUCT(X59*AD35)</f>
        <v>776.78360000000009</v>
      </c>
      <c r="Y60" s="452">
        <f>PRODUCT(Y59*AD36)</f>
        <v>170</v>
      </c>
      <c r="Z60" s="453">
        <f>SUM(U60:Y60)</f>
        <v>4093.1434000000004</v>
      </c>
      <c r="AB60" s="352">
        <f>Z41+Z61</f>
        <v>49600</v>
      </c>
      <c r="AC60" s="429"/>
      <c r="AD60" s="352"/>
      <c r="AE60" s="352"/>
      <c r="AF60" s="352"/>
      <c r="AG60" s="352"/>
      <c r="AH60" s="352"/>
      <c r="AJ60" s="431"/>
      <c r="AK60" s="431"/>
      <c r="AL60" s="431"/>
      <c r="AM60" s="431"/>
      <c r="AN60" s="431"/>
    </row>
    <row r="61" spans="1:40" x14ac:dyDescent="0.2">
      <c r="A61" s="431"/>
      <c r="B61" s="64"/>
      <c r="C61" s="431"/>
      <c r="D61" s="431"/>
      <c r="E61" s="431"/>
      <c r="F61" s="64"/>
      <c r="G61" s="64"/>
      <c r="H61" s="64"/>
      <c r="I61" s="64"/>
      <c r="J61" s="64"/>
      <c r="K61" s="431"/>
      <c r="L61" s="431"/>
      <c r="M61" s="431"/>
      <c r="N61" s="431"/>
      <c r="O61" s="431"/>
      <c r="P61" s="431"/>
      <c r="Q61" s="431"/>
      <c r="R61" s="431"/>
      <c r="T61" s="328" t="s">
        <v>583</v>
      </c>
      <c r="U61" s="362">
        <f>U59*AC32</f>
        <v>0</v>
      </c>
      <c r="V61" s="362">
        <f>V59*AC33</f>
        <v>14100</v>
      </c>
      <c r="W61" s="362">
        <f>W59*AC34</f>
        <v>19200</v>
      </c>
      <c r="X61" s="362">
        <f>X59*AC35</f>
        <v>11500</v>
      </c>
      <c r="Y61" s="362">
        <f>Y59*AC36</f>
        <v>3000</v>
      </c>
      <c r="Z61" s="328">
        <f>SUM(U61:Y61)</f>
        <v>47800</v>
      </c>
      <c r="AC61" s="423"/>
      <c r="AD61" s="352"/>
      <c r="AE61" s="352"/>
      <c r="AF61" s="352"/>
      <c r="AG61" s="352"/>
      <c r="AH61" s="352"/>
      <c r="AJ61" s="431"/>
      <c r="AK61" s="431"/>
      <c r="AL61" s="431"/>
      <c r="AM61" s="431"/>
      <c r="AN61" s="431"/>
    </row>
    <row r="62" spans="1:40" x14ac:dyDescent="0.2">
      <c r="A62" s="431"/>
      <c r="B62" s="65"/>
      <c r="C62" s="431"/>
      <c r="D62" s="431"/>
      <c r="E62" s="431"/>
      <c r="F62" s="64"/>
      <c r="G62" s="64"/>
      <c r="H62" s="64"/>
      <c r="I62" s="64"/>
      <c r="J62" s="64"/>
      <c r="K62" s="431"/>
      <c r="L62" s="431"/>
      <c r="M62" s="431"/>
      <c r="N62" s="431"/>
      <c r="O62" s="431"/>
      <c r="P62" s="431"/>
      <c r="Q62" s="431"/>
      <c r="R62" s="431"/>
      <c r="AJ62" s="431"/>
      <c r="AK62" s="431"/>
      <c r="AL62" s="431"/>
      <c r="AM62" s="431"/>
      <c r="AN62" s="431"/>
    </row>
    <row r="63" spans="1:40" x14ac:dyDescent="0.2">
      <c r="A63" s="431"/>
      <c r="B63" s="65"/>
      <c r="C63" s="431"/>
      <c r="D63" s="431"/>
      <c r="E63" s="431"/>
      <c r="F63" s="64"/>
      <c r="G63" s="64"/>
      <c r="H63" s="64"/>
      <c r="I63" s="64"/>
      <c r="J63" s="64"/>
      <c r="K63" s="431"/>
      <c r="L63" s="431"/>
      <c r="M63" s="431"/>
      <c r="N63" s="431"/>
      <c r="O63" s="431"/>
      <c r="P63" s="431"/>
      <c r="Q63" s="431"/>
      <c r="R63" s="431"/>
      <c r="AJ63" s="431"/>
      <c r="AK63" s="431"/>
      <c r="AL63" s="431"/>
      <c r="AM63" s="431"/>
      <c r="AN63" s="431"/>
    </row>
    <row r="64" spans="1:40" x14ac:dyDescent="0.2">
      <c r="A64" s="431"/>
      <c r="B64" s="65"/>
      <c r="C64" s="431"/>
      <c r="D64" s="431"/>
      <c r="E64" s="431"/>
      <c r="F64" s="64"/>
      <c r="G64" s="64"/>
      <c r="H64" s="64"/>
      <c r="I64" s="64"/>
      <c r="J64" s="64"/>
      <c r="K64" s="431"/>
      <c r="L64" s="431"/>
      <c r="M64" s="431"/>
      <c r="N64" s="431"/>
      <c r="O64" s="431"/>
      <c r="P64" s="431"/>
      <c r="Q64" s="431"/>
      <c r="R64" s="431"/>
      <c r="AJ64" s="431"/>
      <c r="AK64" s="431"/>
      <c r="AL64" s="431"/>
      <c r="AM64" s="431"/>
      <c r="AN64" s="431"/>
    </row>
    <row r="65" spans="1:41" x14ac:dyDescent="0.2">
      <c r="A65" s="431"/>
      <c r="B65" s="64"/>
      <c r="C65" s="431"/>
      <c r="D65" s="431"/>
      <c r="E65" s="431"/>
      <c r="N65" s="431"/>
      <c r="O65" s="431"/>
      <c r="Q65" s="431"/>
      <c r="R65" s="431"/>
      <c r="AJ65" s="431"/>
      <c r="AK65" s="431"/>
      <c r="AL65" s="431"/>
      <c r="AM65" s="431"/>
      <c r="AN65" s="431"/>
      <c r="AO65" s="431"/>
    </row>
    <row r="66" spans="1:41" x14ac:dyDescent="0.2">
      <c r="A66" s="431"/>
      <c r="B66" s="64"/>
      <c r="C66" s="431"/>
      <c r="D66" s="431"/>
      <c r="E66" s="431"/>
      <c r="N66" s="431"/>
      <c r="O66" s="431"/>
      <c r="Q66" s="431"/>
      <c r="R66" s="431"/>
      <c r="AJ66" s="193"/>
      <c r="AK66" s="193"/>
      <c r="AL66" s="431"/>
      <c r="AM66" s="193"/>
      <c r="AN66" s="193"/>
      <c r="AO66" s="431"/>
    </row>
    <row r="67" spans="1:41" x14ac:dyDescent="0.2">
      <c r="A67" s="431"/>
      <c r="B67" s="64"/>
      <c r="C67" s="431"/>
      <c r="D67" s="431"/>
      <c r="E67" s="431"/>
      <c r="N67" s="431"/>
      <c r="O67" s="431"/>
      <c r="Q67" s="431"/>
      <c r="R67" s="431"/>
      <c r="AJ67" s="431"/>
      <c r="AK67" s="431"/>
      <c r="AL67" s="431"/>
      <c r="AM67" s="431"/>
      <c r="AN67" s="431"/>
      <c r="AO67" s="431"/>
    </row>
    <row r="68" spans="1:41" x14ac:dyDescent="0.2">
      <c r="A68" s="431"/>
      <c r="B68" s="64"/>
      <c r="C68" s="431"/>
      <c r="D68" s="431"/>
      <c r="E68" s="431"/>
      <c r="F68" s="64"/>
      <c r="G68" s="64"/>
      <c r="H68" s="64"/>
      <c r="I68" s="64"/>
      <c r="J68" s="64"/>
      <c r="K68" s="431"/>
      <c r="L68" s="431"/>
      <c r="M68" s="431"/>
      <c r="N68" s="431"/>
      <c r="O68" s="431"/>
      <c r="P68" s="431"/>
      <c r="Q68" s="431"/>
      <c r="R68" s="431"/>
      <c r="AJ68" s="345"/>
      <c r="AK68" s="345"/>
      <c r="AL68" s="431"/>
      <c r="AM68" s="345"/>
      <c r="AN68" s="345"/>
      <c r="AO68" s="431"/>
    </row>
    <row r="69" spans="1:41" x14ac:dyDescent="0.2">
      <c r="B69" s="64"/>
      <c r="C69" s="431"/>
      <c r="D69" s="431"/>
      <c r="E69" s="431"/>
      <c r="F69" s="64"/>
      <c r="G69" s="64"/>
      <c r="H69" s="64"/>
      <c r="I69" s="64"/>
      <c r="J69" s="64"/>
      <c r="K69" s="431"/>
      <c r="L69" s="431"/>
      <c r="M69" s="431"/>
      <c r="N69" s="431"/>
      <c r="O69" s="431"/>
      <c r="P69" s="431"/>
      <c r="Q69" s="431"/>
      <c r="R69" s="431"/>
      <c r="AJ69" s="431"/>
      <c r="AK69" s="431"/>
      <c r="AL69" s="431"/>
      <c r="AM69" s="431"/>
      <c r="AN69" s="431"/>
      <c r="AO69" s="431"/>
    </row>
    <row r="70" spans="1:41" x14ac:dyDescent="0.2">
      <c r="B70" s="64"/>
      <c r="C70" s="431"/>
      <c r="D70" s="431"/>
      <c r="E70" s="431"/>
      <c r="F70" s="64"/>
      <c r="G70" s="64"/>
      <c r="H70" s="64"/>
      <c r="I70" s="64"/>
      <c r="J70" s="64"/>
      <c r="K70" s="431"/>
      <c r="L70" s="431"/>
      <c r="M70" s="431"/>
      <c r="N70" s="431"/>
      <c r="O70" s="431"/>
      <c r="P70" s="431"/>
      <c r="Q70" s="431"/>
      <c r="R70" s="431"/>
      <c r="AI70" s="429"/>
      <c r="AJ70" s="431"/>
      <c r="AK70" s="431"/>
      <c r="AL70" s="431"/>
      <c r="AM70" s="431"/>
      <c r="AN70" s="431"/>
      <c r="AO70" s="431"/>
    </row>
    <row r="71" spans="1:41" x14ac:dyDescent="0.2">
      <c r="B71" s="64"/>
      <c r="C71" s="431"/>
      <c r="D71" s="431"/>
      <c r="E71" s="431"/>
      <c r="F71" s="64"/>
      <c r="G71" s="64"/>
      <c r="H71" s="64"/>
      <c r="I71" s="64"/>
      <c r="J71" s="64"/>
      <c r="K71" s="431"/>
      <c r="L71" s="431"/>
      <c r="M71" s="431"/>
      <c r="N71" s="431"/>
      <c r="O71" s="431"/>
      <c r="P71" s="431"/>
      <c r="Q71" s="431"/>
      <c r="R71" s="431"/>
      <c r="AI71" s="423"/>
      <c r="AJ71" s="431"/>
      <c r="AK71" s="431"/>
      <c r="AL71" s="431"/>
      <c r="AM71" s="431"/>
      <c r="AN71" s="431"/>
      <c r="AO71" s="431"/>
    </row>
    <row r="72" spans="1:41" x14ac:dyDescent="0.2">
      <c r="B72" s="64"/>
      <c r="C72" s="431"/>
      <c r="D72" s="431"/>
      <c r="E72" s="431"/>
      <c r="F72" s="64"/>
      <c r="G72" s="64"/>
      <c r="H72" s="64"/>
      <c r="I72" s="64"/>
      <c r="J72" s="64"/>
      <c r="K72" s="431"/>
      <c r="L72" s="431"/>
      <c r="M72" s="431"/>
      <c r="N72" s="431"/>
      <c r="O72" s="431"/>
      <c r="P72" s="431"/>
      <c r="Q72" s="431"/>
      <c r="R72" s="431"/>
      <c r="AI72" s="429"/>
      <c r="AJ72" s="431"/>
      <c r="AK72" s="431"/>
      <c r="AL72" s="431"/>
      <c r="AM72" s="431"/>
      <c r="AN72" s="431"/>
      <c r="AO72" s="431"/>
    </row>
    <row r="73" spans="1:41" x14ac:dyDescent="0.2">
      <c r="B73" s="64"/>
      <c r="C73" s="431"/>
      <c r="D73" s="431"/>
      <c r="E73" s="431"/>
      <c r="F73" s="64"/>
      <c r="G73" s="64"/>
      <c r="H73" s="64"/>
      <c r="I73" s="64"/>
      <c r="J73" s="64"/>
      <c r="K73" s="431"/>
      <c r="L73" s="431"/>
      <c r="M73" s="431"/>
      <c r="N73" s="431"/>
      <c r="O73" s="431"/>
      <c r="P73" s="431"/>
      <c r="Q73" s="431"/>
      <c r="R73" s="431"/>
      <c r="AI73" s="429"/>
      <c r="AJ73" s="431"/>
      <c r="AK73" s="431"/>
      <c r="AL73" s="431"/>
      <c r="AM73" s="431"/>
      <c r="AN73" s="431"/>
      <c r="AO73" s="431"/>
    </row>
    <row r="74" spans="1:41" x14ac:dyDescent="0.2">
      <c r="B74" s="64"/>
      <c r="C74" s="431"/>
      <c r="D74" s="431"/>
      <c r="E74" s="431"/>
      <c r="F74" s="64"/>
      <c r="G74" s="64"/>
      <c r="H74" s="64"/>
      <c r="I74" s="64"/>
      <c r="J74" s="64"/>
      <c r="K74" s="431"/>
      <c r="L74" s="431"/>
      <c r="M74" s="431"/>
      <c r="N74" s="431"/>
      <c r="O74" s="431"/>
      <c r="P74" s="431"/>
      <c r="Q74" s="431"/>
      <c r="R74" s="431"/>
      <c r="AI74" s="429"/>
      <c r="AJ74" s="431"/>
      <c r="AK74" s="431"/>
      <c r="AL74" s="431"/>
      <c r="AM74" s="431"/>
      <c r="AN74" s="431"/>
      <c r="AO74" s="431"/>
    </row>
    <row r="75" spans="1:41" x14ac:dyDescent="0.2">
      <c r="B75" s="64"/>
      <c r="C75" s="431"/>
      <c r="D75" s="431"/>
      <c r="E75" s="431"/>
      <c r="F75" s="64"/>
      <c r="G75" s="64"/>
      <c r="H75" s="64"/>
      <c r="I75" s="64"/>
      <c r="J75" s="64"/>
      <c r="K75" s="431"/>
      <c r="L75" s="431"/>
      <c r="M75" s="431"/>
      <c r="N75" s="431"/>
      <c r="O75" s="431"/>
      <c r="P75" s="431"/>
      <c r="Q75" s="431"/>
      <c r="R75" s="431"/>
      <c r="AI75" s="429"/>
      <c r="AJ75" s="431"/>
      <c r="AK75" s="431"/>
      <c r="AL75" s="431"/>
      <c r="AM75" s="431"/>
      <c r="AN75" s="431"/>
      <c r="AO75" s="431"/>
    </row>
    <row r="76" spans="1:41" x14ac:dyDescent="0.2">
      <c r="B76" s="64"/>
      <c r="C76" s="431"/>
      <c r="D76" s="431"/>
      <c r="E76" s="431"/>
      <c r="F76" s="64"/>
      <c r="G76" s="64"/>
      <c r="H76" s="64"/>
      <c r="I76" s="64"/>
      <c r="J76" s="64"/>
      <c r="K76" s="431"/>
      <c r="L76" s="431"/>
      <c r="M76" s="431"/>
      <c r="N76" s="431"/>
      <c r="O76" s="431"/>
      <c r="P76" s="431"/>
      <c r="Q76" s="431"/>
      <c r="R76" s="431"/>
      <c r="AI76" s="429"/>
      <c r="AJ76" s="431"/>
      <c r="AK76" s="431"/>
      <c r="AL76" s="431"/>
      <c r="AM76" s="431"/>
      <c r="AN76" s="431"/>
      <c r="AO76" s="431"/>
    </row>
    <row r="77" spans="1:41" x14ac:dyDescent="0.2">
      <c r="B77" s="64"/>
      <c r="C77" s="431"/>
      <c r="D77" s="431"/>
      <c r="E77" s="431"/>
      <c r="F77" s="64"/>
      <c r="G77" s="64"/>
      <c r="H77" s="64"/>
      <c r="I77" s="64"/>
      <c r="J77" s="64"/>
      <c r="K77" s="431"/>
      <c r="L77" s="431"/>
      <c r="M77" s="431"/>
      <c r="N77" s="431"/>
      <c r="O77" s="431"/>
      <c r="P77" s="431"/>
      <c r="Q77" s="431"/>
      <c r="R77" s="431"/>
      <c r="AI77" s="429"/>
      <c r="AJ77" s="431"/>
      <c r="AK77" s="431"/>
      <c r="AL77" s="431"/>
      <c r="AM77" s="431"/>
      <c r="AN77" s="431"/>
      <c r="AO77" s="431"/>
    </row>
    <row r="78" spans="1:41" x14ac:dyDescent="0.2">
      <c r="B78" s="64"/>
      <c r="C78" s="431"/>
      <c r="D78" s="431"/>
      <c r="E78" s="431"/>
      <c r="F78" s="64"/>
      <c r="G78" s="64"/>
      <c r="H78" s="64"/>
      <c r="I78" s="64"/>
      <c r="J78" s="64"/>
      <c r="K78" s="431"/>
      <c r="L78" s="431"/>
      <c r="M78" s="431"/>
      <c r="N78" s="431"/>
      <c r="O78" s="431"/>
      <c r="P78" s="431"/>
      <c r="Q78" s="431"/>
      <c r="R78" s="431"/>
      <c r="AI78" s="429"/>
      <c r="AJ78" s="431"/>
      <c r="AK78" s="431"/>
      <c r="AL78" s="431"/>
      <c r="AM78" s="431"/>
      <c r="AN78" s="431"/>
      <c r="AO78" s="431"/>
    </row>
    <row r="79" spans="1:41" x14ac:dyDescent="0.2">
      <c r="B79" s="64"/>
      <c r="C79" s="431"/>
      <c r="D79" s="431"/>
      <c r="E79" s="431"/>
      <c r="F79" s="64"/>
      <c r="G79" s="64"/>
      <c r="H79" s="64"/>
      <c r="I79" s="64"/>
      <c r="J79" s="64"/>
      <c r="K79" s="431"/>
      <c r="L79" s="431"/>
      <c r="M79" s="431"/>
      <c r="N79" s="431"/>
      <c r="O79" s="431"/>
      <c r="P79" s="431"/>
      <c r="Q79" s="431"/>
      <c r="R79" s="431"/>
      <c r="AI79" s="429"/>
      <c r="AJ79" s="431"/>
      <c r="AK79" s="431"/>
      <c r="AL79" s="431"/>
      <c r="AM79" s="431"/>
      <c r="AN79" s="431"/>
      <c r="AO79" s="431"/>
    </row>
    <row r="80" spans="1:41" x14ac:dyDescent="0.2">
      <c r="B80" s="64"/>
      <c r="C80" s="431"/>
      <c r="D80" s="431"/>
      <c r="E80" s="431"/>
      <c r="F80" s="64"/>
      <c r="G80" s="64"/>
      <c r="H80" s="64"/>
      <c r="I80" s="64"/>
      <c r="J80" s="64"/>
      <c r="K80" s="431"/>
      <c r="L80" s="431"/>
      <c r="M80" s="431"/>
      <c r="N80" s="431"/>
      <c r="O80" s="431"/>
      <c r="P80" s="431"/>
      <c r="Q80" s="431"/>
      <c r="R80" s="431"/>
      <c r="AI80" s="429"/>
    </row>
    <row r="81" spans="2:35" x14ac:dyDescent="0.2">
      <c r="B81" s="64"/>
      <c r="C81" s="431"/>
      <c r="D81" s="431"/>
      <c r="E81" s="431"/>
      <c r="F81" s="64"/>
      <c r="G81" s="64"/>
      <c r="H81" s="64"/>
      <c r="I81" s="64"/>
      <c r="J81" s="64"/>
      <c r="K81" s="431"/>
      <c r="L81" s="431"/>
      <c r="M81" s="431"/>
      <c r="N81" s="431"/>
      <c r="O81" s="431"/>
      <c r="P81" s="431"/>
      <c r="Q81" s="431"/>
      <c r="R81" s="431"/>
      <c r="AI81" s="429"/>
    </row>
    <row r="82" spans="2:35" x14ac:dyDescent="0.2">
      <c r="B82" s="64"/>
      <c r="C82" s="431"/>
      <c r="D82" s="431"/>
      <c r="E82" s="431"/>
      <c r="F82" s="64"/>
      <c r="G82" s="64"/>
      <c r="H82" s="64"/>
      <c r="I82" s="64"/>
      <c r="J82" s="64"/>
      <c r="K82" s="431"/>
      <c r="L82" s="431"/>
      <c r="M82" s="431"/>
      <c r="N82" s="431"/>
      <c r="O82" s="431"/>
      <c r="P82" s="431"/>
      <c r="Q82" s="431"/>
      <c r="R82" s="431"/>
      <c r="AI82" s="429"/>
    </row>
    <row r="83" spans="2:35" x14ac:dyDescent="0.2">
      <c r="B83" s="64"/>
      <c r="C83" s="431"/>
      <c r="D83" s="431"/>
      <c r="E83" s="431"/>
      <c r="F83" s="64"/>
      <c r="G83" s="64"/>
      <c r="H83" s="64"/>
      <c r="I83" s="64"/>
      <c r="J83" s="64"/>
      <c r="K83" s="431"/>
      <c r="L83" s="431"/>
      <c r="M83" s="431"/>
      <c r="N83" s="431"/>
      <c r="O83" s="431"/>
      <c r="P83" s="431"/>
      <c r="Q83" s="431"/>
      <c r="R83" s="431"/>
      <c r="AI83" s="429"/>
    </row>
    <row r="84" spans="2:35" x14ac:dyDescent="0.2">
      <c r="B84" s="64"/>
      <c r="C84" s="431"/>
      <c r="D84" s="431"/>
      <c r="E84" s="431"/>
      <c r="F84" s="64"/>
      <c r="G84" s="64"/>
      <c r="H84" s="64"/>
      <c r="I84" s="64"/>
      <c r="J84" s="64"/>
      <c r="K84" s="431"/>
      <c r="L84" s="431"/>
      <c r="M84" s="431"/>
      <c r="N84" s="431"/>
      <c r="O84" s="431"/>
      <c r="P84" s="431"/>
      <c r="Q84" s="431"/>
      <c r="R84" s="431"/>
      <c r="AI84" s="379"/>
    </row>
    <row r="85" spans="2:35" x14ac:dyDescent="0.2">
      <c r="B85" s="64"/>
      <c r="C85" s="431"/>
      <c r="D85" s="431"/>
      <c r="E85" s="431"/>
      <c r="F85" s="64"/>
      <c r="G85" s="64"/>
      <c r="H85" s="64"/>
      <c r="I85" s="64"/>
      <c r="J85" s="64"/>
      <c r="K85" s="431"/>
      <c r="L85" s="431"/>
      <c r="M85" s="431"/>
      <c r="N85" s="431"/>
      <c r="O85" s="431"/>
      <c r="P85" s="431"/>
      <c r="Q85" s="431"/>
      <c r="R85" s="431"/>
      <c r="AC85" s="423"/>
      <c r="AD85" s="429"/>
      <c r="AE85" s="429"/>
      <c r="AF85" s="429"/>
      <c r="AG85" s="429"/>
      <c r="AH85" s="429"/>
      <c r="AI85" s="423"/>
    </row>
    <row r="86" spans="2:35" x14ac:dyDescent="0.2">
      <c r="B86" s="64"/>
      <c r="C86" s="431"/>
      <c r="D86" s="431"/>
      <c r="E86" s="431"/>
      <c r="F86" s="64"/>
      <c r="G86" s="64"/>
      <c r="H86" s="64"/>
      <c r="I86" s="64"/>
      <c r="J86" s="64"/>
      <c r="K86" s="431"/>
      <c r="L86" s="431"/>
      <c r="M86" s="431"/>
      <c r="N86" s="431"/>
      <c r="O86" s="431"/>
      <c r="P86" s="431"/>
      <c r="Q86" s="431"/>
      <c r="R86" s="431"/>
      <c r="AC86" s="423"/>
      <c r="AD86" s="429"/>
      <c r="AE86" s="429"/>
      <c r="AF86" s="429"/>
      <c r="AG86" s="429"/>
      <c r="AH86" s="429"/>
      <c r="AI86" s="423"/>
    </row>
    <row r="87" spans="2:35" x14ac:dyDescent="0.2">
      <c r="B87" s="64"/>
      <c r="C87" s="431"/>
      <c r="D87" s="431"/>
      <c r="E87" s="431"/>
      <c r="F87" s="64"/>
      <c r="G87" s="64"/>
      <c r="H87" s="64"/>
      <c r="I87" s="64"/>
      <c r="J87" s="64"/>
      <c r="K87" s="431"/>
      <c r="L87" s="431"/>
      <c r="M87" s="431"/>
      <c r="N87" s="431"/>
      <c r="O87" s="431"/>
      <c r="P87" s="431"/>
      <c r="Q87" s="431"/>
      <c r="R87" s="431"/>
      <c r="AC87" s="429"/>
      <c r="AD87" s="429"/>
      <c r="AE87" s="429"/>
      <c r="AF87" s="429"/>
      <c r="AG87" s="429"/>
      <c r="AH87" s="429"/>
      <c r="AI87" s="429"/>
    </row>
    <row r="88" spans="2:35" x14ac:dyDescent="0.2">
      <c r="B88" s="64"/>
      <c r="C88" s="431"/>
      <c r="D88" s="431"/>
      <c r="E88" s="431"/>
      <c r="F88" s="64"/>
      <c r="G88" s="64"/>
      <c r="H88" s="64"/>
      <c r="I88" s="64"/>
      <c r="J88" s="64"/>
      <c r="K88" s="431"/>
      <c r="L88" s="431"/>
      <c r="M88" s="431"/>
      <c r="N88" s="431"/>
      <c r="O88" s="431"/>
      <c r="P88" s="431"/>
      <c r="Q88" s="431"/>
      <c r="R88" s="431"/>
    </row>
    <row r="89" spans="2:35" x14ac:dyDescent="0.2">
      <c r="B89" s="64"/>
      <c r="C89" s="431"/>
      <c r="D89" s="431"/>
      <c r="E89" s="431"/>
      <c r="F89" s="64"/>
      <c r="G89" s="64"/>
      <c r="H89" s="64"/>
      <c r="I89" s="64"/>
      <c r="J89" s="64"/>
      <c r="K89" s="431"/>
      <c r="L89" s="431"/>
      <c r="M89" s="431"/>
      <c r="N89" s="431"/>
      <c r="O89" s="431"/>
      <c r="P89" s="431"/>
      <c r="Q89" s="431"/>
      <c r="R89" s="431"/>
    </row>
    <row r="90" spans="2:35" x14ac:dyDescent="0.2">
      <c r="B90" s="64"/>
      <c r="C90" s="431"/>
      <c r="D90" s="431"/>
      <c r="E90" s="431"/>
      <c r="F90" s="64"/>
      <c r="G90" s="64"/>
      <c r="H90" s="64"/>
      <c r="I90" s="64"/>
      <c r="J90" s="64"/>
      <c r="K90" s="431"/>
      <c r="L90" s="431"/>
      <c r="M90" s="431"/>
      <c r="N90" s="431"/>
      <c r="O90" s="431"/>
      <c r="P90" s="431"/>
      <c r="Q90" s="431"/>
      <c r="R90" s="431"/>
    </row>
    <row r="91" spans="2:35" x14ac:dyDescent="0.2">
      <c r="B91" s="64"/>
      <c r="C91" s="431"/>
      <c r="D91" s="431"/>
      <c r="E91" s="431"/>
      <c r="F91" s="64"/>
      <c r="G91" s="64"/>
      <c r="H91" s="64"/>
      <c r="I91" s="64"/>
      <c r="J91" s="64"/>
      <c r="K91" s="431"/>
      <c r="L91" s="431"/>
      <c r="M91" s="431"/>
      <c r="N91" s="431"/>
      <c r="O91" s="431"/>
      <c r="P91" s="431"/>
      <c r="Q91" s="431"/>
      <c r="R91" s="431"/>
    </row>
    <row r="92" spans="2:35" x14ac:dyDescent="0.2">
      <c r="B92" s="64"/>
      <c r="C92" s="431"/>
      <c r="D92" s="431"/>
      <c r="E92" s="431"/>
      <c r="F92" s="64"/>
      <c r="G92" s="64"/>
      <c r="H92" s="64"/>
      <c r="I92" s="64"/>
      <c r="J92" s="64"/>
      <c r="K92" s="431"/>
      <c r="L92" s="431"/>
      <c r="M92" s="431"/>
      <c r="N92" s="431"/>
      <c r="O92" s="431"/>
      <c r="P92" s="431"/>
      <c r="Q92" s="431"/>
      <c r="R92" s="431"/>
    </row>
    <row r="93" spans="2:35" x14ac:dyDescent="0.2">
      <c r="B93" s="64"/>
      <c r="C93" s="431"/>
      <c r="D93" s="431"/>
      <c r="E93" s="431"/>
      <c r="F93" s="64"/>
      <c r="G93" s="64"/>
      <c r="H93" s="64"/>
      <c r="I93" s="64"/>
      <c r="J93" s="64"/>
      <c r="K93" s="431"/>
      <c r="L93" s="431"/>
      <c r="M93" s="431"/>
      <c r="N93" s="431"/>
      <c r="O93" s="431"/>
      <c r="P93" s="431"/>
      <c r="Q93" s="431"/>
      <c r="R93" s="431"/>
    </row>
    <row r="94" spans="2:35" x14ac:dyDescent="0.2">
      <c r="B94" s="64"/>
      <c r="C94" s="431"/>
      <c r="D94" s="431"/>
      <c r="E94" s="431"/>
      <c r="F94" s="64"/>
      <c r="G94" s="64"/>
      <c r="H94" s="64"/>
      <c r="I94" s="64"/>
      <c r="J94" s="64"/>
      <c r="K94" s="431"/>
      <c r="L94" s="431"/>
      <c r="M94" s="431"/>
      <c r="N94" s="431"/>
      <c r="O94" s="431"/>
      <c r="P94" s="431"/>
      <c r="Q94" s="431"/>
      <c r="R94" s="431"/>
    </row>
    <row r="95" spans="2:35" x14ac:dyDescent="0.2">
      <c r="B95" s="64"/>
      <c r="C95" s="431"/>
      <c r="D95" s="431"/>
      <c r="E95" s="431"/>
      <c r="F95" s="64"/>
      <c r="G95" s="64"/>
      <c r="H95" s="64"/>
      <c r="I95" s="64"/>
      <c r="J95" s="64"/>
      <c r="K95" s="431"/>
      <c r="L95" s="431"/>
      <c r="M95" s="431"/>
      <c r="N95" s="431"/>
      <c r="O95" s="431"/>
      <c r="P95" s="431"/>
      <c r="Q95" s="431"/>
      <c r="R95" s="431"/>
    </row>
    <row r="96" spans="2:35" x14ac:dyDescent="0.2">
      <c r="B96" s="64"/>
      <c r="C96" s="431"/>
      <c r="D96" s="431"/>
      <c r="E96" s="431"/>
      <c r="F96" s="64"/>
      <c r="G96" s="64"/>
      <c r="H96" s="64"/>
      <c r="I96" s="64"/>
      <c r="J96" s="64"/>
      <c r="K96" s="431"/>
      <c r="L96" s="431"/>
      <c r="M96" s="431"/>
      <c r="N96" s="431"/>
      <c r="O96" s="431"/>
      <c r="P96" s="431"/>
      <c r="Q96" s="431"/>
      <c r="R96" s="431"/>
    </row>
    <row r="97" spans="2:18" x14ac:dyDescent="0.2">
      <c r="B97" s="64"/>
      <c r="C97" s="431"/>
      <c r="D97" s="431"/>
      <c r="E97" s="431"/>
      <c r="F97" s="64"/>
      <c r="G97" s="64"/>
      <c r="H97" s="64"/>
      <c r="I97" s="64"/>
      <c r="J97" s="64"/>
      <c r="K97" s="431"/>
      <c r="L97" s="431"/>
      <c r="M97" s="431"/>
      <c r="N97" s="431"/>
      <c r="O97" s="431"/>
      <c r="P97" s="431"/>
      <c r="Q97" s="431"/>
      <c r="R97" s="431"/>
    </row>
    <row r="98" spans="2:18" x14ac:dyDescent="0.2">
      <c r="B98" s="64"/>
      <c r="C98" s="431"/>
      <c r="D98" s="431"/>
      <c r="E98" s="431"/>
      <c r="F98" s="64"/>
      <c r="G98" s="64"/>
      <c r="H98" s="64"/>
      <c r="I98" s="64"/>
      <c r="J98" s="64"/>
      <c r="K98" s="431"/>
      <c r="L98" s="431"/>
      <c r="M98" s="431"/>
      <c r="N98" s="431"/>
      <c r="O98" s="431"/>
      <c r="P98" s="431"/>
      <c r="Q98" s="431"/>
      <c r="R98" s="431"/>
    </row>
    <row r="99" spans="2:18" x14ac:dyDescent="0.2">
      <c r="B99" s="64"/>
      <c r="C99" s="431"/>
      <c r="D99" s="431"/>
      <c r="E99" s="431"/>
      <c r="F99" s="64"/>
      <c r="G99" s="64"/>
      <c r="H99" s="64"/>
      <c r="I99" s="64"/>
      <c r="J99" s="64"/>
      <c r="K99" s="431"/>
      <c r="L99" s="431"/>
      <c r="M99" s="431"/>
      <c r="N99" s="431"/>
      <c r="O99" s="431"/>
      <c r="P99" s="431"/>
      <c r="Q99" s="431"/>
      <c r="R99" s="431"/>
    </row>
    <row r="100" spans="2:18" x14ac:dyDescent="0.2">
      <c r="B100" s="64"/>
      <c r="C100" s="431"/>
      <c r="D100" s="431"/>
      <c r="E100" s="431"/>
      <c r="F100" s="64"/>
      <c r="G100" s="64"/>
      <c r="H100" s="64"/>
      <c r="I100" s="64"/>
      <c r="J100" s="64"/>
      <c r="K100" s="431"/>
      <c r="L100" s="431"/>
      <c r="M100" s="431"/>
      <c r="N100" s="431"/>
      <c r="O100" s="431"/>
      <c r="P100" s="431"/>
      <c r="Q100" s="431"/>
      <c r="R100" s="431"/>
    </row>
    <row r="101" spans="2:18" x14ac:dyDescent="0.2">
      <c r="B101" s="64"/>
      <c r="C101" s="431"/>
      <c r="D101" s="431"/>
      <c r="E101" s="431"/>
      <c r="F101" s="64"/>
      <c r="G101" s="64"/>
      <c r="H101" s="64"/>
      <c r="I101" s="64"/>
      <c r="J101" s="64"/>
      <c r="K101" s="431"/>
      <c r="L101" s="431"/>
      <c r="M101" s="431"/>
      <c r="N101" s="431"/>
      <c r="O101" s="431"/>
      <c r="P101" s="431"/>
      <c r="Q101" s="431"/>
      <c r="R101" s="431"/>
    </row>
    <row r="102" spans="2:18" x14ac:dyDescent="0.2">
      <c r="B102" s="64"/>
      <c r="C102" s="431"/>
      <c r="D102" s="431"/>
      <c r="E102" s="431"/>
      <c r="F102" s="64"/>
      <c r="G102" s="64"/>
      <c r="H102" s="64"/>
      <c r="I102" s="64"/>
      <c r="J102" s="64"/>
      <c r="K102" s="431"/>
      <c r="L102" s="431"/>
      <c r="M102" s="431"/>
      <c r="N102" s="431"/>
      <c r="O102" s="431"/>
      <c r="P102" s="431"/>
      <c r="Q102" s="431"/>
      <c r="R102" s="431"/>
    </row>
    <row r="103" spans="2:18" x14ac:dyDescent="0.2">
      <c r="B103" s="64"/>
      <c r="C103" s="431"/>
      <c r="D103" s="431"/>
      <c r="E103" s="431"/>
      <c r="F103" s="64"/>
      <c r="G103" s="64"/>
      <c r="H103" s="64"/>
      <c r="I103" s="64"/>
      <c r="J103" s="64"/>
      <c r="K103" s="431"/>
      <c r="L103" s="431"/>
      <c r="M103" s="431"/>
      <c r="N103" s="431"/>
      <c r="O103" s="431"/>
      <c r="P103" s="431"/>
      <c r="Q103" s="431"/>
      <c r="R103" s="431"/>
    </row>
    <row r="104" spans="2:18" x14ac:dyDescent="0.2">
      <c r="B104" s="64"/>
      <c r="C104" s="431"/>
      <c r="D104" s="431"/>
      <c r="E104" s="431"/>
      <c r="F104" s="64"/>
      <c r="G104" s="64"/>
      <c r="H104" s="64"/>
      <c r="I104" s="64"/>
      <c r="J104" s="64"/>
      <c r="K104" s="431"/>
      <c r="L104" s="431"/>
      <c r="M104" s="431"/>
      <c r="N104" s="431"/>
      <c r="O104" s="431"/>
      <c r="P104" s="431"/>
      <c r="Q104" s="431"/>
      <c r="R104" s="431"/>
    </row>
    <row r="105" spans="2:18" x14ac:dyDescent="0.2">
      <c r="B105" s="64"/>
      <c r="C105" s="431"/>
      <c r="D105" s="431"/>
      <c r="E105" s="431"/>
      <c r="F105" s="64"/>
      <c r="G105" s="64"/>
      <c r="H105" s="64"/>
      <c r="I105" s="64"/>
      <c r="J105" s="64"/>
      <c r="K105" s="431"/>
      <c r="L105" s="431"/>
      <c r="M105" s="431"/>
      <c r="N105" s="431"/>
      <c r="O105" s="431"/>
      <c r="P105" s="431"/>
      <c r="Q105" s="431"/>
      <c r="R105" s="431"/>
    </row>
    <row r="106" spans="2:18" x14ac:dyDescent="0.2">
      <c r="B106" s="64"/>
      <c r="C106" s="431"/>
      <c r="D106" s="431"/>
      <c r="E106" s="431"/>
      <c r="F106" s="64"/>
      <c r="G106" s="64"/>
      <c r="H106" s="64"/>
      <c r="I106" s="64"/>
      <c r="J106" s="64"/>
      <c r="K106" s="431"/>
      <c r="L106" s="431"/>
      <c r="M106" s="431"/>
      <c r="N106" s="431"/>
      <c r="O106" s="431"/>
      <c r="P106" s="431"/>
      <c r="Q106" s="431"/>
      <c r="R106" s="431"/>
    </row>
    <row r="107" spans="2:18" x14ac:dyDescent="0.2">
      <c r="B107" s="64"/>
      <c r="C107" s="431"/>
      <c r="D107" s="431"/>
      <c r="E107" s="431"/>
      <c r="F107" s="64"/>
      <c r="G107" s="64"/>
      <c r="H107" s="64"/>
      <c r="I107" s="64"/>
      <c r="J107" s="64"/>
      <c r="K107" s="431"/>
      <c r="L107" s="431"/>
      <c r="M107" s="431"/>
      <c r="N107" s="431"/>
      <c r="O107" s="431"/>
      <c r="P107" s="431"/>
      <c r="Q107" s="431"/>
      <c r="R107" s="431"/>
    </row>
    <row r="108" spans="2:18" x14ac:dyDescent="0.2">
      <c r="B108" s="64"/>
      <c r="C108" s="431"/>
      <c r="D108" s="431"/>
      <c r="E108" s="431"/>
      <c r="F108" s="64"/>
      <c r="G108" s="64"/>
      <c r="H108" s="64"/>
      <c r="I108" s="64"/>
      <c r="J108" s="64"/>
      <c r="K108" s="431"/>
      <c r="L108" s="431"/>
      <c r="M108" s="431"/>
      <c r="N108" s="431"/>
      <c r="O108" s="431"/>
      <c r="P108" s="431"/>
      <c r="Q108" s="431"/>
      <c r="R108" s="431"/>
    </row>
    <row r="109" spans="2:18" x14ac:dyDescent="0.2">
      <c r="B109" s="64"/>
      <c r="C109" s="431"/>
      <c r="D109" s="431"/>
      <c r="E109" s="431"/>
      <c r="F109" s="64"/>
      <c r="G109" s="64"/>
      <c r="H109" s="64"/>
      <c r="I109" s="64"/>
      <c r="J109" s="64"/>
      <c r="K109" s="431"/>
      <c r="L109" s="431"/>
      <c r="M109" s="431"/>
      <c r="N109" s="431"/>
      <c r="O109" s="431"/>
      <c r="P109" s="431"/>
      <c r="Q109" s="431"/>
      <c r="R109" s="431"/>
    </row>
    <row r="110" spans="2:18" x14ac:dyDescent="0.2">
      <c r="B110" s="64"/>
      <c r="C110" s="431"/>
      <c r="D110" s="431"/>
      <c r="E110" s="431"/>
      <c r="F110" s="64"/>
      <c r="G110" s="64"/>
      <c r="H110" s="64"/>
      <c r="I110" s="64"/>
      <c r="J110" s="64"/>
      <c r="K110" s="431"/>
      <c r="L110" s="431"/>
      <c r="M110" s="431"/>
      <c r="N110" s="431"/>
      <c r="O110" s="431"/>
      <c r="P110" s="431"/>
      <c r="Q110" s="431"/>
      <c r="R110" s="431"/>
    </row>
    <row r="111" spans="2:18" x14ac:dyDescent="0.2">
      <c r="B111" s="64"/>
      <c r="C111" s="431"/>
      <c r="D111" s="431"/>
      <c r="E111" s="431"/>
      <c r="F111" s="64"/>
      <c r="G111" s="64"/>
      <c r="H111" s="64"/>
      <c r="I111" s="64"/>
      <c r="J111" s="64"/>
      <c r="K111" s="431"/>
      <c r="L111" s="431"/>
      <c r="M111" s="431"/>
      <c r="N111" s="431"/>
      <c r="O111" s="431"/>
      <c r="P111" s="431"/>
      <c r="Q111" s="431"/>
      <c r="R111" s="431"/>
    </row>
    <row r="112" spans="2:18" x14ac:dyDescent="0.2">
      <c r="B112" s="64"/>
      <c r="C112" s="431"/>
      <c r="D112" s="431"/>
      <c r="E112" s="431"/>
      <c r="F112" s="64"/>
      <c r="G112" s="64"/>
      <c r="H112" s="64"/>
      <c r="I112" s="64"/>
      <c r="J112" s="64"/>
      <c r="K112" s="431"/>
      <c r="L112" s="431"/>
      <c r="M112" s="431"/>
      <c r="N112" s="431"/>
      <c r="O112" s="431"/>
      <c r="P112" s="431"/>
      <c r="Q112" s="431"/>
      <c r="R112" s="431"/>
    </row>
    <row r="113" spans="1:18" x14ac:dyDescent="0.2">
      <c r="B113" s="64"/>
      <c r="C113" s="431"/>
      <c r="D113" s="431"/>
      <c r="E113" s="431"/>
      <c r="F113" s="64"/>
      <c r="G113" s="64"/>
      <c r="H113" s="64"/>
      <c r="I113" s="64"/>
      <c r="J113" s="64"/>
      <c r="K113" s="431"/>
      <c r="L113" s="431"/>
      <c r="M113" s="431"/>
      <c r="N113" s="431"/>
      <c r="O113" s="431"/>
      <c r="P113" s="431"/>
      <c r="Q113" s="431"/>
      <c r="R113" s="431"/>
    </row>
    <row r="114" spans="1:18" x14ac:dyDescent="0.2">
      <c r="B114" s="64"/>
      <c r="C114" s="431"/>
      <c r="D114" s="431"/>
      <c r="E114" s="431"/>
      <c r="F114" s="64"/>
      <c r="G114" s="64"/>
      <c r="H114" s="64"/>
      <c r="I114" s="64"/>
      <c r="J114" s="64"/>
      <c r="K114" s="431"/>
      <c r="L114" s="431"/>
      <c r="M114" s="431"/>
      <c r="N114" s="431"/>
      <c r="O114" s="431"/>
      <c r="P114" s="431"/>
      <c r="Q114" s="431"/>
      <c r="R114" s="431"/>
    </row>
    <row r="115" spans="1:18" x14ac:dyDescent="0.2">
      <c r="B115" s="64"/>
      <c r="C115" s="431"/>
      <c r="D115" s="431"/>
      <c r="E115" s="431"/>
      <c r="F115" s="64"/>
      <c r="G115" s="64"/>
      <c r="H115" s="64"/>
      <c r="I115" s="64"/>
      <c r="J115" s="64"/>
      <c r="K115" s="431"/>
      <c r="L115" s="431"/>
      <c r="M115" s="431"/>
      <c r="N115" s="431"/>
      <c r="O115" s="431"/>
      <c r="P115" s="431"/>
      <c r="Q115" s="431"/>
      <c r="R115" s="431"/>
    </row>
    <row r="116" spans="1:18" x14ac:dyDescent="0.2">
      <c r="B116" s="64"/>
      <c r="C116" s="431"/>
      <c r="D116" s="431"/>
      <c r="E116" s="431"/>
      <c r="F116" s="64"/>
      <c r="G116" s="64"/>
      <c r="H116" s="64"/>
      <c r="I116" s="64"/>
      <c r="J116" s="64"/>
      <c r="K116" s="431"/>
      <c r="L116" s="431"/>
      <c r="M116" s="431"/>
      <c r="N116" s="431"/>
      <c r="O116" s="431"/>
      <c r="P116" s="431"/>
      <c r="Q116" s="431"/>
      <c r="R116" s="431"/>
    </row>
    <row r="117" spans="1:18" x14ac:dyDescent="0.2">
      <c r="B117" s="64"/>
      <c r="C117" s="431"/>
      <c r="D117" s="431"/>
      <c r="E117" s="431"/>
      <c r="F117" s="64"/>
      <c r="G117" s="64"/>
      <c r="H117" s="64"/>
      <c r="I117" s="64"/>
      <c r="J117" s="64"/>
      <c r="K117" s="431"/>
      <c r="L117" s="431"/>
      <c r="M117" s="431"/>
      <c r="N117" s="431"/>
      <c r="O117" s="431"/>
      <c r="P117" s="431"/>
      <c r="Q117" s="431"/>
      <c r="R117" s="431"/>
    </row>
    <row r="118" spans="1:18" x14ac:dyDescent="0.2">
      <c r="B118" s="64"/>
      <c r="C118" s="431"/>
      <c r="D118" s="431"/>
      <c r="E118" s="431"/>
      <c r="F118" s="64"/>
      <c r="G118" s="64"/>
      <c r="H118" s="64"/>
      <c r="I118" s="64"/>
      <c r="J118" s="64"/>
      <c r="K118" s="431"/>
      <c r="L118" s="431"/>
      <c r="M118" s="431"/>
      <c r="N118" s="431"/>
      <c r="O118" s="431"/>
      <c r="P118" s="431"/>
      <c r="Q118" s="431"/>
      <c r="R118" s="431"/>
    </row>
    <row r="119" spans="1:18" x14ac:dyDescent="0.2">
      <c r="B119" s="64"/>
      <c r="C119" s="431"/>
      <c r="D119" s="431"/>
      <c r="E119" s="431"/>
      <c r="F119" s="64"/>
      <c r="G119" s="64"/>
      <c r="H119" s="64"/>
      <c r="I119" s="64"/>
      <c r="J119" s="64"/>
      <c r="K119" s="431"/>
      <c r="L119" s="431"/>
      <c r="M119" s="431"/>
      <c r="N119" s="431"/>
      <c r="O119" s="431"/>
      <c r="P119" s="431"/>
      <c r="Q119" s="431"/>
      <c r="R119" s="431"/>
    </row>
    <row r="120" spans="1:18" x14ac:dyDescent="0.2">
      <c r="B120" s="64"/>
      <c r="C120" s="431"/>
      <c r="D120" s="431"/>
      <c r="E120" s="431"/>
      <c r="F120" s="64"/>
      <c r="G120" s="64"/>
      <c r="H120" s="64"/>
      <c r="I120" s="64"/>
      <c r="J120" s="64"/>
      <c r="K120" s="431"/>
      <c r="L120" s="431"/>
      <c r="M120" s="431"/>
      <c r="N120" s="431"/>
      <c r="O120" s="431"/>
      <c r="P120" s="431"/>
      <c r="Q120" s="431"/>
      <c r="R120" s="431"/>
    </row>
    <row r="121" spans="1:18" x14ac:dyDescent="0.2">
      <c r="B121" s="64"/>
      <c r="C121" s="431"/>
      <c r="D121" s="431"/>
      <c r="E121" s="431"/>
      <c r="F121" s="64"/>
      <c r="G121" s="64"/>
      <c r="H121" s="64"/>
      <c r="I121" s="64"/>
      <c r="J121" s="64"/>
      <c r="K121" s="431"/>
      <c r="L121" s="431"/>
      <c r="M121" s="431"/>
      <c r="N121" s="431"/>
      <c r="O121" s="431"/>
      <c r="P121" s="431"/>
      <c r="Q121" s="431"/>
      <c r="R121" s="431"/>
    </row>
    <row r="122" spans="1:18" x14ac:dyDescent="0.2">
      <c r="B122" s="64"/>
      <c r="C122" s="431"/>
      <c r="D122" s="431"/>
      <c r="E122" s="431"/>
      <c r="F122" s="64"/>
      <c r="G122" s="64"/>
      <c r="H122" s="64"/>
      <c r="I122" s="64"/>
      <c r="J122" s="64"/>
      <c r="K122" s="431"/>
      <c r="L122" s="431"/>
      <c r="M122" s="431"/>
      <c r="N122" s="431"/>
      <c r="O122" s="431"/>
      <c r="P122" s="431"/>
      <c r="Q122" s="431"/>
      <c r="R122" s="431"/>
    </row>
    <row r="123" spans="1:18" x14ac:dyDescent="0.2">
      <c r="B123" s="64"/>
      <c r="C123" s="431"/>
      <c r="D123" s="431"/>
      <c r="E123" s="431"/>
      <c r="F123" s="64"/>
      <c r="G123" s="64"/>
      <c r="H123" s="64"/>
      <c r="I123" s="64"/>
      <c r="J123" s="64"/>
      <c r="K123" s="431"/>
      <c r="L123" s="431"/>
      <c r="M123" s="431"/>
      <c r="N123" s="431"/>
      <c r="O123" s="431"/>
      <c r="P123" s="431"/>
      <c r="Q123" s="431"/>
      <c r="R123" s="431"/>
    </row>
    <row r="124" spans="1:18" x14ac:dyDescent="0.2">
      <c r="A124" s="431"/>
      <c r="B124" s="64"/>
      <c r="C124" s="431"/>
      <c r="D124" s="431"/>
      <c r="E124" s="431"/>
      <c r="F124" s="64"/>
      <c r="G124" s="64"/>
      <c r="H124" s="64"/>
      <c r="I124" s="64"/>
      <c r="J124" s="64"/>
      <c r="K124" s="431"/>
      <c r="L124" s="431"/>
      <c r="M124" s="431"/>
      <c r="N124" s="431"/>
      <c r="O124" s="431"/>
      <c r="P124" s="431"/>
      <c r="Q124" s="431"/>
      <c r="R124" s="431"/>
    </row>
    <row r="125" spans="1:18" x14ac:dyDescent="0.2">
      <c r="A125" s="431"/>
      <c r="B125" s="64"/>
      <c r="C125" s="431"/>
      <c r="D125" s="431"/>
      <c r="E125" s="431"/>
      <c r="F125" s="64"/>
      <c r="G125" s="64"/>
      <c r="H125" s="64"/>
      <c r="I125" s="64"/>
      <c r="J125" s="64"/>
      <c r="K125" s="431"/>
      <c r="L125" s="431"/>
      <c r="M125" s="431"/>
      <c r="N125" s="431"/>
      <c r="O125" s="431"/>
      <c r="P125" s="431"/>
      <c r="Q125" s="431"/>
      <c r="R125" s="431"/>
    </row>
    <row r="126" spans="1:18" x14ac:dyDescent="0.2">
      <c r="A126" s="431"/>
      <c r="B126" s="64"/>
      <c r="C126" s="431"/>
      <c r="D126" s="431"/>
      <c r="E126" s="431"/>
      <c r="F126" s="64"/>
      <c r="G126" s="64"/>
      <c r="H126" s="64"/>
      <c r="I126" s="64"/>
      <c r="J126" s="64"/>
      <c r="K126" s="431"/>
      <c r="L126" s="431"/>
      <c r="M126" s="431"/>
      <c r="N126" s="431"/>
      <c r="O126" s="431"/>
      <c r="P126" s="431"/>
      <c r="Q126" s="431"/>
      <c r="R126" s="431"/>
    </row>
    <row r="127" spans="1:18" x14ac:dyDescent="0.2">
      <c r="A127" s="431"/>
      <c r="B127" s="64"/>
      <c r="C127" s="431"/>
      <c r="D127" s="431"/>
      <c r="E127" s="431"/>
      <c r="F127" s="64"/>
      <c r="G127" s="64"/>
      <c r="H127" s="64"/>
      <c r="I127" s="64"/>
      <c r="J127" s="64"/>
      <c r="K127" s="431"/>
      <c r="L127" s="431"/>
      <c r="M127" s="431"/>
      <c r="N127" s="431"/>
      <c r="O127" s="431"/>
      <c r="P127" s="431"/>
      <c r="Q127" s="431"/>
      <c r="R127" s="431"/>
    </row>
    <row r="128" spans="1:18" x14ac:dyDescent="0.2">
      <c r="A128" s="431"/>
      <c r="B128" s="64"/>
      <c r="C128" s="431"/>
      <c r="D128" s="431"/>
      <c r="E128" s="431"/>
      <c r="F128" s="64"/>
      <c r="G128" s="64"/>
      <c r="H128" s="64"/>
      <c r="I128" s="64"/>
      <c r="J128" s="64"/>
      <c r="K128" s="431"/>
      <c r="L128" s="431"/>
      <c r="M128" s="431"/>
      <c r="N128" s="431"/>
      <c r="O128" s="431"/>
      <c r="P128" s="431"/>
      <c r="Q128" s="431"/>
      <c r="R128" s="431"/>
    </row>
    <row r="129" spans="1:18" x14ac:dyDescent="0.2">
      <c r="A129" s="431"/>
      <c r="B129" s="64"/>
      <c r="C129" s="431"/>
      <c r="D129" s="431"/>
      <c r="E129" s="431"/>
      <c r="F129" s="64"/>
      <c r="G129" s="64"/>
      <c r="H129" s="64"/>
      <c r="I129" s="64"/>
      <c r="J129" s="64"/>
      <c r="K129" s="431"/>
      <c r="L129" s="431"/>
      <c r="M129" s="431"/>
      <c r="N129" s="431"/>
      <c r="O129" s="431"/>
      <c r="P129" s="431"/>
      <c r="Q129" s="431"/>
      <c r="R129" s="431"/>
    </row>
    <row r="130" spans="1:18" x14ac:dyDescent="0.2">
      <c r="A130" s="431"/>
      <c r="B130" s="64"/>
      <c r="C130" s="431"/>
      <c r="D130" s="431"/>
      <c r="E130" s="431"/>
      <c r="F130" s="64"/>
      <c r="G130" s="64"/>
      <c r="H130" s="64"/>
      <c r="I130" s="64"/>
      <c r="J130" s="64"/>
      <c r="K130" s="431"/>
      <c r="L130" s="431"/>
      <c r="M130" s="431"/>
      <c r="N130" s="431"/>
      <c r="O130" s="431"/>
      <c r="P130" s="431"/>
      <c r="Q130" s="431"/>
      <c r="R130" s="431"/>
    </row>
    <row r="131" spans="1:18" x14ac:dyDescent="0.2">
      <c r="A131" s="431"/>
      <c r="B131" s="64"/>
      <c r="C131" s="431"/>
      <c r="D131" s="431"/>
      <c r="E131" s="431"/>
      <c r="F131" s="64"/>
      <c r="G131" s="64"/>
      <c r="H131" s="64"/>
      <c r="I131" s="64"/>
      <c r="J131" s="64"/>
      <c r="K131" s="431"/>
      <c r="L131" s="431"/>
      <c r="M131" s="431"/>
      <c r="N131" s="431"/>
      <c r="O131" s="431"/>
      <c r="P131" s="431"/>
      <c r="Q131" s="431"/>
      <c r="R131" s="431"/>
    </row>
    <row r="132" spans="1:18" x14ac:dyDescent="0.2">
      <c r="A132" s="431"/>
      <c r="B132" s="64"/>
      <c r="C132" s="431"/>
      <c r="D132" s="431"/>
      <c r="E132" s="431"/>
      <c r="F132" s="64"/>
      <c r="G132" s="64"/>
      <c r="H132" s="64"/>
      <c r="I132" s="64"/>
      <c r="J132" s="64"/>
      <c r="K132" s="431"/>
      <c r="L132" s="431"/>
      <c r="M132" s="431"/>
      <c r="N132" s="431"/>
      <c r="O132" s="431"/>
      <c r="P132" s="431"/>
      <c r="Q132" s="431"/>
      <c r="R132" s="431"/>
    </row>
    <row r="133" spans="1:18" x14ac:dyDescent="0.2">
      <c r="A133" s="431"/>
      <c r="B133" s="64"/>
      <c r="C133" s="431"/>
      <c r="D133" s="431"/>
      <c r="E133" s="431"/>
      <c r="F133" s="64"/>
      <c r="G133" s="64"/>
      <c r="H133" s="64"/>
      <c r="I133" s="64"/>
      <c r="J133" s="64"/>
      <c r="K133" s="431"/>
      <c r="L133" s="431"/>
      <c r="M133" s="431"/>
      <c r="N133" s="431"/>
      <c r="O133" s="431"/>
      <c r="P133" s="431"/>
      <c r="Q133" s="431"/>
      <c r="R133" s="431"/>
    </row>
    <row r="134" spans="1:18" x14ac:dyDescent="0.2">
      <c r="A134" s="431"/>
      <c r="B134" s="64"/>
      <c r="C134" s="431"/>
      <c r="D134" s="431"/>
      <c r="E134" s="431"/>
      <c r="F134" s="64"/>
      <c r="G134" s="64"/>
      <c r="H134" s="64"/>
      <c r="I134" s="64"/>
      <c r="J134" s="64"/>
      <c r="K134" s="431"/>
      <c r="L134" s="431"/>
      <c r="M134" s="431"/>
      <c r="N134" s="431"/>
      <c r="O134" s="431"/>
      <c r="P134" s="431"/>
      <c r="Q134" s="431"/>
      <c r="R134" s="431"/>
    </row>
    <row r="135" spans="1:18" x14ac:dyDescent="0.2">
      <c r="A135" s="431"/>
      <c r="B135" s="64"/>
      <c r="C135" s="431"/>
      <c r="D135" s="431"/>
      <c r="E135" s="431"/>
      <c r="F135" s="64"/>
      <c r="G135" s="64"/>
      <c r="H135" s="64"/>
      <c r="I135" s="64"/>
      <c r="J135" s="64"/>
      <c r="K135" s="431"/>
      <c r="L135" s="431"/>
      <c r="M135" s="431"/>
      <c r="N135" s="431"/>
      <c r="O135" s="431"/>
      <c r="P135" s="431"/>
      <c r="Q135" s="431"/>
      <c r="R135" s="431"/>
    </row>
    <row r="136" spans="1:18" x14ac:dyDescent="0.2">
      <c r="A136" s="431"/>
      <c r="B136" s="64"/>
      <c r="C136" s="431"/>
      <c r="D136" s="431"/>
      <c r="E136" s="431"/>
      <c r="F136" s="64"/>
      <c r="G136" s="64"/>
      <c r="H136" s="64"/>
      <c r="I136" s="64"/>
      <c r="J136" s="64"/>
      <c r="K136" s="431"/>
      <c r="L136" s="431"/>
      <c r="M136" s="431"/>
      <c r="N136" s="431"/>
      <c r="O136" s="431"/>
      <c r="P136" s="431"/>
      <c r="Q136" s="431"/>
      <c r="R136" s="431"/>
    </row>
    <row r="137" spans="1:18" x14ac:dyDescent="0.2">
      <c r="A137" s="431"/>
      <c r="B137" s="64"/>
      <c r="C137" s="431"/>
      <c r="D137" s="431"/>
      <c r="E137" s="431"/>
      <c r="F137" s="64"/>
      <c r="G137" s="64"/>
      <c r="H137" s="64"/>
      <c r="I137" s="64"/>
      <c r="J137" s="64"/>
      <c r="K137" s="431"/>
      <c r="L137" s="431"/>
      <c r="M137" s="431"/>
      <c r="N137" s="431"/>
      <c r="O137" s="431"/>
      <c r="P137" s="431"/>
      <c r="Q137" s="431"/>
      <c r="R137" s="431"/>
    </row>
    <row r="138" spans="1:18" x14ac:dyDescent="0.2">
      <c r="A138" s="431"/>
      <c r="B138" s="64"/>
      <c r="C138" s="431"/>
      <c r="D138" s="431"/>
      <c r="E138" s="431"/>
      <c r="F138" s="64"/>
      <c r="G138" s="64"/>
      <c r="H138" s="64"/>
      <c r="I138" s="64"/>
      <c r="J138" s="64"/>
      <c r="K138" s="431"/>
      <c r="L138" s="431"/>
      <c r="M138" s="431"/>
      <c r="N138" s="431"/>
      <c r="O138" s="431"/>
      <c r="P138" s="431"/>
      <c r="Q138" s="431"/>
      <c r="R138" s="431"/>
    </row>
    <row r="139" spans="1:18" x14ac:dyDescent="0.2">
      <c r="A139" s="431"/>
      <c r="B139" s="64"/>
      <c r="C139" s="431"/>
      <c r="D139" s="431"/>
      <c r="E139" s="431"/>
      <c r="F139" s="64"/>
      <c r="G139" s="64"/>
      <c r="H139" s="64"/>
      <c r="I139" s="64"/>
      <c r="J139" s="64"/>
      <c r="K139" s="431"/>
      <c r="L139" s="431"/>
      <c r="M139" s="431"/>
      <c r="N139" s="431"/>
      <c r="O139" s="431"/>
      <c r="P139" s="431"/>
      <c r="Q139" s="431"/>
      <c r="R139" s="431"/>
    </row>
    <row r="140" spans="1:18" x14ac:dyDescent="0.2">
      <c r="A140" s="431"/>
      <c r="B140" s="64"/>
      <c r="C140" s="431"/>
      <c r="D140" s="431"/>
      <c r="E140" s="431"/>
      <c r="F140" s="64"/>
      <c r="G140" s="64"/>
      <c r="H140" s="64"/>
      <c r="I140" s="64"/>
      <c r="J140" s="64"/>
      <c r="K140" s="431"/>
      <c r="L140" s="431"/>
      <c r="M140" s="431"/>
      <c r="N140" s="431"/>
      <c r="O140" s="431"/>
      <c r="P140" s="431"/>
      <c r="Q140" s="431"/>
      <c r="R140" s="431"/>
    </row>
    <row r="141" spans="1:18" x14ac:dyDescent="0.2">
      <c r="A141" s="431"/>
      <c r="B141" s="64"/>
      <c r="C141" s="431"/>
      <c r="D141" s="431"/>
      <c r="E141" s="431"/>
      <c r="F141" s="64"/>
      <c r="G141" s="64"/>
      <c r="H141" s="64"/>
      <c r="I141" s="64"/>
      <c r="J141" s="64"/>
      <c r="K141" s="431"/>
      <c r="L141" s="431"/>
      <c r="M141" s="431"/>
      <c r="N141" s="431"/>
      <c r="O141" s="431"/>
      <c r="P141" s="431"/>
      <c r="Q141" s="431"/>
      <c r="R141" s="431"/>
    </row>
    <row r="142" spans="1:18" x14ac:dyDescent="0.2">
      <c r="A142" s="431"/>
      <c r="B142" s="64"/>
      <c r="C142" s="431"/>
      <c r="D142" s="431"/>
      <c r="E142" s="431"/>
      <c r="F142" s="64"/>
      <c r="G142" s="64"/>
      <c r="H142" s="64"/>
      <c r="I142" s="64"/>
      <c r="J142" s="64"/>
      <c r="K142" s="431"/>
      <c r="L142" s="431"/>
      <c r="M142" s="431"/>
      <c r="N142" s="431"/>
      <c r="O142" s="431"/>
      <c r="P142" s="431"/>
      <c r="Q142" s="431"/>
      <c r="R142" s="431"/>
    </row>
    <row r="143" spans="1:18" x14ac:dyDescent="0.2">
      <c r="A143" s="431"/>
      <c r="B143" s="64"/>
      <c r="C143" s="431"/>
      <c r="D143" s="431"/>
      <c r="E143" s="431"/>
      <c r="F143" s="64"/>
      <c r="G143" s="64"/>
      <c r="H143" s="64"/>
      <c r="I143" s="64"/>
      <c r="J143" s="64"/>
      <c r="K143" s="431"/>
      <c r="L143" s="431"/>
      <c r="M143" s="431"/>
      <c r="N143" s="431"/>
      <c r="O143" s="431"/>
      <c r="P143" s="431"/>
      <c r="Q143" s="431"/>
      <c r="R143" s="431"/>
    </row>
    <row r="144" spans="1:18" x14ac:dyDescent="0.2">
      <c r="A144" s="431"/>
      <c r="B144" s="64"/>
      <c r="C144" s="431"/>
      <c r="D144" s="431"/>
      <c r="E144" s="431"/>
      <c r="F144" s="64"/>
      <c r="G144" s="64"/>
      <c r="H144" s="64"/>
      <c r="I144" s="64"/>
      <c r="J144" s="64"/>
      <c r="K144" s="431"/>
      <c r="L144" s="431"/>
      <c r="M144" s="431"/>
      <c r="N144" s="431"/>
      <c r="O144" s="431"/>
      <c r="P144" s="431"/>
      <c r="Q144" s="431"/>
      <c r="R144" s="431"/>
    </row>
    <row r="145" spans="1:18" x14ac:dyDescent="0.2">
      <c r="A145" s="431"/>
      <c r="B145" s="64"/>
      <c r="C145" s="431"/>
      <c r="D145" s="431"/>
      <c r="E145" s="431"/>
      <c r="F145" s="64"/>
      <c r="G145" s="64"/>
      <c r="H145" s="64"/>
      <c r="I145" s="64"/>
      <c r="J145" s="64"/>
      <c r="K145" s="431"/>
      <c r="L145" s="431"/>
      <c r="M145" s="431"/>
      <c r="N145" s="431"/>
      <c r="O145" s="431"/>
      <c r="P145" s="431"/>
      <c r="Q145" s="431"/>
      <c r="R145" s="431"/>
    </row>
    <row r="146" spans="1:18" x14ac:dyDescent="0.2">
      <c r="A146" s="431"/>
      <c r="B146" s="64"/>
      <c r="C146" s="431"/>
      <c r="D146" s="431"/>
      <c r="E146" s="431"/>
      <c r="F146" s="64"/>
      <c r="G146" s="64"/>
      <c r="H146" s="64"/>
      <c r="I146" s="64"/>
      <c r="J146" s="64"/>
      <c r="K146" s="431"/>
      <c r="L146" s="431"/>
      <c r="M146" s="431"/>
      <c r="N146" s="431"/>
      <c r="O146" s="431"/>
      <c r="P146" s="431"/>
      <c r="Q146" s="431"/>
      <c r="R146" s="431"/>
    </row>
    <row r="147" spans="1:18" x14ac:dyDescent="0.2">
      <c r="A147" s="431"/>
      <c r="B147" s="64"/>
      <c r="C147" s="431"/>
      <c r="D147" s="431"/>
      <c r="E147" s="431"/>
      <c r="F147" s="64"/>
      <c r="G147" s="64"/>
      <c r="H147" s="64"/>
      <c r="I147" s="64"/>
      <c r="J147" s="64"/>
      <c r="K147" s="431"/>
      <c r="L147" s="431"/>
      <c r="M147" s="431"/>
      <c r="N147" s="431"/>
      <c r="O147" s="431"/>
      <c r="P147" s="431"/>
      <c r="Q147" s="431"/>
      <c r="R147" s="431"/>
    </row>
    <row r="148" spans="1:18" x14ac:dyDescent="0.2">
      <c r="A148" s="431"/>
      <c r="B148" s="64"/>
      <c r="C148" s="431"/>
      <c r="D148" s="431"/>
      <c r="E148" s="431"/>
      <c r="F148" s="64"/>
      <c r="G148" s="64"/>
      <c r="H148" s="64"/>
      <c r="I148" s="64"/>
      <c r="J148" s="64"/>
      <c r="K148" s="431"/>
      <c r="L148" s="431"/>
      <c r="M148" s="431"/>
      <c r="N148" s="431"/>
      <c r="O148" s="431"/>
      <c r="P148" s="431"/>
      <c r="Q148" s="431"/>
      <c r="R148" s="431"/>
    </row>
    <row r="149" spans="1:18" x14ac:dyDescent="0.2">
      <c r="A149" s="431"/>
      <c r="B149" s="64"/>
      <c r="C149" s="431"/>
      <c r="D149" s="431"/>
      <c r="E149" s="431"/>
      <c r="F149" s="64"/>
      <c r="G149" s="64"/>
      <c r="H149" s="64"/>
      <c r="I149" s="64"/>
      <c r="J149" s="64"/>
      <c r="K149" s="431"/>
      <c r="L149" s="431"/>
      <c r="M149" s="431"/>
      <c r="N149" s="431"/>
      <c r="O149" s="431"/>
      <c r="P149" s="431"/>
      <c r="Q149" s="431"/>
      <c r="R149" s="431"/>
    </row>
    <row r="150" spans="1:18" x14ac:dyDescent="0.2">
      <c r="A150" s="431"/>
      <c r="B150" s="64"/>
      <c r="C150" s="431"/>
      <c r="D150" s="431"/>
      <c r="E150" s="431"/>
      <c r="F150" s="64"/>
      <c r="G150" s="64"/>
      <c r="H150" s="64"/>
      <c r="I150" s="64"/>
      <c r="J150" s="64"/>
      <c r="K150" s="431"/>
      <c r="L150" s="431"/>
      <c r="M150" s="431"/>
      <c r="N150" s="431"/>
      <c r="O150" s="431"/>
      <c r="P150" s="431"/>
      <c r="Q150" s="431"/>
      <c r="R150" s="431"/>
    </row>
    <row r="151" spans="1:18" x14ac:dyDescent="0.2">
      <c r="A151" s="431"/>
      <c r="B151" s="64"/>
      <c r="C151" s="431"/>
      <c r="D151" s="431"/>
      <c r="E151" s="431"/>
      <c r="F151" s="64"/>
      <c r="G151" s="64"/>
      <c r="H151" s="64"/>
      <c r="I151" s="64"/>
      <c r="J151" s="64"/>
      <c r="K151" s="431"/>
      <c r="L151" s="431"/>
      <c r="M151" s="431"/>
      <c r="N151" s="431"/>
      <c r="O151" s="431"/>
      <c r="P151" s="431"/>
      <c r="Q151" s="431"/>
      <c r="R151" s="431"/>
    </row>
    <row r="152" spans="1:18" x14ac:dyDescent="0.2">
      <c r="A152" s="431"/>
      <c r="B152" s="64"/>
      <c r="C152" s="431"/>
      <c r="D152" s="431"/>
      <c r="E152" s="431"/>
      <c r="F152" s="64"/>
      <c r="G152" s="64"/>
      <c r="H152" s="64"/>
      <c r="I152" s="64"/>
      <c r="J152" s="64"/>
      <c r="K152" s="431"/>
      <c r="L152" s="431"/>
      <c r="M152" s="431"/>
      <c r="N152" s="431"/>
      <c r="O152" s="431"/>
      <c r="P152" s="431"/>
      <c r="Q152" s="431"/>
      <c r="R152" s="431"/>
    </row>
    <row r="153" spans="1:18" x14ac:dyDescent="0.2">
      <c r="A153" s="431"/>
      <c r="B153" s="64"/>
      <c r="C153" s="431"/>
      <c r="D153" s="431"/>
      <c r="E153" s="431"/>
      <c r="F153" s="64"/>
      <c r="G153" s="64"/>
      <c r="H153" s="64"/>
      <c r="I153" s="64"/>
      <c r="J153" s="64"/>
      <c r="K153" s="431"/>
      <c r="L153" s="431"/>
      <c r="M153" s="431"/>
      <c r="N153" s="431"/>
      <c r="O153" s="431"/>
      <c r="P153" s="431"/>
      <c r="Q153" s="431"/>
      <c r="R153" s="431"/>
    </row>
    <row r="154" spans="1:18" x14ac:dyDescent="0.2">
      <c r="A154" s="431"/>
      <c r="B154" s="64"/>
      <c r="C154" s="431"/>
      <c r="D154" s="431"/>
      <c r="E154" s="431"/>
      <c r="F154" s="64"/>
      <c r="G154" s="64"/>
      <c r="H154" s="64"/>
      <c r="I154" s="64"/>
      <c r="J154" s="64"/>
      <c r="K154" s="431"/>
      <c r="L154" s="431"/>
      <c r="M154" s="431"/>
      <c r="N154" s="431"/>
      <c r="O154" s="431"/>
      <c r="P154" s="431"/>
      <c r="Q154" s="431"/>
      <c r="R154" s="431"/>
    </row>
    <row r="155" spans="1:18" x14ac:dyDescent="0.2">
      <c r="A155" s="431"/>
      <c r="B155" s="64"/>
      <c r="C155" s="431"/>
      <c r="D155" s="431"/>
      <c r="E155" s="431"/>
      <c r="F155" s="64"/>
      <c r="G155" s="64"/>
      <c r="H155" s="64"/>
      <c r="I155" s="64"/>
      <c r="J155" s="64"/>
      <c r="K155" s="431"/>
      <c r="L155" s="431"/>
      <c r="M155" s="431"/>
      <c r="N155" s="431"/>
      <c r="O155" s="431"/>
      <c r="P155" s="431"/>
      <c r="Q155" s="431"/>
      <c r="R155" s="431"/>
    </row>
    <row r="156" spans="1:18" x14ac:dyDescent="0.2">
      <c r="A156" s="431"/>
      <c r="B156" s="64"/>
      <c r="C156" s="431"/>
      <c r="D156" s="431"/>
      <c r="E156" s="431"/>
      <c r="F156" s="64"/>
      <c r="G156" s="64"/>
      <c r="H156" s="64"/>
      <c r="I156" s="64"/>
      <c r="J156" s="64"/>
      <c r="K156" s="431"/>
      <c r="L156" s="431"/>
      <c r="M156" s="431"/>
      <c r="N156" s="431"/>
      <c r="O156" s="431"/>
      <c r="P156" s="431"/>
      <c r="Q156" s="431"/>
      <c r="R156" s="431"/>
    </row>
    <row r="157" spans="1:18" x14ac:dyDescent="0.2">
      <c r="A157" s="431"/>
      <c r="B157" s="64"/>
      <c r="C157" s="431"/>
      <c r="D157" s="431"/>
      <c r="E157" s="431"/>
      <c r="F157" s="64"/>
      <c r="G157" s="64"/>
      <c r="H157" s="64"/>
      <c r="I157" s="64"/>
      <c r="J157" s="64"/>
      <c r="K157" s="431"/>
      <c r="L157" s="431"/>
      <c r="M157" s="431"/>
      <c r="N157" s="431"/>
      <c r="O157" s="431"/>
      <c r="P157" s="431"/>
      <c r="Q157" s="431"/>
      <c r="R157" s="431"/>
    </row>
    <row r="158" spans="1:18" x14ac:dyDescent="0.2">
      <c r="A158" s="431"/>
      <c r="B158" s="64"/>
      <c r="C158" s="431"/>
      <c r="D158" s="431"/>
      <c r="E158" s="431"/>
      <c r="F158" s="64"/>
      <c r="G158" s="64"/>
      <c r="H158" s="64"/>
      <c r="I158" s="64"/>
      <c r="J158" s="64"/>
      <c r="K158" s="431"/>
      <c r="L158" s="431"/>
      <c r="M158" s="431"/>
      <c r="N158" s="431"/>
      <c r="O158" s="431"/>
      <c r="P158" s="431"/>
      <c r="Q158" s="431"/>
      <c r="R158" s="431"/>
    </row>
    <row r="159" spans="1:18" x14ac:dyDescent="0.2">
      <c r="A159" s="431"/>
      <c r="B159" s="64"/>
      <c r="C159" s="431"/>
      <c r="D159" s="431"/>
      <c r="E159" s="431"/>
      <c r="F159" s="64"/>
      <c r="G159" s="64"/>
      <c r="H159" s="64"/>
      <c r="I159" s="64"/>
      <c r="J159" s="64"/>
      <c r="K159" s="431"/>
      <c r="L159" s="431"/>
      <c r="M159" s="431"/>
      <c r="N159" s="431"/>
      <c r="O159" s="431"/>
      <c r="P159" s="431"/>
      <c r="Q159" s="431"/>
      <c r="R159" s="431"/>
    </row>
    <row r="160" spans="1:18" x14ac:dyDescent="0.2">
      <c r="A160" s="431"/>
      <c r="B160" s="64"/>
      <c r="C160" s="431"/>
      <c r="D160" s="431"/>
      <c r="E160" s="431"/>
      <c r="F160" s="64"/>
      <c r="G160" s="64"/>
      <c r="H160" s="64"/>
      <c r="I160" s="64"/>
      <c r="J160" s="64"/>
      <c r="K160" s="431"/>
      <c r="L160" s="431"/>
      <c r="M160" s="431"/>
      <c r="N160" s="431"/>
      <c r="O160" s="431"/>
      <c r="P160" s="431"/>
      <c r="Q160" s="431"/>
      <c r="R160" s="431"/>
    </row>
    <row r="161" spans="1:18" x14ac:dyDescent="0.2">
      <c r="A161" s="431"/>
      <c r="B161" s="64"/>
      <c r="C161" s="431"/>
      <c r="D161" s="431"/>
      <c r="E161" s="431"/>
      <c r="F161" s="64"/>
      <c r="G161" s="64"/>
      <c r="H161" s="64"/>
      <c r="I161" s="64"/>
      <c r="J161" s="64"/>
      <c r="K161" s="431"/>
      <c r="L161" s="431"/>
      <c r="M161" s="431"/>
      <c r="N161" s="431"/>
      <c r="O161" s="431"/>
      <c r="P161" s="431"/>
      <c r="Q161" s="431"/>
      <c r="R161" s="431"/>
    </row>
    <row r="162" spans="1:18" x14ac:dyDescent="0.2">
      <c r="A162" s="431"/>
      <c r="B162" s="64"/>
      <c r="C162" s="431"/>
      <c r="D162" s="431"/>
      <c r="E162" s="431"/>
      <c r="F162" s="64"/>
      <c r="G162" s="64"/>
      <c r="H162" s="64"/>
      <c r="I162" s="64"/>
      <c r="J162" s="64"/>
      <c r="K162" s="431"/>
      <c r="L162" s="431"/>
      <c r="M162" s="431"/>
      <c r="N162" s="431"/>
      <c r="O162" s="431"/>
      <c r="P162" s="431"/>
      <c r="Q162" s="431"/>
      <c r="R162" s="431"/>
    </row>
    <row r="163" spans="1:18" x14ac:dyDescent="0.2">
      <c r="A163" s="431"/>
      <c r="B163" s="64"/>
      <c r="C163" s="431"/>
      <c r="D163" s="431"/>
      <c r="E163" s="431"/>
      <c r="F163" s="64"/>
      <c r="G163" s="64"/>
      <c r="H163" s="64"/>
      <c r="I163" s="64"/>
      <c r="J163" s="64"/>
      <c r="K163" s="431"/>
      <c r="L163" s="431"/>
      <c r="M163" s="431"/>
      <c r="N163" s="431"/>
      <c r="O163" s="431"/>
      <c r="P163" s="431"/>
      <c r="Q163" s="431"/>
      <c r="R163" s="431"/>
    </row>
    <row r="164" spans="1:18" x14ac:dyDescent="0.2">
      <c r="A164" s="431"/>
      <c r="B164" s="64"/>
      <c r="C164" s="431"/>
      <c r="D164" s="431"/>
      <c r="E164" s="431"/>
      <c r="F164" s="64"/>
      <c r="G164" s="64"/>
      <c r="H164" s="64"/>
      <c r="I164" s="64"/>
      <c r="J164" s="64"/>
      <c r="K164" s="431"/>
      <c r="L164" s="431"/>
      <c r="M164" s="431"/>
      <c r="N164" s="431"/>
      <c r="O164" s="431"/>
      <c r="P164" s="431"/>
      <c r="Q164" s="431"/>
      <c r="R164" s="431"/>
    </row>
    <row r="165" spans="1:18" x14ac:dyDescent="0.2">
      <c r="A165" s="431"/>
      <c r="B165" s="64"/>
      <c r="C165" s="431"/>
      <c r="D165" s="431"/>
      <c r="E165" s="431"/>
      <c r="F165" s="64"/>
      <c r="G165" s="64"/>
      <c r="H165" s="64"/>
      <c r="I165" s="64"/>
      <c r="J165" s="64"/>
      <c r="K165" s="431"/>
      <c r="L165" s="431"/>
      <c r="M165" s="431"/>
      <c r="N165" s="431"/>
      <c r="O165" s="431"/>
      <c r="P165" s="431"/>
      <c r="Q165" s="431"/>
      <c r="R165" s="431"/>
    </row>
    <row r="166" spans="1:18" x14ac:dyDescent="0.2">
      <c r="A166" s="431"/>
      <c r="B166" s="64"/>
      <c r="C166" s="431"/>
      <c r="D166" s="431"/>
      <c r="E166" s="431"/>
      <c r="F166" s="64"/>
      <c r="G166" s="64"/>
      <c r="H166" s="64"/>
      <c r="I166" s="64"/>
      <c r="J166" s="64"/>
      <c r="K166" s="431"/>
      <c r="L166" s="431"/>
      <c r="M166" s="431"/>
      <c r="N166" s="431"/>
      <c r="O166" s="431"/>
      <c r="P166" s="431"/>
      <c r="Q166" s="431"/>
      <c r="R166" s="431"/>
    </row>
    <row r="167" spans="1:18" x14ac:dyDescent="0.2">
      <c r="A167" s="431"/>
      <c r="B167" s="64"/>
      <c r="C167" s="431"/>
      <c r="D167" s="431"/>
      <c r="E167" s="431"/>
      <c r="F167" s="64"/>
      <c r="G167" s="64"/>
      <c r="H167" s="64"/>
      <c r="I167" s="64"/>
      <c r="J167" s="64"/>
      <c r="K167" s="431"/>
      <c r="L167" s="431"/>
      <c r="M167" s="431"/>
      <c r="N167" s="431"/>
      <c r="O167" s="431"/>
      <c r="P167" s="431"/>
      <c r="Q167" s="431"/>
      <c r="R167" s="431"/>
    </row>
    <row r="168" spans="1:18" x14ac:dyDescent="0.2">
      <c r="A168" s="431"/>
      <c r="B168" s="64"/>
      <c r="C168" s="431"/>
      <c r="D168" s="431"/>
      <c r="E168" s="431"/>
      <c r="F168" s="64"/>
      <c r="G168" s="64"/>
      <c r="H168" s="64"/>
      <c r="I168" s="64"/>
      <c r="J168" s="64"/>
      <c r="K168" s="431"/>
      <c r="L168" s="431"/>
      <c r="M168" s="431"/>
      <c r="N168" s="431"/>
      <c r="O168" s="431"/>
      <c r="P168" s="431"/>
      <c r="Q168" s="431"/>
      <c r="R168" s="431"/>
    </row>
    <row r="169" spans="1:18" x14ac:dyDescent="0.2">
      <c r="A169" s="431"/>
      <c r="B169" s="64"/>
      <c r="C169" s="431"/>
      <c r="D169" s="431"/>
      <c r="E169" s="431"/>
      <c r="F169" s="64"/>
      <c r="G169" s="64"/>
      <c r="H169" s="64"/>
      <c r="I169" s="64"/>
      <c r="J169" s="64"/>
      <c r="K169" s="431"/>
      <c r="L169" s="431"/>
      <c r="M169" s="431"/>
      <c r="N169" s="431"/>
      <c r="O169" s="431"/>
      <c r="P169" s="431"/>
      <c r="Q169" s="431"/>
      <c r="R169" s="431"/>
    </row>
    <row r="170" spans="1:18" x14ac:dyDescent="0.2">
      <c r="A170" s="431"/>
      <c r="B170" s="64"/>
      <c r="C170" s="431"/>
      <c r="D170" s="431"/>
      <c r="E170" s="431"/>
      <c r="F170" s="64"/>
      <c r="G170" s="64"/>
      <c r="H170" s="64"/>
      <c r="I170" s="64"/>
      <c r="J170" s="64"/>
      <c r="K170" s="431"/>
      <c r="L170" s="431"/>
      <c r="M170" s="431"/>
      <c r="N170" s="431"/>
      <c r="O170" s="431"/>
      <c r="P170" s="431"/>
      <c r="Q170" s="431"/>
      <c r="R170" s="431"/>
    </row>
    <row r="171" spans="1:18" x14ac:dyDescent="0.2">
      <c r="A171" s="431"/>
      <c r="B171" s="64"/>
      <c r="C171" s="431"/>
      <c r="D171" s="431"/>
      <c r="E171" s="431"/>
      <c r="F171" s="64"/>
      <c r="G171" s="64"/>
      <c r="H171" s="64"/>
      <c r="I171" s="64"/>
      <c r="J171" s="64"/>
      <c r="K171" s="431"/>
      <c r="L171" s="431"/>
      <c r="M171" s="431"/>
      <c r="N171" s="431"/>
      <c r="O171" s="431"/>
      <c r="P171" s="431"/>
      <c r="Q171" s="431"/>
      <c r="R171" s="431"/>
    </row>
    <row r="172" spans="1:18" x14ac:dyDescent="0.2">
      <c r="A172" s="431"/>
      <c r="B172" s="64"/>
      <c r="C172" s="431"/>
      <c r="D172" s="431"/>
      <c r="E172" s="431"/>
      <c r="F172" s="64"/>
      <c r="G172" s="64"/>
      <c r="H172" s="64"/>
      <c r="I172" s="64"/>
      <c r="J172" s="64"/>
      <c r="K172" s="431"/>
      <c r="L172" s="431"/>
      <c r="M172" s="431"/>
      <c r="N172" s="431"/>
      <c r="O172" s="431"/>
      <c r="P172" s="431"/>
      <c r="Q172" s="431"/>
      <c r="R172" s="431"/>
    </row>
    <row r="173" spans="1:18" x14ac:dyDescent="0.2">
      <c r="A173" s="431"/>
      <c r="B173" s="64"/>
      <c r="C173" s="431"/>
      <c r="D173" s="431"/>
      <c r="E173" s="431"/>
      <c r="F173" s="64"/>
      <c r="G173" s="64"/>
      <c r="H173" s="64"/>
      <c r="I173" s="64"/>
      <c r="J173" s="64"/>
      <c r="K173" s="431"/>
      <c r="L173" s="431"/>
      <c r="M173" s="431"/>
      <c r="N173" s="431"/>
      <c r="O173" s="431"/>
      <c r="P173" s="431"/>
      <c r="Q173" s="431"/>
      <c r="R173" s="431"/>
    </row>
    <row r="174" spans="1:18" x14ac:dyDescent="0.2">
      <c r="A174" s="431"/>
      <c r="B174" s="64"/>
      <c r="C174" s="431"/>
      <c r="D174" s="431"/>
      <c r="E174" s="431"/>
      <c r="F174" s="64"/>
      <c r="G174" s="64"/>
      <c r="H174" s="64"/>
      <c r="I174" s="64"/>
      <c r="J174" s="64"/>
      <c r="K174" s="431"/>
      <c r="L174" s="431"/>
      <c r="M174" s="431"/>
      <c r="N174" s="431"/>
      <c r="O174" s="431"/>
      <c r="P174" s="431"/>
      <c r="Q174" s="431"/>
      <c r="R174" s="431"/>
    </row>
    <row r="175" spans="1:18" x14ac:dyDescent="0.2">
      <c r="A175" s="431"/>
      <c r="B175" s="64"/>
      <c r="C175" s="431"/>
      <c r="D175" s="431"/>
      <c r="E175" s="431"/>
      <c r="F175" s="64"/>
      <c r="G175" s="64"/>
      <c r="H175" s="64"/>
      <c r="I175" s="64"/>
      <c r="J175" s="64"/>
      <c r="K175" s="431"/>
      <c r="L175" s="431"/>
      <c r="M175" s="431"/>
      <c r="N175" s="431"/>
      <c r="O175" s="431"/>
      <c r="P175" s="431"/>
      <c r="Q175" s="431"/>
      <c r="R175" s="431"/>
    </row>
    <row r="176" spans="1:18" x14ac:dyDescent="0.2">
      <c r="A176" s="431"/>
      <c r="B176" s="64"/>
      <c r="C176" s="431"/>
      <c r="D176" s="431"/>
      <c r="E176" s="431"/>
      <c r="F176" s="64"/>
      <c r="G176" s="64"/>
      <c r="H176" s="64"/>
      <c r="I176" s="64"/>
      <c r="J176" s="64"/>
      <c r="K176" s="431"/>
      <c r="L176" s="431"/>
      <c r="M176" s="431"/>
      <c r="N176" s="431"/>
      <c r="O176" s="431"/>
      <c r="P176" s="431"/>
      <c r="Q176" s="431"/>
      <c r="R176" s="431"/>
    </row>
    <row r="177" spans="1:18" x14ac:dyDescent="0.2">
      <c r="A177" s="431"/>
      <c r="B177" s="64"/>
      <c r="C177" s="431"/>
      <c r="D177" s="431"/>
      <c r="E177" s="431"/>
      <c r="F177" s="64"/>
      <c r="G177" s="64"/>
      <c r="H177" s="64"/>
      <c r="I177" s="64"/>
      <c r="J177" s="64"/>
      <c r="K177" s="431"/>
      <c r="L177" s="431"/>
      <c r="M177" s="431"/>
      <c r="N177" s="431"/>
      <c r="O177" s="431"/>
      <c r="P177" s="431"/>
      <c r="Q177" s="431"/>
      <c r="R177" s="431"/>
    </row>
    <row r="178" spans="1:18" x14ac:dyDescent="0.2">
      <c r="A178" s="431"/>
      <c r="B178" s="64"/>
      <c r="C178" s="431"/>
      <c r="D178" s="431"/>
      <c r="E178" s="431"/>
      <c r="F178" s="64"/>
      <c r="G178" s="64"/>
      <c r="H178" s="64"/>
      <c r="I178" s="64"/>
      <c r="J178" s="64"/>
      <c r="K178" s="431"/>
      <c r="L178" s="431"/>
      <c r="M178" s="431"/>
      <c r="N178" s="431"/>
      <c r="O178" s="431"/>
      <c r="P178" s="431"/>
      <c r="Q178" s="431"/>
      <c r="R178" s="431"/>
    </row>
    <row r="179" spans="1:18" x14ac:dyDescent="0.2">
      <c r="A179" s="431"/>
      <c r="B179" s="64"/>
      <c r="C179" s="431"/>
      <c r="D179" s="431"/>
      <c r="E179" s="431"/>
      <c r="F179" s="64"/>
      <c r="G179" s="64"/>
      <c r="H179" s="64"/>
      <c r="I179" s="64"/>
      <c r="J179" s="64"/>
      <c r="K179" s="431"/>
      <c r="L179" s="431"/>
      <c r="M179" s="431"/>
      <c r="N179" s="431"/>
      <c r="O179" s="431"/>
      <c r="P179" s="431"/>
      <c r="Q179" s="431"/>
      <c r="R179" s="431"/>
    </row>
  </sheetData>
  <dataConsolidate/>
  <mergeCells count="35">
    <mergeCell ref="AB39:AG39"/>
    <mergeCell ref="T45:Y45"/>
    <mergeCell ref="T25:Y25"/>
    <mergeCell ref="A53:A54"/>
    <mergeCell ref="A55:A56"/>
    <mergeCell ref="A49:A50"/>
    <mergeCell ref="A51:A52"/>
    <mergeCell ref="A41:A43"/>
    <mergeCell ref="Q41:R43"/>
    <mergeCell ref="Q44:R44"/>
    <mergeCell ref="A45:A48"/>
    <mergeCell ref="Q45:Q48"/>
    <mergeCell ref="R45:R48"/>
    <mergeCell ref="A36:A37"/>
    <mergeCell ref="Q36:Q37"/>
    <mergeCell ref="R36:R37"/>
    <mergeCell ref="A39:A40"/>
    <mergeCell ref="A33:A35"/>
    <mergeCell ref="Q33:Q35"/>
    <mergeCell ref="R33:R35"/>
    <mergeCell ref="A21:A24"/>
    <mergeCell ref="Q21:R24"/>
    <mergeCell ref="A26:A27"/>
    <mergeCell ref="A28:A32"/>
    <mergeCell ref="A6:A8"/>
    <mergeCell ref="Q6:R8"/>
    <mergeCell ref="A9:A13"/>
    <mergeCell ref="A15:A20"/>
    <mergeCell ref="T1:V1"/>
    <mergeCell ref="Q3:R3"/>
    <mergeCell ref="A4:A5"/>
    <mergeCell ref="Q4:R5"/>
    <mergeCell ref="C1:K1"/>
    <mergeCell ref="L1:P1"/>
    <mergeCell ref="Q1:R1"/>
  </mergeCells>
  <conditionalFormatting sqref="P3:P56">
    <cfRule type="cellIs" dxfId="112" priority="9" operator="lessThan">
      <formula>0</formula>
    </cfRule>
  </conditionalFormatting>
  <conditionalFormatting sqref="AI72:AI83 AD56:AH60">
    <cfRule type="cellIs" dxfId="111" priority="8" operator="greaterThan">
      <formula>0</formula>
    </cfRule>
  </conditionalFormatting>
  <conditionalFormatting sqref="U27:Z38">
    <cfRule type="cellIs" dxfId="110" priority="7" operator="greaterThan">
      <formula>0</formula>
    </cfRule>
  </conditionalFormatting>
  <conditionalFormatting sqref="N3:N56">
    <cfRule type="expression" dxfId="109" priority="6">
      <formula>N3&lt;E3</formula>
    </cfRule>
  </conditionalFormatting>
  <conditionalFormatting sqref="AC41:AH52">
    <cfRule type="cellIs" dxfId="108" priority="4" operator="greaterThan">
      <formula>0</formula>
    </cfRule>
  </conditionalFormatting>
  <conditionalFormatting sqref="Z47:Z58">
    <cfRule type="cellIs" dxfId="107" priority="3" operator="greaterThan">
      <formula>0</formula>
    </cfRule>
  </conditionalFormatting>
  <conditionalFormatting sqref="V47:Y58">
    <cfRule type="cellIs" dxfId="106" priority="2" operator="greaterThan">
      <formula>0</formula>
    </cfRule>
  </conditionalFormatting>
  <conditionalFormatting sqref="U47:U58">
    <cfRule type="cellIs" dxfId="105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9"/>
  <sheetViews>
    <sheetView topLeftCell="T43" zoomScale="110" zoomScaleNormal="110" workbookViewId="0">
      <selection activeCell="AB66" sqref="AB66"/>
    </sheetView>
  </sheetViews>
  <sheetFormatPr defaultColWidth="9" defaultRowHeight="12.75" x14ac:dyDescent="0.2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8.28515625" style="59" customWidth="1"/>
    <col min="6" max="10" width="23.7109375" style="61" customWidth="1"/>
    <col min="11" max="11" width="16.140625" style="59" customWidth="1"/>
    <col min="12" max="12" width="28.85546875" style="59" customWidth="1"/>
    <col min="13" max="15" width="17.7109375" style="59" customWidth="1"/>
    <col min="16" max="16" width="23.28515625" style="59" customWidth="1"/>
    <col min="17" max="17" width="30.7109375" style="60" customWidth="1"/>
    <col min="18" max="18" width="28.140625" style="431" customWidth="1"/>
    <col min="19" max="19" width="26.42578125" style="59" customWidth="1"/>
    <col min="20" max="20" width="23" style="58" customWidth="1"/>
    <col min="21" max="21" width="22.85546875" style="5" customWidth="1"/>
    <col min="22" max="22" width="23.7109375" style="5" customWidth="1"/>
    <col min="23" max="23" width="21.5703125" style="5" customWidth="1"/>
    <col min="24" max="30" width="9" style="5"/>
    <col min="31" max="31" width="20.28515625" style="5" customWidth="1"/>
    <col min="32" max="16384" width="9" style="5"/>
  </cols>
  <sheetData>
    <row r="1" spans="1:23" ht="14.25" customHeight="1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8"/>
      <c r="J1" s="468"/>
      <c r="K1" s="469"/>
      <c r="L1" s="465" t="s">
        <v>451</v>
      </c>
      <c r="M1" s="466"/>
      <c r="N1" s="466"/>
      <c r="O1" s="466"/>
      <c r="P1" s="466"/>
      <c r="Q1" s="507" t="s">
        <v>542</v>
      </c>
      <c r="R1" s="508"/>
      <c r="S1" s="508"/>
      <c r="U1" s="461"/>
      <c r="V1" s="461"/>
      <c r="W1" s="461"/>
    </row>
    <row r="2" spans="1:23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89" t="s">
        <v>41</v>
      </c>
      <c r="F2" s="315" t="s">
        <v>447</v>
      </c>
      <c r="G2" s="190" t="s">
        <v>459</v>
      </c>
      <c r="H2" s="190" t="s">
        <v>461</v>
      </c>
      <c r="I2" s="190" t="s">
        <v>492</v>
      </c>
      <c r="J2" s="189" t="s">
        <v>33</v>
      </c>
      <c r="K2" s="316" t="s">
        <v>444</v>
      </c>
      <c r="L2" s="188" t="s">
        <v>446</v>
      </c>
      <c r="M2" s="188" t="s">
        <v>34</v>
      </c>
      <c r="N2" s="187" t="s">
        <v>493</v>
      </c>
      <c r="O2" s="186" t="s">
        <v>33</v>
      </c>
      <c r="P2" s="187" t="s">
        <v>444</v>
      </c>
      <c r="Q2" s="184" t="s">
        <v>441</v>
      </c>
      <c r="R2" s="183" t="s">
        <v>440</v>
      </c>
      <c r="S2" s="182" t="s">
        <v>439</v>
      </c>
      <c r="U2" s="429"/>
      <c r="V2" s="429"/>
      <c r="W2" s="429"/>
    </row>
    <row r="3" spans="1:23" ht="15" customHeight="1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178">
        <f>IF(D3&lt;135,300, IF(AND(D3&gt;135,D3&lt;288),250, IF(AND(D3&gt;288,D3&lt;537),200,IF(AND(D3&gt;537,D3&lt;1096),150,100))))</f>
        <v>200</v>
      </c>
      <c r="F3" s="314">
        <v>131.95400000000001</v>
      </c>
      <c r="G3" s="178">
        <v>2</v>
      </c>
      <c r="H3" s="314">
        <f>F3*G3</f>
        <v>263.90800000000002</v>
      </c>
      <c r="I3" s="178">
        <f t="shared" ref="I3:I56" si="0">CEILING(H3/(0.84*E3),1)</f>
        <v>2</v>
      </c>
      <c r="J3" s="178">
        <f>I3*E3</f>
        <v>400</v>
      </c>
      <c r="K3" s="178">
        <f>J3-H3</f>
        <v>136.09199999999998</v>
      </c>
      <c r="L3" s="175" t="s">
        <v>435</v>
      </c>
      <c r="M3" s="177">
        <v>598.85</v>
      </c>
      <c r="N3" s="176">
        <f>IF(M3&lt;135,300, IF(AND(M3&gt;135,M3&lt;288),250, IF(AND(M3&gt;288,M3&lt;537),200,IF(AND(M3&gt;537,M3&lt;1096),150,100))))</f>
        <v>150</v>
      </c>
      <c r="O3" s="175">
        <f>N3*I3</f>
        <v>300</v>
      </c>
      <c r="P3" s="176">
        <f>O3-H3</f>
        <v>36.091999999999985</v>
      </c>
      <c r="Q3" s="130"/>
      <c r="R3" s="503"/>
      <c r="S3" s="504"/>
      <c r="U3" s="423"/>
      <c r="V3" s="423"/>
      <c r="W3" s="423"/>
    </row>
    <row r="4" spans="1:23" ht="15" customHeight="1" x14ac:dyDescent="0.2">
      <c r="A4" s="462" t="s">
        <v>44</v>
      </c>
      <c r="B4" s="174" t="s">
        <v>3</v>
      </c>
      <c r="C4" s="173" t="s">
        <v>44</v>
      </c>
      <c r="D4" s="172">
        <v>424.31</v>
      </c>
      <c r="E4" s="94">
        <f t="shared" ref="E4:E56" si="1">IF(D4&lt;135,300, IF(AND(D4&gt;135,D4&lt;288),250, IF(AND(D4&gt;288,D4&lt;537),200,IF(AND(D4&gt;537,D4&lt;1096),150,100))))</f>
        <v>200</v>
      </c>
      <c r="F4" s="305">
        <v>79.758499999999998</v>
      </c>
      <c r="G4" s="84">
        <v>2</v>
      </c>
      <c r="H4" s="307">
        <f t="shared" ref="H4:H56" si="2">F4*G4</f>
        <v>159.517</v>
      </c>
      <c r="I4" s="84">
        <f t="shared" si="0"/>
        <v>1</v>
      </c>
      <c r="J4" s="84">
        <f t="shared" ref="J4:J56" si="3">I4*E4</f>
        <v>200</v>
      </c>
      <c r="K4" s="84">
        <f t="shared" ref="K4:K13" si="4">J4-H4</f>
        <v>40.483000000000004</v>
      </c>
      <c r="L4" s="168" t="s">
        <v>434</v>
      </c>
      <c r="M4" s="170">
        <v>561.44000000000005</v>
      </c>
      <c r="N4" s="92">
        <f t="shared" ref="N4:N56" si="5">IF(M4&lt;135,300, IF(AND(M4&gt;135,M4&lt;288),250, IF(AND(M4&gt;288,M4&lt;537),200,IF(AND(M4&gt;537,M4&lt;1096),150,100))))</f>
        <v>150</v>
      </c>
      <c r="O4" s="91">
        <f t="shared" ref="O4:O56" si="6">N4*I4</f>
        <v>150</v>
      </c>
      <c r="P4" s="92">
        <f t="shared" ref="P4:P13" si="7">O4-H4</f>
        <v>-9.5169999999999959</v>
      </c>
      <c r="Q4" s="166">
        <v>0.6</v>
      </c>
      <c r="R4" s="505" t="s">
        <v>351</v>
      </c>
      <c r="S4" s="506"/>
      <c r="U4" s="429"/>
      <c r="V4" s="429"/>
      <c r="W4" s="429"/>
    </row>
    <row r="5" spans="1:23" ht="14.25" customHeight="1" thickBot="1" x14ac:dyDescent="0.25">
      <c r="A5" s="463"/>
      <c r="B5" s="167" t="s">
        <v>25</v>
      </c>
      <c r="C5" s="116" t="s">
        <v>65</v>
      </c>
      <c r="D5" s="95">
        <v>645.40499999999997</v>
      </c>
      <c r="E5" s="94">
        <f t="shared" si="1"/>
        <v>150</v>
      </c>
      <c r="F5" s="306">
        <v>101.52370000000001</v>
      </c>
      <c r="G5" s="73">
        <v>2</v>
      </c>
      <c r="H5" s="309">
        <f t="shared" si="2"/>
        <v>203.04740000000001</v>
      </c>
      <c r="I5" s="73">
        <f t="shared" si="0"/>
        <v>2</v>
      </c>
      <c r="J5" s="73">
        <f t="shared" si="3"/>
        <v>300</v>
      </c>
      <c r="K5" s="73">
        <f t="shared" si="4"/>
        <v>96.95259999999999</v>
      </c>
      <c r="L5" s="91" t="s">
        <v>429</v>
      </c>
      <c r="M5" s="93">
        <v>691.82</v>
      </c>
      <c r="N5" s="92">
        <f t="shared" si="5"/>
        <v>150</v>
      </c>
      <c r="O5" s="91">
        <f t="shared" si="6"/>
        <v>300</v>
      </c>
      <c r="P5" s="92">
        <f t="shared" si="7"/>
        <v>96.95259999999999</v>
      </c>
      <c r="Q5" s="130"/>
      <c r="R5" s="148"/>
      <c r="S5" s="117"/>
      <c r="U5" s="429"/>
      <c r="V5" s="429"/>
      <c r="W5" s="429"/>
    </row>
    <row r="6" spans="1:23" ht="14.25" customHeight="1" x14ac:dyDescent="0.2">
      <c r="A6" s="462" t="s">
        <v>433</v>
      </c>
      <c r="B6" s="87" t="s">
        <v>432</v>
      </c>
      <c r="C6" s="86" t="s">
        <v>392</v>
      </c>
      <c r="D6" s="85">
        <v>774.56</v>
      </c>
      <c r="E6" s="84">
        <f t="shared" si="1"/>
        <v>150</v>
      </c>
      <c r="F6" s="307">
        <v>593.39</v>
      </c>
      <c r="G6" s="94">
        <v>2</v>
      </c>
      <c r="H6" s="306">
        <f t="shared" si="2"/>
        <v>1186.78</v>
      </c>
      <c r="I6" s="94">
        <f t="shared" si="0"/>
        <v>10</v>
      </c>
      <c r="J6" s="94">
        <f t="shared" si="3"/>
        <v>1500</v>
      </c>
      <c r="K6" s="94">
        <f t="shared" si="4"/>
        <v>313.22000000000003</v>
      </c>
      <c r="L6" s="101" t="s">
        <v>431</v>
      </c>
      <c r="M6" s="83">
        <v>778.62</v>
      </c>
      <c r="N6" s="82">
        <f t="shared" si="5"/>
        <v>150</v>
      </c>
      <c r="O6" s="101">
        <f t="shared" si="6"/>
        <v>1500</v>
      </c>
      <c r="P6" s="82">
        <f t="shared" si="7"/>
        <v>313.22000000000003</v>
      </c>
      <c r="Q6" s="124"/>
      <c r="R6" s="509" t="s">
        <v>351</v>
      </c>
      <c r="S6" s="510"/>
      <c r="U6" s="429"/>
      <c r="V6" s="429"/>
      <c r="W6" s="429"/>
    </row>
    <row r="7" spans="1:23" ht="14.25" customHeight="1" x14ac:dyDescent="0.2">
      <c r="A7" s="464"/>
      <c r="B7" s="97" t="s">
        <v>4</v>
      </c>
      <c r="C7" s="96" t="s">
        <v>45</v>
      </c>
      <c r="D7" s="110">
        <v>221.095</v>
      </c>
      <c r="E7" s="94">
        <f t="shared" si="1"/>
        <v>250</v>
      </c>
      <c r="F7" s="311">
        <v>165.54</v>
      </c>
      <c r="G7" s="94">
        <v>2</v>
      </c>
      <c r="H7" s="306">
        <f t="shared" si="2"/>
        <v>331.08</v>
      </c>
      <c r="I7" s="94">
        <f t="shared" si="0"/>
        <v>2</v>
      </c>
      <c r="J7" s="94">
        <f t="shared" si="3"/>
        <v>500</v>
      </c>
      <c r="K7" s="94">
        <f t="shared" si="4"/>
        <v>168.92000000000002</v>
      </c>
      <c r="L7" s="102" t="s">
        <v>430</v>
      </c>
      <c r="M7" s="108">
        <v>904.18</v>
      </c>
      <c r="N7" s="92">
        <f t="shared" si="5"/>
        <v>150</v>
      </c>
      <c r="O7" s="91">
        <f t="shared" si="6"/>
        <v>300</v>
      </c>
      <c r="P7" s="92">
        <f t="shared" si="7"/>
        <v>-31.079999999999984</v>
      </c>
      <c r="Q7" s="142">
        <f>O7/J7</f>
        <v>0.6</v>
      </c>
      <c r="R7" s="511"/>
      <c r="S7" s="512"/>
      <c r="U7" s="429"/>
      <c r="V7" s="429"/>
      <c r="W7" s="429"/>
    </row>
    <row r="8" spans="1:23" ht="14.25" customHeight="1" thickBot="1" x14ac:dyDescent="0.25">
      <c r="A8" s="464"/>
      <c r="B8" s="97" t="s">
        <v>25</v>
      </c>
      <c r="C8" s="96" t="s">
        <v>65</v>
      </c>
      <c r="D8" s="95">
        <v>645.40499999999997</v>
      </c>
      <c r="E8" s="73">
        <f t="shared" si="1"/>
        <v>150</v>
      </c>
      <c r="F8" s="306">
        <v>101.52370000000001</v>
      </c>
      <c r="G8" s="94">
        <v>2</v>
      </c>
      <c r="H8" s="306">
        <f t="shared" si="2"/>
        <v>203.04740000000001</v>
      </c>
      <c r="I8" s="94">
        <f t="shared" si="0"/>
        <v>2</v>
      </c>
      <c r="J8" s="94">
        <f t="shared" si="3"/>
        <v>300</v>
      </c>
      <c r="K8" s="94">
        <f t="shared" si="4"/>
        <v>96.95259999999999</v>
      </c>
      <c r="L8" s="91" t="s">
        <v>429</v>
      </c>
      <c r="M8" s="93">
        <v>691.82</v>
      </c>
      <c r="N8" s="121">
        <f t="shared" si="5"/>
        <v>150</v>
      </c>
      <c r="O8" s="70">
        <f t="shared" si="6"/>
        <v>300</v>
      </c>
      <c r="P8" s="121">
        <f t="shared" si="7"/>
        <v>96.95259999999999</v>
      </c>
      <c r="Q8" s="119"/>
      <c r="R8" s="513"/>
      <c r="S8" s="514"/>
      <c r="U8" s="429"/>
      <c r="V8" s="429"/>
      <c r="W8" s="429"/>
    </row>
    <row r="9" spans="1:23" ht="14.25" customHeight="1" x14ac:dyDescent="0.2">
      <c r="A9" s="462" t="s">
        <v>46</v>
      </c>
      <c r="B9" s="87" t="s">
        <v>5</v>
      </c>
      <c r="C9" s="86" t="s">
        <v>46</v>
      </c>
      <c r="D9" s="85">
        <v>87.444999999999993</v>
      </c>
      <c r="E9" s="94">
        <f t="shared" si="1"/>
        <v>300</v>
      </c>
      <c r="F9" s="307">
        <v>330.03719999999998</v>
      </c>
      <c r="G9" s="84">
        <v>2</v>
      </c>
      <c r="H9" s="307">
        <f t="shared" si="2"/>
        <v>660.07439999999997</v>
      </c>
      <c r="I9" s="84">
        <f t="shared" si="0"/>
        <v>3</v>
      </c>
      <c r="J9" s="84">
        <f t="shared" si="3"/>
        <v>900</v>
      </c>
      <c r="K9" s="84">
        <f t="shared" si="4"/>
        <v>239.92560000000003</v>
      </c>
      <c r="L9" s="101" t="s">
        <v>428</v>
      </c>
      <c r="M9" s="83">
        <v>243.73500000000001</v>
      </c>
      <c r="N9" s="92">
        <f t="shared" si="5"/>
        <v>250</v>
      </c>
      <c r="O9" s="91">
        <f t="shared" si="6"/>
        <v>750</v>
      </c>
      <c r="P9" s="92">
        <f t="shared" si="7"/>
        <v>89.925600000000031</v>
      </c>
      <c r="Q9" s="166"/>
      <c r="R9" s="515"/>
      <c r="S9" s="510"/>
      <c r="U9" s="429"/>
      <c r="V9" s="429"/>
      <c r="W9" s="429"/>
    </row>
    <row r="10" spans="1:23" ht="14.25" customHeight="1" x14ac:dyDescent="0.2">
      <c r="A10" s="464"/>
      <c r="B10" s="97" t="s">
        <v>7</v>
      </c>
      <c r="C10" s="96" t="s">
        <v>48</v>
      </c>
      <c r="D10" s="110">
        <v>457.755</v>
      </c>
      <c r="E10" s="94">
        <f t="shared" si="1"/>
        <v>200</v>
      </c>
      <c r="F10" s="311">
        <v>200.11</v>
      </c>
      <c r="G10" s="94">
        <v>2</v>
      </c>
      <c r="H10" s="306">
        <f t="shared" si="2"/>
        <v>400.22</v>
      </c>
      <c r="I10" s="94">
        <f t="shared" si="0"/>
        <v>3</v>
      </c>
      <c r="J10" s="94">
        <f t="shared" si="3"/>
        <v>600</v>
      </c>
      <c r="K10" s="94">
        <f t="shared" si="4"/>
        <v>199.77999999999997</v>
      </c>
      <c r="L10" s="102" t="s">
        <v>427</v>
      </c>
      <c r="M10" s="108">
        <v>614.06500000000005</v>
      </c>
      <c r="N10" s="92">
        <f t="shared" si="5"/>
        <v>150</v>
      </c>
      <c r="O10" s="91">
        <f t="shared" si="6"/>
        <v>450</v>
      </c>
      <c r="P10" s="92">
        <f t="shared" si="7"/>
        <v>49.779999999999973</v>
      </c>
      <c r="Q10" s="142"/>
      <c r="R10" s="516"/>
      <c r="S10" s="512"/>
      <c r="U10" s="429"/>
      <c r="V10" s="429"/>
      <c r="W10" s="429"/>
    </row>
    <row r="11" spans="1:23" ht="14.25" customHeight="1" x14ac:dyDescent="0.2">
      <c r="A11" s="464"/>
      <c r="B11" s="97" t="s">
        <v>8</v>
      </c>
      <c r="C11" s="96" t="s">
        <v>74</v>
      </c>
      <c r="D11" s="110">
        <v>632.29</v>
      </c>
      <c r="E11" s="94">
        <f t="shared" si="1"/>
        <v>150</v>
      </c>
      <c r="F11" s="311">
        <v>416.14780000000002</v>
      </c>
      <c r="G11" s="94">
        <v>2</v>
      </c>
      <c r="H11" s="306">
        <f t="shared" si="2"/>
        <v>832.29560000000004</v>
      </c>
      <c r="I11" s="94">
        <f t="shared" si="0"/>
        <v>7</v>
      </c>
      <c r="J11" s="94">
        <f t="shared" si="3"/>
        <v>1050</v>
      </c>
      <c r="K11" s="94">
        <f t="shared" si="4"/>
        <v>217.70439999999996</v>
      </c>
      <c r="L11" s="102" t="s">
        <v>426</v>
      </c>
      <c r="M11" s="108">
        <v>692.19500000000005</v>
      </c>
      <c r="N11" s="92">
        <f t="shared" si="5"/>
        <v>150</v>
      </c>
      <c r="O11" s="91">
        <f t="shared" si="6"/>
        <v>1050</v>
      </c>
      <c r="P11" s="92">
        <f t="shared" si="7"/>
        <v>217.70439999999996</v>
      </c>
      <c r="Q11" s="142"/>
      <c r="R11" s="516"/>
      <c r="S11" s="512"/>
      <c r="U11" s="429"/>
      <c r="V11" s="429"/>
      <c r="W11" s="429"/>
    </row>
    <row r="12" spans="1:23" ht="14.25" customHeight="1" x14ac:dyDescent="0.2">
      <c r="A12" s="464"/>
      <c r="B12" s="97" t="s">
        <v>12</v>
      </c>
      <c r="C12" s="96" t="s">
        <v>52</v>
      </c>
      <c r="D12" s="110">
        <v>428.91</v>
      </c>
      <c r="E12" s="94">
        <f t="shared" si="1"/>
        <v>200</v>
      </c>
      <c r="F12" s="311">
        <v>320.77999999999997</v>
      </c>
      <c r="G12" s="94">
        <v>2</v>
      </c>
      <c r="H12" s="306">
        <f t="shared" si="2"/>
        <v>641.55999999999995</v>
      </c>
      <c r="I12" s="94">
        <f t="shared" si="0"/>
        <v>4</v>
      </c>
      <c r="J12" s="94">
        <f t="shared" si="3"/>
        <v>800</v>
      </c>
      <c r="K12" s="94">
        <f t="shared" si="4"/>
        <v>158.44000000000005</v>
      </c>
      <c r="L12" s="102" t="s">
        <v>420</v>
      </c>
      <c r="M12" s="108">
        <v>440.09</v>
      </c>
      <c r="N12" s="92">
        <f t="shared" si="5"/>
        <v>200</v>
      </c>
      <c r="O12" s="91">
        <f t="shared" si="6"/>
        <v>800</v>
      </c>
      <c r="P12" s="92">
        <f t="shared" si="7"/>
        <v>158.44000000000005</v>
      </c>
      <c r="Q12" s="142"/>
      <c r="R12" s="516"/>
      <c r="S12" s="512"/>
      <c r="U12" s="429"/>
      <c r="V12" s="429"/>
      <c r="W12" s="429"/>
    </row>
    <row r="13" spans="1:23" ht="14.25" customHeight="1" thickBot="1" x14ac:dyDescent="0.25">
      <c r="A13" s="464"/>
      <c r="B13" s="97" t="s">
        <v>396</v>
      </c>
      <c r="C13" s="96" t="s">
        <v>63</v>
      </c>
      <c r="D13" s="95">
        <v>530.30999999999995</v>
      </c>
      <c r="E13" s="94">
        <f t="shared" si="1"/>
        <v>200</v>
      </c>
      <c r="F13" s="306">
        <v>22.35</v>
      </c>
      <c r="G13" s="73">
        <v>2</v>
      </c>
      <c r="H13" s="309">
        <f t="shared" si="2"/>
        <v>44.7</v>
      </c>
      <c r="I13" s="73">
        <f t="shared" si="0"/>
        <v>1</v>
      </c>
      <c r="J13" s="73">
        <f t="shared" si="3"/>
        <v>200</v>
      </c>
      <c r="K13" s="73">
        <f t="shared" si="4"/>
        <v>155.30000000000001</v>
      </c>
      <c r="L13" s="91" t="s">
        <v>418</v>
      </c>
      <c r="M13" s="93">
        <v>541.49</v>
      </c>
      <c r="N13" s="92">
        <f t="shared" si="5"/>
        <v>150</v>
      </c>
      <c r="O13" s="91">
        <f t="shared" si="6"/>
        <v>150</v>
      </c>
      <c r="P13" s="92">
        <f t="shared" si="7"/>
        <v>105.3</v>
      </c>
      <c r="Q13" s="130"/>
      <c r="R13" s="517"/>
      <c r="S13" s="514"/>
      <c r="U13" s="429"/>
      <c r="V13" s="429"/>
      <c r="W13" s="429"/>
    </row>
    <row r="14" spans="1:23" ht="13.5" thickBot="1" x14ac:dyDescent="0.25">
      <c r="A14" s="428" t="s">
        <v>426</v>
      </c>
      <c r="B14" s="87" t="s">
        <v>351</v>
      </c>
      <c r="C14" s="157"/>
      <c r="D14" s="85"/>
      <c r="E14" s="178">
        <f t="shared" si="1"/>
        <v>300</v>
      </c>
      <c r="F14" s="307"/>
      <c r="G14" s="94">
        <v>2</v>
      </c>
      <c r="H14" s="306">
        <f t="shared" si="2"/>
        <v>0</v>
      </c>
      <c r="I14" s="94">
        <f t="shared" si="0"/>
        <v>0</v>
      </c>
      <c r="J14" s="94">
        <f t="shared" si="3"/>
        <v>0</v>
      </c>
      <c r="K14" s="94"/>
      <c r="L14" s="101"/>
      <c r="M14" s="83"/>
      <c r="N14" s="176">
        <f t="shared" si="5"/>
        <v>300</v>
      </c>
      <c r="O14" s="175">
        <f t="shared" si="6"/>
        <v>0</v>
      </c>
      <c r="P14" s="176"/>
      <c r="Q14" s="156"/>
      <c r="R14" s="165"/>
      <c r="S14" s="425"/>
      <c r="U14" s="429"/>
      <c r="V14" s="429"/>
      <c r="W14" s="429"/>
    </row>
    <row r="15" spans="1:23" ht="14.25" customHeight="1" x14ac:dyDescent="0.2">
      <c r="A15" s="462" t="s">
        <v>49</v>
      </c>
      <c r="B15" s="87" t="s">
        <v>425</v>
      </c>
      <c r="C15" s="86" t="s">
        <v>47</v>
      </c>
      <c r="D15" s="85">
        <v>341.36500000000001</v>
      </c>
      <c r="E15" s="94">
        <f t="shared" si="1"/>
        <v>200</v>
      </c>
      <c r="F15" s="307">
        <v>414.50749999999999</v>
      </c>
      <c r="G15" s="84">
        <v>2</v>
      </c>
      <c r="H15" s="307">
        <f t="shared" si="2"/>
        <v>829.01499999999999</v>
      </c>
      <c r="I15" s="84">
        <f t="shared" si="0"/>
        <v>5</v>
      </c>
      <c r="J15" s="84">
        <f t="shared" si="3"/>
        <v>1000</v>
      </c>
      <c r="K15" s="84">
        <f>J15-H15</f>
        <v>170.98500000000001</v>
      </c>
      <c r="L15" s="101" t="s">
        <v>424</v>
      </c>
      <c r="M15" s="83">
        <v>527.53499999999997</v>
      </c>
      <c r="N15" s="92">
        <f t="shared" si="5"/>
        <v>200</v>
      </c>
      <c r="O15" s="91">
        <f t="shared" si="6"/>
        <v>1000</v>
      </c>
      <c r="P15" s="92">
        <f>O15-H15</f>
        <v>170.98500000000001</v>
      </c>
      <c r="Q15" s="124"/>
      <c r="R15" s="509"/>
      <c r="S15" s="510"/>
      <c r="U15" s="429"/>
      <c r="V15" s="429"/>
      <c r="W15" s="429"/>
    </row>
    <row r="16" spans="1:23" ht="14.25" customHeight="1" x14ac:dyDescent="0.2">
      <c r="A16" s="464"/>
      <c r="B16" s="97" t="s">
        <v>9</v>
      </c>
      <c r="C16" s="96" t="s">
        <v>423</v>
      </c>
      <c r="D16" s="110">
        <v>72.555000000000007</v>
      </c>
      <c r="E16" s="94">
        <f t="shared" si="1"/>
        <v>300</v>
      </c>
      <c r="F16" s="311">
        <v>249.06020000000001</v>
      </c>
      <c r="G16" s="94">
        <v>2</v>
      </c>
      <c r="H16" s="306">
        <f t="shared" si="2"/>
        <v>498.12040000000002</v>
      </c>
      <c r="I16" s="94">
        <f t="shared" si="0"/>
        <v>2</v>
      </c>
      <c r="J16" s="94">
        <f t="shared" si="3"/>
        <v>600</v>
      </c>
      <c r="K16" s="94">
        <f t="shared" ref="K16:K24" si="8">J16-H16</f>
        <v>101.87959999999998</v>
      </c>
      <c r="L16" s="102" t="s">
        <v>422</v>
      </c>
      <c r="M16" s="108">
        <v>258.625</v>
      </c>
      <c r="N16" s="92">
        <f t="shared" si="5"/>
        <v>250</v>
      </c>
      <c r="O16" s="91">
        <f t="shared" si="6"/>
        <v>500</v>
      </c>
      <c r="P16" s="92">
        <f t="shared" ref="P16:P24" si="9">O16-H16</f>
        <v>1.8795999999999822</v>
      </c>
      <c r="Q16" s="142"/>
      <c r="R16" s="511"/>
      <c r="S16" s="512"/>
      <c r="U16" s="429"/>
      <c r="V16" s="429"/>
      <c r="W16" s="429"/>
    </row>
    <row r="17" spans="1:25" ht="14.25" customHeight="1" x14ac:dyDescent="0.2">
      <c r="A17" s="464"/>
      <c r="B17" s="97" t="s">
        <v>10</v>
      </c>
      <c r="C17" s="96" t="s">
        <v>386</v>
      </c>
      <c r="D17" s="110">
        <v>894.93</v>
      </c>
      <c r="E17" s="94">
        <f t="shared" si="1"/>
        <v>150</v>
      </c>
      <c r="F17" s="311">
        <v>185.4342</v>
      </c>
      <c r="G17" s="94">
        <v>2</v>
      </c>
      <c r="H17" s="306">
        <f t="shared" si="2"/>
        <v>370.86840000000001</v>
      </c>
      <c r="I17" s="94">
        <f t="shared" si="0"/>
        <v>3</v>
      </c>
      <c r="J17" s="94">
        <f t="shared" si="3"/>
        <v>450</v>
      </c>
      <c r="K17" s="94">
        <f t="shared" si="8"/>
        <v>79.131599999999992</v>
      </c>
      <c r="L17" s="102" t="s">
        <v>385</v>
      </c>
      <c r="M17" s="108">
        <v>975.03499999999997</v>
      </c>
      <c r="N17" s="92">
        <f t="shared" si="5"/>
        <v>150</v>
      </c>
      <c r="O17" s="91">
        <f t="shared" si="6"/>
        <v>450</v>
      </c>
      <c r="P17" s="92">
        <f t="shared" si="9"/>
        <v>79.131599999999992</v>
      </c>
      <c r="Q17" s="142"/>
      <c r="R17" s="511"/>
      <c r="S17" s="512"/>
      <c r="U17" s="429"/>
      <c r="V17" s="429"/>
      <c r="W17" s="429"/>
    </row>
    <row r="18" spans="1:25" ht="14.25" customHeight="1" x14ac:dyDescent="0.2">
      <c r="A18" s="464"/>
      <c r="B18" s="97" t="s">
        <v>11</v>
      </c>
      <c r="C18" s="96" t="s">
        <v>378</v>
      </c>
      <c r="D18" s="110">
        <v>839.23</v>
      </c>
      <c r="E18" s="94">
        <f t="shared" si="1"/>
        <v>150</v>
      </c>
      <c r="F18" s="311">
        <v>213.84829999999999</v>
      </c>
      <c r="G18" s="94">
        <v>2</v>
      </c>
      <c r="H18" s="306">
        <f t="shared" si="2"/>
        <v>427.69659999999999</v>
      </c>
      <c r="I18" s="94">
        <f t="shared" si="0"/>
        <v>4</v>
      </c>
      <c r="J18" s="94">
        <f t="shared" si="3"/>
        <v>600</v>
      </c>
      <c r="K18" s="94">
        <f t="shared" si="8"/>
        <v>172.30340000000001</v>
      </c>
      <c r="L18" s="102" t="s">
        <v>421</v>
      </c>
      <c r="M18" s="108">
        <v>1025.3</v>
      </c>
      <c r="N18" s="92">
        <f t="shared" si="5"/>
        <v>150</v>
      </c>
      <c r="O18" s="91">
        <f t="shared" si="6"/>
        <v>600</v>
      </c>
      <c r="P18" s="92">
        <f t="shared" si="9"/>
        <v>172.30340000000001</v>
      </c>
      <c r="Q18" s="142"/>
      <c r="R18" s="511"/>
      <c r="S18" s="512"/>
      <c r="U18" s="429"/>
      <c r="V18" s="429"/>
      <c r="W18" s="429"/>
    </row>
    <row r="19" spans="1:25" ht="14.25" customHeight="1" x14ac:dyDescent="0.2">
      <c r="A19" s="464"/>
      <c r="B19" s="97" t="s">
        <v>12</v>
      </c>
      <c r="C19" s="96" t="s">
        <v>52</v>
      </c>
      <c r="D19" s="110">
        <v>428.91</v>
      </c>
      <c r="E19" s="94">
        <f t="shared" si="1"/>
        <v>200</v>
      </c>
      <c r="F19" s="311">
        <v>320.7817</v>
      </c>
      <c r="G19" s="94">
        <v>2</v>
      </c>
      <c r="H19" s="306">
        <f t="shared" si="2"/>
        <v>641.5634</v>
      </c>
      <c r="I19" s="94">
        <f t="shared" si="0"/>
        <v>4</v>
      </c>
      <c r="J19" s="94">
        <f t="shared" si="3"/>
        <v>800</v>
      </c>
      <c r="K19" s="94">
        <f t="shared" si="8"/>
        <v>158.4366</v>
      </c>
      <c r="L19" s="102" t="s">
        <v>420</v>
      </c>
      <c r="M19" s="108">
        <v>440.09</v>
      </c>
      <c r="N19" s="92">
        <f t="shared" si="5"/>
        <v>200</v>
      </c>
      <c r="O19" s="91">
        <f t="shared" si="6"/>
        <v>800</v>
      </c>
      <c r="P19" s="92">
        <f t="shared" si="9"/>
        <v>158.4366</v>
      </c>
      <c r="Q19" s="124"/>
      <c r="R19" s="511"/>
      <c r="S19" s="512"/>
      <c r="U19" s="429"/>
      <c r="V19" s="429"/>
      <c r="W19" s="429"/>
    </row>
    <row r="20" spans="1:25" ht="14.25" customHeight="1" thickBot="1" x14ac:dyDescent="0.25">
      <c r="A20" s="464"/>
      <c r="B20" s="97" t="s">
        <v>419</v>
      </c>
      <c r="C20" s="96" t="s">
        <v>411</v>
      </c>
      <c r="D20" s="95">
        <v>530.30999999999995</v>
      </c>
      <c r="E20" s="94">
        <f t="shared" si="1"/>
        <v>200</v>
      </c>
      <c r="F20" s="306">
        <v>22.35</v>
      </c>
      <c r="G20" s="73">
        <v>2</v>
      </c>
      <c r="H20" s="309">
        <f t="shared" si="2"/>
        <v>44.7</v>
      </c>
      <c r="I20" s="73">
        <f t="shared" si="0"/>
        <v>1</v>
      </c>
      <c r="J20" s="73">
        <f t="shared" si="3"/>
        <v>200</v>
      </c>
      <c r="K20" s="73">
        <f t="shared" si="8"/>
        <v>155.30000000000001</v>
      </c>
      <c r="L20" s="91" t="s">
        <v>418</v>
      </c>
      <c r="M20" s="93">
        <v>541.49</v>
      </c>
      <c r="N20" s="92">
        <f t="shared" si="5"/>
        <v>150</v>
      </c>
      <c r="O20" s="91">
        <f t="shared" si="6"/>
        <v>150</v>
      </c>
      <c r="P20" s="92">
        <f t="shared" si="9"/>
        <v>105.3</v>
      </c>
      <c r="Q20" s="119"/>
      <c r="R20" s="513"/>
      <c r="S20" s="514"/>
      <c r="U20" s="18"/>
      <c r="V20" s="429"/>
      <c r="W20" s="429"/>
    </row>
    <row r="21" spans="1:25" ht="14.25" customHeight="1" x14ac:dyDescent="0.2">
      <c r="A21" s="462" t="s">
        <v>413</v>
      </c>
      <c r="B21" s="87" t="s">
        <v>7</v>
      </c>
      <c r="C21" s="86" t="s">
        <v>48</v>
      </c>
      <c r="D21" s="85">
        <v>457.755</v>
      </c>
      <c r="E21" s="84">
        <f t="shared" si="1"/>
        <v>200</v>
      </c>
      <c r="F21" s="307">
        <v>200.1122</v>
      </c>
      <c r="G21" s="94">
        <v>2</v>
      </c>
      <c r="H21" s="306">
        <f t="shared" si="2"/>
        <v>400.2244</v>
      </c>
      <c r="I21" s="94">
        <f t="shared" si="0"/>
        <v>3</v>
      </c>
      <c r="J21" s="94">
        <f t="shared" si="3"/>
        <v>600</v>
      </c>
      <c r="K21" s="94">
        <f t="shared" si="8"/>
        <v>199.7756</v>
      </c>
      <c r="L21" s="101" t="s">
        <v>416</v>
      </c>
      <c r="M21" s="83">
        <v>733.18499999999995</v>
      </c>
      <c r="N21" s="82">
        <f t="shared" si="5"/>
        <v>150</v>
      </c>
      <c r="O21" s="101">
        <f t="shared" si="6"/>
        <v>450</v>
      </c>
      <c r="P21" s="82">
        <f t="shared" si="9"/>
        <v>49.775599999999997</v>
      </c>
      <c r="Q21" s="124"/>
      <c r="R21" s="515"/>
      <c r="S21" s="510"/>
      <c r="U21" s="18"/>
      <c r="V21" s="429"/>
      <c r="W21" s="429"/>
    </row>
    <row r="22" spans="1:25" ht="14.25" customHeight="1" x14ac:dyDescent="0.2">
      <c r="A22" s="464"/>
      <c r="B22" s="97" t="s">
        <v>415</v>
      </c>
      <c r="C22" s="96" t="s">
        <v>74</v>
      </c>
      <c r="D22" s="110">
        <v>632.29</v>
      </c>
      <c r="E22" s="94">
        <f t="shared" si="1"/>
        <v>150</v>
      </c>
      <c r="F22" s="311">
        <v>416.14780000000002</v>
      </c>
      <c r="G22" s="94">
        <v>2</v>
      </c>
      <c r="H22" s="306">
        <f t="shared" si="2"/>
        <v>832.29560000000004</v>
      </c>
      <c r="I22" s="94">
        <f t="shared" si="0"/>
        <v>7</v>
      </c>
      <c r="J22" s="94">
        <f t="shared" si="3"/>
        <v>1050</v>
      </c>
      <c r="K22" s="94">
        <f t="shared" si="8"/>
        <v>217.70439999999996</v>
      </c>
      <c r="L22" s="102" t="s">
        <v>361</v>
      </c>
      <c r="M22" s="108">
        <v>692.19500000000005</v>
      </c>
      <c r="N22" s="92">
        <f t="shared" si="5"/>
        <v>150</v>
      </c>
      <c r="O22" s="91">
        <f t="shared" si="6"/>
        <v>1050</v>
      </c>
      <c r="P22" s="92">
        <f t="shared" si="9"/>
        <v>217.70439999999996</v>
      </c>
      <c r="Q22" s="124"/>
      <c r="R22" s="516"/>
      <c r="S22" s="512"/>
    </row>
    <row r="23" spans="1:25" ht="14.25" customHeight="1" x14ac:dyDescent="0.2">
      <c r="A23" s="464"/>
      <c r="B23" s="97" t="s">
        <v>414</v>
      </c>
      <c r="C23" s="96" t="s">
        <v>413</v>
      </c>
      <c r="D23" s="110">
        <v>370.31</v>
      </c>
      <c r="E23" s="94">
        <f t="shared" si="1"/>
        <v>200</v>
      </c>
      <c r="F23" s="311">
        <v>24.103000000000002</v>
      </c>
      <c r="G23" s="94">
        <v>2</v>
      </c>
      <c r="H23" s="306">
        <f t="shared" si="2"/>
        <v>48.206000000000003</v>
      </c>
      <c r="I23" s="94">
        <f t="shared" si="0"/>
        <v>1</v>
      </c>
      <c r="J23" s="94">
        <f t="shared" si="3"/>
        <v>200</v>
      </c>
      <c r="K23" s="94">
        <f t="shared" si="8"/>
        <v>151.79399999999998</v>
      </c>
      <c r="L23" s="102" t="s">
        <v>412</v>
      </c>
      <c r="M23" s="108">
        <v>820.63</v>
      </c>
      <c r="N23" s="92">
        <f t="shared" si="5"/>
        <v>150</v>
      </c>
      <c r="O23" s="91">
        <f t="shared" si="6"/>
        <v>150</v>
      </c>
      <c r="P23" s="92">
        <f t="shared" si="9"/>
        <v>101.794</v>
      </c>
      <c r="Q23" s="124"/>
      <c r="R23" s="516"/>
      <c r="S23" s="512"/>
      <c r="U23" s="431"/>
      <c r="V23" s="58"/>
    </row>
    <row r="24" spans="1:25" ht="14.25" customHeight="1" thickBot="1" x14ac:dyDescent="0.25">
      <c r="A24" s="464"/>
      <c r="B24" s="97" t="s">
        <v>396</v>
      </c>
      <c r="C24" s="96" t="s">
        <v>411</v>
      </c>
      <c r="D24" s="95">
        <v>530.30999999999995</v>
      </c>
      <c r="E24" s="73">
        <f t="shared" si="1"/>
        <v>200</v>
      </c>
      <c r="F24" s="306">
        <v>22.35</v>
      </c>
      <c r="G24" s="94">
        <v>2</v>
      </c>
      <c r="H24" s="306">
        <f t="shared" si="2"/>
        <v>44.7</v>
      </c>
      <c r="I24" s="94">
        <f t="shared" si="0"/>
        <v>1</v>
      </c>
      <c r="J24" s="94">
        <f t="shared" si="3"/>
        <v>200</v>
      </c>
      <c r="K24" s="94">
        <f t="shared" si="8"/>
        <v>155.30000000000001</v>
      </c>
      <c r="L24" s="91" t="s">
        <v>410</v>
      </c>
      <c r="M24" s="93">
        <v>660.63</v>
      </c>
      <c r="N24" s="121">
        <f t="shared" si="5"/>
        <v>150</v>
      </c>
      <c r="O24" s="70">
        <f t="shared" si="6"/>
        <v>150</v>
      </c>
      <c r="P24" s="121">
        <f t="shared" si="9"/>
        <v>105.3</v>
      </c>
      <c r="Q24" s="130"/>
      <c r="R24" s="517"/>
      <c r="S24" s="514"/>
      <c r="U24" s="431"/>
    </row>
    <row r="25" spans="1:25" ht="15" customHeight="1" thickBot="1" x14ac:dyDescent="0.25">
      <c r="A25" s="158" t="s">
        <v>409</v>
      </c>
      <c r="B25" s="87" t="s">
        <v>408</v>
      </c>
      <c r="C25" s="157"/>
      <c r="D25" s="85"/>
      <c r="E25" s="94">
        <f t="shared" si="1"/>
        <v>300</v>
      </c>
      <c r="F25" s="307"/>
      <c r="G25" s="178">
        <v>2</v>
      </c>
      <c r="H25" s="314">
        <f t="shared" si="2"/>
        <v>0</v>
      </c>
      <c r="I25" s="178">
        <f t="shared" si="0"/>
        <v>0</v>
      </c>
      <c r="J25" s="178">
        <f t="shared" si="3"/>
        <v>0</v>
      </c>
      <c r="K25" s="178"/>
      <c r="L25" s="101"/>
      <c r="M25" s="83"/>
      <c r="N25" s="92">
        <f t="shared" si="5"/>
        <v>300</v>
      </c>
      <c r="O25" s="91">
        <f t="shared" si="6"/>
        <v>0</v>
      </c>
      <c r="P25" s="92"/>
      <c r="Q25" s="156"/>
      <c r="R25" s="518"/>
      <c r="S25" s="519"/>
    </row>
    <row r="26" spans="1:25" x14ac:dyDescent="0.2">
      <c r="A26" s="480" t="s">
        <v>407</v>
      </c>
      <c r="B26" s="155" t="s">
        <v>14</v>
      </c>
      <c r="C26" s="86" t="s">
        <v>406</v>
      </c>
      <c r="D26" s="85">
        <v>391.72</v>
      </c>
      <c r="E26" s="84">
        <f t="shared" si="1"/>
        <v>200</v>
      </c>
      <c r="F26" s="307">
        <v>664.51419999999996</v>
      </c>
      <c r="G26" s="94">
        <v>2</v>
      </c>
      <c r="H26" s="306">
        <f t="shared" si="2"/>
        <v>1329.0283999999999</v>
      </c>
      <c r="I26" s="94">
        <f t="shared" si="0"/>
        <v>8</v>
      </c>
      <c r="J26" s="94">
        <f t="shared" si="3"/>
        <v>1600</v>
      </c>
      <c r="K26" s="94">
        <f>J26-H26</f>
        <v>270.97160000000008</v>
      </c>
      <c r="L26" s="101" t="s">
        <v>405</v>
      </c>
      <c r="M26" s="83">
        <v>799.22</v>
      </c>
      <c r="N26" s="82">
        <f t="shared" si="5"/>
        <v>150</v>
      </c>
      <c r="O26" s="101">
        <f t="shared" si="6"/>
        <v>1200</v>
      </c>
      <c r="P26" s="197">
        <f>O26-H26</f>
        <v>-129.02839999999992</v>
      </c>
      <c r="Q26" s="124">
        <f>O26/J26</f>
        <v>0.75</v>
      </c>
      <c r="R26" s="154" t="s">
        <v>384</v>
      </c>
      <c r="S26" s="153">
        <v>107.85</v>
      </c>
    </row>
    <row r="27" spans="1:25" ht="14.25" customHeight="1" thickBot="1" x14ac:dyDescent="0.25">
      <c r="A27" s="481"/>
      <c r="B27" s="76" t="s">
        <v>360</v>
      </c>
      <c r="C27" s="75" t="s">
        <v>55</v>
      </c>
      <c r="D27" s="152">
        <v>566.26</v>
      </c>
      <c r="E27" s="73">
        <f t="shared" si="1"/>
        <v>150</v>
      </c>
      <c r="F27" s="313">
        <v>424.66829999999999</v>
      </c>
      <c r="G27" s="94">
        <v>2</v>
      </c>
      <c r="H27" s="306">
        <f t="shared" si="2"/>
        <v>849.33659999999998</v>
      </c>
      <c r="I27" s="94">
        <f t="shared" si="0"/>
        <v>7</v>
      </c>
      <c r="J27" s="94">
        <f t="shared" si="3"/>
        <v>1050</v>
      </c>
      <c r="K27" s="94">
        <f t="shared" ref="K27:K56" si="10">J27-H27</f>
        <v>200.66340000000002</v>
      </c>
      <c r="L27" s="272" t="s">
        <v>404</v>
      </c>
      <c r="M27" s="150">
        <v>973.76</v>
      </c>
      <c r="N27" s="121">
        <f t="shared" si="5"/>
        <v>150</v>
      </c>
      <c r="O27" s="70">
        <f t="shared" si="6"/>
        <v>1050</v>
      </c>
      <c r="P27" s="326">
        <f t="shared" ref="P27:P56" si="11">O27-H27</f>
        <v>200.66340000000002</v>
      </c>
      <c r="Q27" s="119"/>
      <c r="R27" s="148"/>
      <c r="S27" s="147"/>
    </row>
    <row r="28" spans="1:25" ht="14.25" customHeight="1" x14ac:dyDescent="0.2">
      <c r="A28" s="464" t="s">
        <v>403</v>
      </c>
      <c r="B28" s="63" t="s">
        <v>6</v>
      </c>
      <c r="C28" s="116" t="s">
        <v>47</v>
      </c>
      <c r="D28" s="95">
        <v>341.46499999999997</v>
      </c>
      <c r="E28" s="94">
        <f t="shared" si="1"/>
        <v>200</v>
      </c>
      <c r="F28" s="306">
        <v>414.50749999999999</v>
      </c>
      <c r="G28" s="84">
        <v>2</v>
      </c>
      <c r="H28" s="307">
        <f t="shared" si="2"/>
        <v>829.01499999999999</v>
      </c>
      <c r="I28" s="84">
        <f t="shared" si="0"/>
        <v>5</v>
      </c>
      <c r="J28" s="84">
        <f t="shared" si="3"/>
        <v>1000</v>
      </c>
      <c r="K28" s="84">
        <f t="shared" si="10"/>
        <v>170.98500000000001</v>
      </c>
      <c r="L28" s="91" t="s">
        <v>402</v>
      </c>
      <c r="M28" s="93">
        <v>849.47500000000002</v>
      </c>
      <c r="N28" s="92">
        <f t="shared" si="5"/>
        <v>150</v>
      </c>
      <c r="O28" s="91">
        <f t="shared" si="6"/>
        <v>750</v>
      </c>
      <c r="P28" s="327">
        <f t="shared" si="11"/>
        <v>-79.014999999999986</v>
      </c>
      <c r="Q28" s="124">
        <f>O28/J28</f>
        <v>0.75</v>
      </c>
      <c r="R28" s="426" t="s">
        <v>505</v>
      </c>
      <c r="S28" s="141"/>
    </row>
    <row r="29" spans="1:25" ht="14.25" customHeight="1" x14ac:dyDescent="0.2">
      <c r="A29" s="464"/>
      <c r="B29" s="63" t="s">
        <v>401</v>
      </c>
      <c r="C29" s="116" t="s">
        <v>386</v>
      </c>
      <c r="D29" s="95">
        <v>894.93</v>
      </c>
      <c r="E29" s="94">
        <f t="shared" si="1"/>
        <v>150</v>
      </c>
      <c r="F29" s="306">
        <v>185.4342</v>
      </c>
      <c r="G29" s="94">
        <v>2</v>
      </c>
      <c r="H29" s="306">
        <f t="shared" si="2"/>
        <v>370.86840000000001</v>
      </c>
      <c r="I29" s="94">
        <f t="shared" si="0"/>
        <v>3</v>
      </c>
      <c r="J29" s="94">
        <f t="shared" si="3"/>
        <v>450</v>
      </c>
      <c r="K29" s="94">
        <f t="shared" si="10"/>
        <v>79.131599999999992</v>
      </c>
      <c r="L29" s="91" t="s">
        <v>385</v>
      </c>
      <c r="M29" s="93">
        <v>975.03499999999997</v>
      </c>
      <c r="N29" s="92">
        <f t="shared" si="5"/>
        <v>150</v>
      </c>
      <c r="O29" s="91">
        <f t="shared" si="6"/>
        <v>450</v>
      </c>
      <c r="P29" s="327">
        <f t="shared" si="11"/>
        <v>79.131599999999992</v>
      </c>
      <c r="Q29" s="142"/>
      <c r="R29" s="336" t="s">
        <v>401</v>
      </c>
      <c r="S29" s="337">
        <v>41.17</v>
      </c>
    </row>
    <row r="30" spans="1:25" ht="14.25" customHeight="1" thickBot="1" x14ac:dyDescent="0.25">
      <c r="A30" s="464"/>
      <c r="B30" s="97" t="s">
        <v>400</v>
      </c>
      <c r="C30" s="96" t="s">
        <v>378</v>
      </c>
      <c r="D30" s="110">
        <v>839.23</v>
      </c>
      <c r="E30" s="94">
        <f t="shared" si="1"/>
        <v>150</v>
      </c>
      <c r="F30" s="311">
        <v>213.84829999999999</v>
      </c>
      <c r="G30" s="94">
        <v>2</v>
      </c>
      <c r="H30" s="306">
        <f t="shared" si="2"/>
        <v>427.69659999999999</v>
      </c>
      <c r="I30" s="94">
        <f t="shared" si="0"/>
        <v>4</v>
      </c>
      <c r="J30" s="94">
        <f t="shared" si="3"/>
        <v>600</v>
      </c>
      <c r="K30" s="94">
        <f t="shared" si="10"/>
        <v>172.30340000000001</v>
      </c>
      <c r="L30" s="102" t="s">
        <v>399</v>
      </c>
      <c r="M30" s="108">
        <v>1347.24</v>
      </c>
      <c r="N30" s="92">
        <f t="shared" si="5"/>
        <v>100</v>
      </c>
      <c r="O30" s="91">
        <f t="shared" si="6"/>
        <v>400</v>
      </c>
      <c r="P30" s="327">
        <f t="shared" si="11"/>
        <v>-27.696599999999989</v>
      </c>
      <c r="Q30" s="124">
        <f>O30/J30</f>
        <v>0.66666666666666663</v>
      </c>
      <c r="R30" s="145" t="s">
        <v>12</v>
      </c>
      <c r="S30" s="144">
        <v>21.47</v>
      </c>
    </row>
    <row r="31" spans="1:25" ht="14.25" customHeight="1" x14ac:dyDescent="0.2">
      <c r="A31" s="464"/>
      <c r="B31" s="97" t="s">
        <v>398</v>
      </c>
      <c r="C31" s="96" t="s">
        <v>52</v>
      </c>
      <c r="D31" s="95">
        <v>428.91</v>
      </c>
      <c r="E31" s="94">
        <f t="shared" si="1"/>
        <v>200</v>
      </c>
      <c r="F31" s="306">
        <v>320.7817</v>
      </c>
      <c r="G31" s="94">
        <v>2</v>
      </c>
      <c r="H31" s="306">
        <f t="shared" si="2"/>
        <v>641.5634</v>
      </c>
      <c r="I31" s="94">
        <f t="shared" si="0"/>
        <v>4</v>
      </c>
      <c r="J31" s="94">
        <f t="shared" si="3"/>
        <v>800</v>
      </c>
      <c r="K31" s="94">
        <f t="shared" si="10"/>
        <v>158.4366</v>
      </c>
      <c r="L31" s="91" t="s">
        <v>397</v>
      </c>
      <c r="M31" s="93">
        <v>762.03</v>
      </c>
      <c r="N31" s="92">
        <f t="shared" si="5"/>
        <v>150</v>
      </c>
      <c r="O31" s="91">
        <f t="shared" si="6"/>
        <v>600</v>
      </c>
      <c r="P31" s="327">
        <f t="shared" si="11"/>
        <v>-41.563400000000001</v>
      </c>
      <c r="Q31" s="142">
        <f>O31/J31</f>
        <v>0.75</v>
      </c>
      <c r="R31" s="336" t="s">
        <v>395</v>
      </c>
      <c r="S31" s="337">
        <v>78.91</v>
      </c>
      <c r="U31" s="494" t="s">
        <v>569</v>
      </c>
      <c r="V31" s="495"/>
      <c r="W31" s="496"/>
      <c r="X31" s="431"/>
      <c r="Y31" s="17"/>
    </row>
    <row r="32" spans="1:25" ht="14.25" customHeight="1" thickBot="1" x14ac:dyDescent="0.25">
      <c r="A32" s="464"/>
      <c r="B32" s="97" t="s">
        <v>395</v>
      </c>
      <c r="C32" s="96" t="s">
        <v>56</v>
      </c>
      <c r="D32" s="95">
        <v>268.91000000000003</v>
      </c>
      <c r="E32" s="94">
        <f t="shared" si="1"/>
        <v>250</v>
      </c>
      <c r="F32" s="306">
        <v>277.57420000000002</v>
      </c>
      <c r="G32" s="73">
        <v>2</v>
      </c>
      <c r="H32" s="309">
        <f t="shared" si="2"/>
        <v>555.14840000000004</v>
      </c>
      <c r="I32" s="73">
        <f t="shared" si="0"/>
        <v>3</v>
      </c>
      <c r="J32" s="73">
        <f t="shared" si="3"/>
        <v>750</v>
      </c>
      <c r="K32" s="73">
        <f t="shared" si="10"/>
        <v>194.85159999999996</v>
      </c>
      <c r="L32" s="91" t="s">
        <v>394</v>
      </c>
      <c r="M32" s="93">
        <v>922.03</v>
      </c>
      <c r="N32" s="92">
        <f t="shared" si="5"/>
        <v>150</v>
      </c>
      <c r="O32" s="91">
        <f t="shared" si="6"/>
        <v>450</v>
      </c>
      <c r="P32" s="327">
        <f t="shared" si="11"/>
        <v>-105.14840000000004</v>
      </c>
      <c r="Q32" s="119">
        <f>O32/J32</f>
        <v>0.6</v>
      </c>
      <c r="R32" s="145" t="s">
        <v>6</v>
      </c>
      <c r="S32" s="144">
        <v>20.149999999999999</v>
      </c>
      <c r="U32" s="90"/>
      <c r="V32" s="431"/>
      <c r="W32" s="100"/>
      <c r="X32" s="431"/>
    </row>
    <row r="33" spans="1:41" x14ac:dyDescent="0.2">
      <c r="A33" s="462" t="s">
        <v>382</v>
      </c>
      <c r="B33" s="87" t="s">
        <v>393</v>
      </c>
      <c r="C33" s="86" t="s">
        <v>392</v>
      </c>
      <c r="D33" s="85">
        <v>774.56</v>
      </c>
      <c r="E33" s="84">
        <f t="shared" si="1"/>
        <v>150</v>
      </c>
      <c r="F33" s="307">
        <v>593.39</v>
      </c>
      <c r="G33" s="94">
        <v>2</v>
      </c>
      <c r="H33" s="306">
        <f t="shared" si="2"/>
        <v>1186.78</v>
      </c>
      <c r="I33" s="94">
        <f t="shared" si="0"/>
        <v>10</v>
      </c>
      <c r="J33" s="94">
        <f t="shared" si="3"/>
        <v>1500</v>
      </c>
      <c r="K33" s="94">
        <f t="shared" si="10"/>
        <v>313.22000000000003</v>
      </c>
      <c r="L33" s="101" t="s">
        <v>391</v>
      </c>
      <c r="M33" s="83">
        <v>778.62</v>
      </c>
      <c r="N33" s="82">
        <f t="shared" si="5"/>
        <v>150</v>
      </c>
      <c r="O33" s="101">
        <f t="shared" si="6"/>
        <v>1500</v>
      </c>
      <c r="P33" s="197">
        <f t="shared" si="11"/>
        <v>313.22000000000003</v>
      </c>
      <c r="Q33" s="140"/>
      <c r="R33" s="139"/>
      <c r="S33" s="106"/>
      <c r="U33" s="138" t="s">
        <v>390</v>
      </c>
      <c r="V33" s="137" t="s">
        <v>389</v>
      </c>
      <c r="W33" s="136" t="s">
        <v>388</v>
      </c>
      <c r="X33" s="431"/>
    </row>
    <row r="34" spans="1:41" ht="14.25" customHeight="1" x14ac:dyDescent="0.2">
      <c r="A34" s="464"/>
      <c r="B34" s="97" t="s">
        <v>387</v>
      </c>
      <c r="C34" s="96" t="s">
        <v>386</v>
      </c>
      <c r="D34" s="110">
        <v>894.93</v>
      </c>
      <c r="E34" s="94">
        <f t="shared" si="1"/>
        <v>150</v>
      </c>
      <c r="F34" s="311">
        <v>185.4342</v>
      </c>
      <c r="G34" s="94">
        <v>2</v>
      </c>
      <c r="H34" s="306">
        <f t="shared" si="2"/>
        <v>370.86840000000001</v>
      </c>
      <c r="I34" s="94">
        <f t="shared" si="0"/>
        <v>3</v>
      </c>
      <c r="J34" s="94">
        <f t="shared" si="3"/>
        <v>450</v>
      </c>
      <c r="K34" s="94">
        <f t="shared" si="10"/>
        <v>79.131599999999992</v>
      </c>
      <c r="L34" s="102" t="s">
        <v>385</v>
      </c>
      <c r="M34" s="108">
        <v>975.03499999999997</v>
      </c>
      <c r="N34" s="92">
        <f t="shared" si="5"/>
        <v>150</v>
      </c>
      <c r="O34" s="91">
        <f t="shared" si="6"/>
        <v>450</v>
      </c>
      <c r="P34" s="327">
        <f t="shared" si="11"/>
        <v>79.131599999999992</v>
      </c>
      <c r="Q34" s="79"/>
      <c r="R34" s="115"/>
      <c r="S34" s="105"/>
      <c r="U34" s="133" t="s">
        <v>384</v>
      </c>
      <c r="V34" s="132">
        <v>107.85</v>
      </c>
      <c r="W34" s="100">
        <f>V34/200*100</f>
        <v>53.924999999999997</v>
      </c>
      <c r="X34" s="431"/>
    </row>
    <row r="35" spans="1:41" ht="14.25" customHeight="1" thickBot="1" x14ac:dyDescent="0.25">
      <c r="A35" s="464"/>
      <c r="B35" s="97" t="s">
        <v>383</v>
      </c>
      <c r="C35" s="96" t="s">
        <v>382</v>
      </c>
      <c r="D35" s="95">
        <v>553.46500000000003</v>
      </c>
      <c r="E35" s="73">
        <f t="shared" si="1"/>
        <v>150</v>
      </c>
      <c r="F35" s="306">
        <v>491.47570000000002</v>
      </c>
      <c r="G35" s="94">
        <v>2</v>
      </c>
      <c r="H35" s="306">
        <f t="shared" si="2"/>
        <v>982.95140000000004</v>
      </c>
      <c r="I35" s="94">
        <f t="shared" si="0"/>
        <v>8</v>
      </c>
      <c r="J35" s="94">
        <f t="shared" si="3"/>
        <v>1200</v>
      </c>
      <c r="K35" s="94">
        <f t="shared" si="10"/>
        <v>217.04859999999996</v>
      </c>
      <c r="L35" s="91" t="s">
        <v>381</v>
      </c>
      <c r="M35" s="93">
        <v>660.12</v>
      </c>
      <c r="N35" s="121">
        <f t="shared" si="5"/>
        <v>150</v>
      </c>
      <c r="O35" s="70">
        <f t="shared" si="6"/>
        <v>1200</v>
      </c>
      <c r="P35" s="326">
        <f t="shared" si="11"/>
        <v>217.04859999999996</v>
      </c>
      <c r="Q35" s="68"/>
      <c r="R35" s="135"/>
      <c r="S35" s="134"/>
      <c r="U35" s="133" t="s">
        <v>380</v>
      </c>
      <c r="V35" s="132">
        <v>21.47</v>
      </c>
      <c r="W35" s="100">
        <f>V35/200*100</f>
        <v>10.734999999999999</v>
      </c>
    </row>
    <row r="36" spans="1:41" x14ac:dyDescent="0.2">
      <c r="A36" s="462" t="s">
        <v>375</v>
      </c>
      <c r="B36" s="87" t="s">
        <v>379</v>
      </c>
      <c r="C36" s="86" t="s">
        <v>378</v>
      </c>
      <c r="D36" s="85">
        <v>839.23</v>
      </c>
      <c r="E36" s="94">
        <f t="shared" si="1"/>
        <v>150</v>
      </c>
      <c r="F36" s="307">
        <v>213.84829999999999</v>
      </c>
      <c r="G36" s="84">
        <v>2</v>
      </c>
      <c r="H36" s="307">
        <f t="shared" si="2"/>
        <v>427.69659999999999</v>
      </c>
      <c r="I36" s="84">
        <f t="shared" si="0"/>
        <v>4</v>
      </c>
      <c r="J36" s="84">
        <f t="shared" si="3"/>
        <v>600</v>
      </c>
      <c r="K36" s="84">
        <f t="shared" si="10"/>
        <v>172.30340000000001</v>
      </c>
      <c r="L36" s="101" t="s">
        <v>377</v>
      </c>
      <c r="M36" s="83">
        <v>844.89</v>
      </c>
      <c r="N36" s="92">
        <f t="shared" si="5"/>
        <v>150</v>
      </c>
      <c r="O36" s="91">
        <f t="shared" si="6"/>
        <v>600</v>
      </c>
      <c r="P36" s="327">
        <f t="shared" si="11"/>
        <v>172.30340000000001</v>
      </c>
      <c r="Q36" s="79"/>
      <c r="R36" s="78"/>
      <c r="S36" s="77"/>
      <c r="U36" s="133" t="s">
        <v>19</v>
      </c>
      <c r="V36" s="132">
        <v>289.83</v>
      </c>
      <c r="W36" s="100">
        <f>V36/250*100</f>
        <v>115.93199999999999</v>
      </c>
    </row>
    <row r="37" spans="1:41" ht="14.25" customHeight="1" thickBot="1" x14ac:dyDescent="0.25">
      <c r="A37" s="464"/>
      <c r="B37" s="97" t="s">
        <v>376</v>
      </c>
      <c r="C37" s="96" t="s">
        <v>375</v>
      </c>
      <c r="D37" s="95">
        <v>497.76499999999999</v>
      </c>
      <c r="E37" s="94">
        <f t="shared" si="1"/>
        <v>200</v>
      </c>
      <c r="F37" s="306">
        <v>1151.328</v>
      </c>
      <c r="G37" s="73">
        <v>2</v>
      </c>
      <c r="H37" s="309">
        <f t="shared" si="2"/>
        <v>2302.6559999999999</v>
      </c>
      <c r="I37" s="73">
        <f t="shared" si="0"/>
        <v>14</v>
      </c>
      <c r="J37" s="73">
        <f t="shared" si="3"/>
        <v>2800</v>
      </c>
      <c r="K37" s="73">
        <f t="shared" si="10"/>
        <v>497.34400000000005</v>
      </c>
      <c r="L37" s="91" t="s">
        <v>374</v>
      </c>
      <c r="M37" s="93">
        <v>503.42500000000001</v>
      </c>
      <c r="N37" s="92">
        <f t="shared" si="5"/>
        <v>200</v>
      </c>
      <c r="O37" s="91">
        <f t="shared" si="6"/>
        <v>2800</v>
      </c>
      <c r="P37" s="327">
        <f t="shared" si="11"/>
        <v>497.34400000000005</v>
      </c>
      <c r="Q37" s="68"/>
      <c r="R37" s="67"/>
      <c r="S37" s="66"/>
      <c r="U37" s="133" t="s">
        <v>20</v>
      </c>
      <c r="V37" s="132">
        <v>375.69</v>
      </c>
      <c r="W37" s="100">
        <f>V37/250*100</f>
        <v>150.27600000000001</v>
      </c>
    </row>
    <row r="38" spans="1:41" ht="13.5" thickBot="1" x14ac:dyDescent="0.25">
      <c r="A38" s="428" t="s">
        <v>372</v>
      </c>
      <c r="B38" s="87" t="s">
        <v>373</v>
      </c>
      <c r="C38" s="86" t="s">
        <v>372</v>
      </c>
      <c r="D38" s="85">
        <v>285.27999999999997</v>
      </c>
      <c r="E38" s="178">
        <f t="shared" si="1"/>
        <v>250</v>
      </c>
      <c r="F38" s="307">
        <v>779.52329999999995</v>
      </c>
      <c r="G38" s="94">
        <v>2</v>
      </c>
      <c r="H38" s="306">
        <f t="shared" si="2"/>
        <v>1559.0465999999999</v>
      </c>
      <c r="I38" s="94">
        <f t="shared" si="0"/>
        <v>8</v>
      </c>
      <c r="J38" s="94">
        <f t="shared" si="3"/>
        <v>2000</v>
      </c>
      <c r="K38" s="94">
        <f t="shared" si="10"/>
        <v>440.9534000000001</v>
      </c>
      <c r="L38" s="101" t="s">
        <v>371</v>
      </c>
      <c r="M38" s="83">
        <v>539.80499999999995</v>
      </c>
      <c r="N38" s="176">
        <f t="shared" si="5"/>
        <v>150</v>
      </c>
      <c r="O38" s="175">
        <f t="shared" si="6"/>
        <v>1200</v>
      </c>
      <c r="P38" s="248">
        <f t="shared" si="11"/>
        <v>-359.0465999999999</v>
      </c>
      <c r="Q38" s="130">
        <f>O38/J38</f>
        <v>0.6</v>
      </c>
      <c r="R38" s="129" t="s">
        <v>370</v>
      </c>
      <c r="S38" s="128">
        <v>289.83</v>
      </c>
      <c r="U38" s="5" t="s">
        <v>395</v>
      </c>
      <c r="V38" s="5">
        <v>78.91</v>
      </c>
      <c r="W38" s="89">
        <f>V38/250*100</f>
        <v>31.563999999999997</v>
      </c>
    </row>
    <row r="39" spans="1:41" x14ac:dyDescent="0.2">
      <c r="A39" s="462" t="s">
        <v>60</v>
      </c>
      <c r="B39" s="87" t="s">
        <v>368</v>
      </c>
      <c r="C39" s="86" t="s">
        <v>367</v>
      </c>
      <c r="D39" s="85">
        <v>239.47</v>
      </c>
      <c r="E39" s="94">
        <f t="shared" si="1"/>
        <v>250</v>
      </c>
      <c r="F39" s="307">
        <v>886.15449999999998</v>
      </c>
      <c r="G39" s="84">
        <v>2</v>
      </c>
      <c r="H39" s="307">
        <f t="shared" si="2"/>
        <v>1772.309</v>
      </c>
      <c r="I39" s="84">
        <f t="shared" si="0"/>
        <v>9</v>
      </c>
      <c r="J39" s="84">
        <f t="shared" si="3"/>
        <v>2250</v>
      </c>
      <c r="K39" s="84">
        <f t="shared" si="10"/>
        <v>477.69100000000003</v>
      </c>
      <c r="L39" s="101" t="s">
        <v>366</v>
      </c>
      <c r="M39" s="83">
        <v>585.61500000000001</v>
      </c>
      <c r="N39" s="92">
        <f t="shared" si="5"/>
        <v>150</v>
      </c>
      <c r="O39" s="91">
        <f t="shared" si="6"/>
        <v>1350</v>
      </c>
      <c r="P39" s="327">
        <f t="shared" si="11"/>
        <v>-422.30899999999997</v>
      </c>
      <c r="Q39" s="124">
        <f>O39/J39</f>
        <v>0.6</v>
      </c>
      <c r="R39" s="123" t="s">
        <v>20</v>
      </c>
      <c r="S39" s="122">
        <v>375.69</v>
      </c>
      <c r="U39" s="5" t="s">
        <v>10</v>
      </c>
      <c r="V39" s="5">
        <v>41.17</v>
      </c>
      <c r="W39" s="5">
        <f>V39/150*100</f>
        <v>27.446666666666669</v>
      </c>
    </row>
    <row r="40" spans="1:41" ht="14.25" customHeight="1" thickBot="1" x14ac:dyDescent="0.25">
      <c r="A40" s="463"/>
      <c r="B40" s="76" t="s">
        <v>364</v>
      </c>
      <c r="C40" s="75" t="s">
        <v>61</v>
      </c>
      <c r="D40" s="74">
        <v>381.34</v>
      </c>
      <c r="E40" s="94">
        <f t="shared" si="1"/>
        <v>200</v>
      </c>
      <c r="F40" s="309">
        <v>233.80699999999999</v>
      </c>
      <c r="G40" s="73">
        <v>2</v>
      </c>
      <c r="H40" s="309">
        <f t="shared" si="2"/>
        <v>467.61399999999998</v>
      </c>
      <c r="I40" s="73">
        <f t="shared" si="0"/>
        <v>3</v>
      </c>
      <c r="J40" s="73">
        <f t="shared" si="3"/>
        <v>600</v>
      </c>
      <c r="K40" s="73">
        <f t="shared" si="10"/>
        <v>132.38600000000002</v>
      </c>
      <c r="L40" s="70" t="s">
        <v>328</v>
      </c>
      <c r="M40" s="72">
        <v>673.16499999999996</v>
      </c>
      <c r="N40" s="92">
        <f t="shared" si="5"/>
        <v>150</v>
      </c>
      <c r="O40" s="91">
        <f t="shared" si="6"/>
        <v>450</v>
      </c>
      <c r="P40" s="327">
        <f t="shared" si="11"/>
        <v>-17.613999999999976</v>
      </c>
      <c r="Q40" s="119"/>
      <c r="R40" s="118"/>
      <c r="S40" s="117"/>
      <c r="U40" s="5" t="s">
        <v>6</v>
      </c>
      <c r="V40" s="5">
        <v>20.149999999999999</v>
      </c>
      <c r="W40" s="5">
        <f>V40/200*100</f>
        <v>10.074999999999999</v>
      </c>
    </row>
    <row r="41" spans="1:41" ht="13.5" thickBot="1" x14ac:dyDescent="0.25">
      <c r="A41" s="464" t="s">
        <v>363</v>
      </c>
      <c r="B41" s="63" t="s">
        <v>362</v>
      </c>
      <c r="C41" s="116" t="s">
        <v>74</v>
      </c>
      <c r="D41" s="95">
        <v>632.29499999999996</v>
      </c>
      <c r="E41" s="84">
        <f t="shared" si="1"/>
        <v>150</v>
      </c>
      <c r="F41" s="306">
        <v>416.14780000000002</v>
      </c>
      <c r="G41" s="94">
        <v>2</v>
      </c>
      <c r="H41" s="306">
        <f t="shared" si="2"/>
        <v>832.29560000000004</v>
      </c>
      <c r="I41" s="94">
        <f t="shared" si="0"/>
        <v>7</v>
      </c>
      <c r="J41" s="94">
        <f t="shared" si="3"/>
        <v>1050</v>
      </c>
      <c r="K41" s="94">
        <f t="shared" si="10"/>
        <v>217.70439999999996</v>
      </c>
      <c r="L41" s="91" t="s">
        <v>361</v>
      </c>
      <c r="M41" s="93">
        <v>692.19500000000005</v>
      </c>
      <c r="N41" s="82">
        <f t="shared" si="5"/>
        <v>150</v>
      </c>
      <c r="O41" s="101">
        <f t="shared" si="6"/>
        <v>1050</v>
      </c>
      <c r="P41" s="197">
        <f t="shared" si="11"/>
        <v>217.70439999999996</v>
      </c>
      <c r="Q41" s="124"/>
      <c r="R41" s="374"/>
      <c r="S41" s="375"/>
      <c r="U41" s="127" t="s">
        <v>369</v>
      </c>
      <c r="V41" s="126">
        <f>SUM(V34:V40)</f>
        <v>935.06999999999982</v>
      </c>
    </row>
    <row r="42" spans="1:41" ht="14.25" customHeight="1" x14ac:dyDescent="0.2">
      <c r="A42" s="464"/>
      <c r="B42" s="97" t="s">
        <v>360</v>
      </c>
      <c r="C42" s="96" t="s">
        <v>55</v>
      </c>
      <c r="D42" s="110">
        <v>566.26</v>
      </c>
      <c r="E42" s="94">
        <f t="shared" si="1"/>
        <v>150</v>
      </c>
      <c r="F42" s="311">
        <v>424.66829999999999</v>
      </c>
      <c r="G42" s="94">
        <v>2</v>
      </c>
      <c r="H42" s="306">
        <f t="shared" si="2"/>
        <v>849.33659999999998</v>
      </c>
      <c r="I42" s="94">
        <f t="shared" si="0"/>
        <v>7</v>
      </c>
      <c r="J42" s="94">
        <f t="shared" si="3"/>
        <v>1050</v>
      </c>
      <c r="K42" s="94">
        <f t="shared" si="10"/>
        <v>200.66340000000002</v>
      </c>
      <c r="L42" s="102" t="s">
        <v>359</v>
      </c>
      <c r="M42" s="108">
        <v>1033.6600000000001</v>
      </c>
      <c r="N42" s="92">
        <f t="shared" si="5"/>
        <v>150</v>
      </c>
      <c r="O42" s="91">
        <f t="shared" si="6"/>
        <v>1050</v>
      </c>
      <c r="P42" s="327">
        <f t="shared" si="11"/>
        <v>200.66340000000002</v>
      </c>
      <c r="Q42" s="142"/>
      <c r="R42" s="374"/>
      <c r="S42" s="375"/>
      <c r="U42" s="17" t="s">
        <v>365</v>
      </c>
      <c r="V42" s="17">
        <f>V41/23900*100</f>
        <v>3.9124267782426774</v>
      </c>
    </row>
    <row r="43" spans="1:41" ht="14.25" customHeight="1" thickBot="1" x14ac:dyDescent="0.25">
      <c r="A43" s="464"/>
      <c r="B43" s="97" t="s">
        <v>358</v>
      </c>
      <c r="C43" s="96" t="s">
        <v>62</v>
      </c>
      <c r="D43" s="95">
        <v>174.54</v>
      </c>
      <c r="E43" s="73">
        <f t="shared" si="1"/>
        <v>250</v>
      </c>
      <c r="F43" s="306">
        <v>80.336669999999998</v>
      </c>
      <c r="G43" s="94">
        <v>2</v>
      </c>
      <c r="H43" s="306">
        <f t="shared" si="2"/>
        <v>160.67334</v>
      </c>
      <c r="I43" s="94">
        <f t="shared" si="0"/>
        <v>1</v>
      </c>
      <c r="J43" s="94">
        <f t="shared" si="3"/>
        <v>250</v>
      </c>
      <c r="K43" s="94">
        <f t="shared" si="10"/>
        <v>89.326660000000004</v>
      </c>
      <c r="L43" s="91" t="s">
        <v>357</v>
      </c>
      <c r="M43" s="93">
        <v>811.21</v>
      </c>
      <c r="N43" s="121">
        <f t="shared" si="5"/>
        <v>150</v>
      </c>
      <c r="O43" s="70">
        <f t="shared" si="6"/>
        <v>150</v>
      </c>
      <c r="P43" s="326">
        <f t="shared" si="11"/>
        <v>-10.673339999999996</v>
      </c>
      <c r="Q43" s="119" t="s">
        <v>540</v>
      </c>
      <c r="R43" s="145" t="s">
        <v>538</v>
      </c>
      <c r="S43" s="144" t="s">
        <v>539</v>
      </c>
    </row>
    <row r="44" spans="1:41" ht="13.5" thickBot="1" x14ac:dyDescent="0.25">
      <c r="A44" s="428" t="s">
        <v>355</v>
      </c>
      <c r="B44" s="87" t="s">
        <v>356</v>
      </c>
      <c r="C44" s="86" t="s">
        <v>355</v>
      </c>
      <c r="D44" s="85">
        <v>517.28</v>
      </c>
      <c r="E44" s="94">
        <f t="shared" si="1"/>
        <v>200</v>
      </c>
      <c r="F44" s="307">
        <v>67.241829999999993</v>
      </c>
      <c r="G44" s="178">
        <v>2</v>
      </c>
      <c r="H44" s="314">
        <f t="shared" si="2"/>
        <v>134.48365999999999</v>
      </c>
      <c r="I44" s="178">
        <f t="shared" si="0"/>
        <v>1</v>
      </c>
      <c r="J44" s="178">
        <f t="shared" si="3"/>
        <v>200</v>
      </c>
      <c r="K44" s="178">
        <f t="shared" si="10"/>
        <v>65.516340000000014</v>
      </c>
      <c r="L44" s="101" t="s">
        <v>354</v>
      </c>
      <c r="M44" s="83">
        <v>607.995</v>
      </c>
      <c r="N44" s="92">
        <f t="shared" si="5"/>
        <v>150</v>
      </c>
      <c r="O44" s="91">
        <f t="shared" si="6"/>
        <v>150</v>
      </c>
      <c r="P44" s="327">
        <f t="shared" si="11"/>
        <v>15.516340000000014</v>
      </c>
      <c r="Q44" s="113"/>
      <c r="R44" s="112"/>
      <c r="S44" s="425"/>
    </row>
    <row r="45" spans="1:41" ht="14.25" customHeight="1" x14ac:dyDescent="0.2">
      <c r="A45" s="462" t="s">
        <v>349</v>
      </c>
      <c r="B45" s="87" t="s">
        <v>353</v>
      </c>
      <c r="C45" s="86" t="s">
        <v>342</v>
      </c>
      <c r="D45" s="85">
        <v>592.98500000000001</v>
      </c>
      <c r="E45" s="84">
        <f t="shared" si="1"/>
        <v>150</v>
      </c>
      <c r="F45" s="307">
        <v>175.91919999999999</v>
      </c>
      <c r="G45" s="94">
        <v>2</v>
      </c>
      <c r="H45" s="306">
        <f t="shared" si="2"/>
        <v>351.83839999999998</v>
      </c>
      <c r="I45" s="94">
        <f t="shared" si="0"/>
        <v>3</v>
      </c>
      <c r="J45" s="94">
        <f t="shared" si="3"/>
        <v>450</v>
      </c>
      <c r="K45" s="94">
        <f t="shared" si="10"/>
        <v>98.161600000000021</v>
      </c>
      <c r="L45" s="101" t="s">
        <v>352</v>
      </c>
      <c r="M45" s="83">
        <v>1051.23</v>
      </c>
      <c r="N45" s="82">
        <f t="shared" si="5"/>
        <v>150</v>
      </c>
      <c r="O45" s="101">
        <f t="shared" si="6"/>
        <v>450</v>
      </c>
      <c r="P45" s="197">
        <f t="shared" si="11"/>
        <v>98.161600000000021</v>
      </c>
      <c r="Q45" s="79"/>
      <c r="R45" s="78"/>
      <c r="S45" s="77"/>
    </row>
    <row r="46" spans="1:41" ht="14.25" customHeight="1" x14ac:dyDescent="0.2">
      <c r="A46" s="464"/>
      <c r="B46" s="97" t="s">
        <v>350</v>
      </c>
      <c r="C46" s="96" t="s">
        <v>349</v>
      </c>
      <c r="D46" s="110">
        <v>374.84</v>
      </c>
      <c r="E46" s="94">
        <f t="shared" si="1"/>
        <v>200</v>
      </c>
      <c r="F46" s="311">
        <v>115.1143</v>
      </c>
      <c r="G46" s="94">
        <v>2</v>
      </c>
      <c r="H46" s="306">
        <f t="shared" si="2"/>
        <v>230.2286</v>
      </c>
      <c r="I46" s="94">
        <f t="shared" si="0"/>
        <v>2</v>
      </c>
      <c r="J46" s="94">
        <f t="shared" si="3"/>
        <v>400</v>
      </c>
      <c r="K46" s="94">
        <f t="shared" si="10"/>
        <v>169.7714</v>
      </c>
      <c r="L46" s="102" t="s">
        <v>348</v>
      </c>
      <c r="M46" s="108">
        <v>838.745</v>
      </c>
      <c r="N46" s="92">
        <f t="shared" si="5"/>
        <v>150</v>
      </c>
      <c r="O46" s="91">
        <f t="shared" si="6"/>
        <v>300</v>
      </c>
      <c r="P46" s="327">
        <f t="shared" si="11"/>
        <v>69.7714</v>
      </c>
      <c r="Q46" s="99"/>
      <c r="R46" s="104"/>
      <c r="S46" s="103"/>
    </row>
    <row r="47" spans="1:41" ht="14.25" customHeight="1" x14ac:dyDescent="0.2">
      <c r="A47" s="464"/>
      <c r="B47" s="97" t="s">
        <v>347</v>
      </c>
      <c r="C47" s="96" t="s">
        <v>335</v>
      </c>
      <c r="D47" s="110">
        <v>675.17499999999995</v>
      </c>
      <c r="E47" s="94">
        <f t="shared" si="1"/>
        <v>150</v>
      </c>
      <c r="F47" s="311">
        <v>87.5685</v>
      </c>
      <c r="G47" s="94">
        <v>2</v>
      </c>
      <c r="H47" s="306">
        <f t="shared" si="2"/>
        <v>175.137</v>
      </c>
      <c r="I47" s="94">
        <f t="shared" si="0"/>
        <v>2</v>
      </c>
      <c r="J47" s="94">
        <f t="shared" si="3"/>
        <v>300</v>
      </c>
      <c r="K47" s="94">
        <f t="shared" si="10"/>
        <v>124.863</v>
      </c>
      <c r="L47" s="102" t="s">
        <v>346</v>
      </c>
      <c r="M47" s="108">
        <v>792.93499999999995</v>
      </c>
      <c r="N47" s="92">
        <f t="shared" si="5"/>
        <v>150</v>
      </c>
      <c r="O47" s="91">
        <f t="shared" si="6"/>
        <v>300</v>
      </c>
      <c r="P47" s="327">
        <f t="shared" si="11"/>
        <v>124.863</v>
      </c>
      <c r="Q47" s="99"/>
      <c r="R47" s="104"/>
      <c r="S47" s="103"/>
      <c r="U47" s="491" t="s">
        <v>594</v>
      </c>
      <c r="V47" s="492"/>
      <c r="W47" s="492"/>
      <c r="X47" s="492"/>
      <c r="Y47" s="492"/>
      <c r="Z47" s="493"/>
      <c r="AA47" s="161"/>
    </row>
    <row r="48" spans="1:41" ht="14.25" customHeight="1" thickBot="1" x14ac:dyDescent="0.25">
      <c r="A48" s="464"/>
      <c r="B48" s="97" t="s">
        <v>339</v>
      </c>
      <c r="C48" s="96" t="s">
        <v>338</v>
      </c>
      <c r="D48" s="95">
        <v>768.38499999999999</v>
      </c>
      <c r="E48" s="73">
        <f t="shared" si="1"/>
        <v>150</v>
      </c>
      <c r="F48" s="306">
        <v>46.164000000000001</v>
      </c>
      <c r="G48" s="94">
        <v>2</v>
      </c>
      <c r="H48" s="306">
        <f t="shared" si="2"/>
        <v>92.328000000000003</v>
      </c>
      <c r="I48" s="94">
        <f t="shared" si="0"/>
        <v>1</v>
      </c>
      <c r="J48" s="94">
        <f t="shared" si="3"/>
        <v>150</v>
      </c>
      <c r="K48" s="94">
        <f t="shared" si="10"/>
        <v>57.671999999999997</v>
      </c>
      <c r="L48" s="91" t="s">
        <v>345</v>
      </c>
      <c r="M48" s="93">
        <v>934.80499999999995</v>
      </c>
      <c r="N48" s="121">
        <f t="shared" si="5"/>
        <v>150</v>
      </c>
      <c r="O48" s="70">
        <f t="shared" si="6"/>
        <v>150</v>
      </c>
      <c r="P48" s="326">
        <f t="shared" si="11"/>
        <v>57.671999999999997</v>
      </c>
      <c r="Q48" s="68"/>
      <c r="R48" s="12"/>
      <c r="S48" s="88"/>
      <c r="U48" s="346" t="s">
        <v>528</v>
      </c>
      <c r="V48" s="348" t="s">
        <v>529</v>
      </c>
      <c r="W48" s="348" t="s">
        <v>530</v>
      </c>
      <c r="X48" s="348" t="s">
        <v>531</v>
      </c>
      <c r="Y48" s="348" t="s">
        <v>532</v>
      </c>
      <c r="Z48" s="349" t="s">
        <v>582</v>
      </c>
      <c r="AA48" s="328" t="s">
        <v>417</v>
      </c>
      <c r="AF48" s="429"/>
      <c r="AG48" s="429"/>
      <c r="AK48" s="431"/>
      <c r="AL48" s="431"/>
      <c r="AM48" s="429"/>
      <c r="AN48" s="431"/>
      <c r="AO48" s="431"/>
    </row>
    <row r="49" spans="1:41" x14ac:dyDescent="0.2">
      <c r="A49" s="462" t="s">
        <v>344</v>
      </c>
      <c r="B49" s="87" t="s">
        <v>343</v>
      </c>
      <c r="C49" s="86" t="s">
        <v>342</v>
      </c>
      <c r="D49" s="85">
        <v>592.98500000000001</v>
      </c>
      <c r="E49" s="94">
        <f t="shared" si="1"/>
        <v>150</v>
      </c>
      <c r="F49" s="307">
        <v>175.91919999999999</v>
      </c>
      <c r="G49" s="84">
        <v>2</v>
      </c>
      <c r="H49" s="307">
        <f t="shared" si="2"/>
        <v>351.83839999999998</v>
      </c>
      <c r="I49" s="84">
        <f t="shared" si="0"/>
        <v>3</v>
      </c>
      <c r="J49" s="84">
        <f t="shared" si="3"/>
        <v>450</v>
      </c>
      <c r="K49" s="84">
        <f t="shared" si="10"/>
        <v>98.161600000000021</v>
      </c>
      <c r="L49" s="101" t="s">
        <v>341</v>
      </c>
      <c r="M49" s="83">
        <v>992.44500000000005</v>
      </c>
      <c r="N49" s="92">
        <f t="shared" si="5"/>
        <v>150</v>
      </c>
      <c r="O49" s="91">
        <f t="shared" si="6"/>
        <v>450</v>
      </c>
      <c r="P49" s="327">
        <f t="shared" si="11"/>
        <v>98.161600000000021</v>
      </c>
      <c r="Q49" s="79"/>
      <c r="R49" s="78"/>
      <c r="S49" s="77"/>
      <c r="U49" s="60" t="s">
        <v>84</v>
      </c>
      <c r="V49" s="350">
        <v>0</v>
      </c>
      <c r="W49" s="350">
        <v>0</v>
      </c>
      <c r="X49" s="351">
        <v>0</v>
      </c>
      <c r="Y49" s="351">
        <v>0</v>
      </c>
      <c r="Z49" s="352">
        <v>0</v>
      </c>
      <c r="AA49" s="353">
        <f>SUM(V49:Z49)</f>
        <v>0</v>
      </c>
      <c r="AF49" s="461"/>
      <c r="AG49" s="461"/>
      <c r="AK49" s="193"/>
      <c r="AL49" s="193"/>
      <c r="AM49" s="429"/>
      <c r="AN49" s="193"/>
      <c r="AO49" s="193"/>
    </row>
    <row r="50" spans="1:41" ht="14.25" customHeight="1" thickBot="1" x14ac:dyDescent="0.25">
      <c r="A50" s="464"/>
      <c r="B50" s="97" t="s">
        <v>339</v>
      </c>
      <c r="C50" s="96" t="s">
        <v>338</v>
      </c>
      <c r="D50" s="95">
        <v>768.38499999999999</v>
      </c>
      <c r="E50" s="94">
        <f t="shared" si="1"/>
        <v>150</v>
      </c>
      <c r="F50" s="306">
        <v>46.164000000000001</v>
      </c>
      <c r="G50" s="73">
        <v>2</v>
      </c>
      <c r="H50" s="309">
        <f t="shared" si="2"/>
        <v>92.328000000000003</v>
      </c>
      <c r="I50" s="73">
        <f t="shared" si="0"/>
        <v>1</v>
      </c>
      <c r="J50" s="73">
        <f t="shared" si="3"/>
        <v>150</v>
      </c>
      <c r="K50" s="73">
        <f t="shared" si="10"/>
        <v>57.671999999999997</v>
      </c>
      <c r="L50" s="91" t="s">
        <v>337</v>
      </c>
      <c r="M50" s="93">
        <v>817.04499999999996</v>
      </c>
      <c r="N50" s="92">
        <f t="shared" si="5"/>
        <v>150</v>
      </c>
      <c r="O50" s="91">
        <f t="shared" si="6"/>
        <v>150</v>
      </c>
      <c r="P50" s="327">
        <f t="shared" si="11"/>
        <v>57.671999999999997</v>
      </c>
      <c r="Q50" s="99"/>
      <c r="R50" s="104"/>
      <c r="S50" s="103"/>
      <c r="U50" s="60" t="s">
        <v>85</v>
      </c>
      <c r="V50" s="350">
        <v>2</v>
      </c>
      <c r="W50" s="350">
        <v>0</v>
      </c>
      <c r="X50" s="350">
        <v>0</v>
      </c>
      <c r="Y50" s="350">
        <v>0</v>
      </c>
      <c r="Z50" s="352">
        <v>0</v>
      </c>
      <c r="AA50" s="60">
        <f t="shared" ref="AA50:AA60" si="12">SUM(V50:Z50)</f>
        <v>2</v>
      </c>
      <c r="AF50" s="423"/>
      <c r="AG50" s="423"/>
      <c r="AK50" s="431"/>
      <c r="AL50" s="431"/>
      <c r="AM50" s="431"/>
      <c r="AN50" s="431"/>
      <c r="AO50" s="431"/>
    </row>
    <row r="51" spans="1:41" x14ac:dyDescent="0.2">
      <c r="A51" s="462" t="s">
        <v>340</v>
      </c>
      <c r="B51" s="87" t="s">
        <v>339</v>
      </c>
      <c r="C51" s="86" t="s">
        <v>338</v>
      </c>
      <c r="D51" s="85">
        <v>768.38499999999999</v>
      </c>
      <c r="E51" s="84">
        <f t="shared" si="1"/>
        <v>150</v>
      </c>
      <c r="F51" s="307">
        <v>46.164000000000001</v>
      </c>
      <c r="G51" s="94">
        <v>2</v>
      </c>
      <c r="H51" s="306">
        <f t="shared" si="2"/>
        <v>92.328000000000003</v>
      </c>
      <c r="I51" s="94">
        <f t="shared" si="0"/>
        <v>1</v>
      </c>
      <c r="J51" s="94">
        <f t="shared" si="3"/>
        <v>150</v>
      </c>
      <c r="K51" s="94">
        <f t="shared" si="10"/>
        <v>57.671999999999997</v>
      </c>
      <c r="L51" s="101" t="s">
        <v>337</v>
      </c>
      <c r="M51" s="83">
        <v>817.04499999999996</v>
      </c>
      <c r="N51" s="82">
        <f t="shared" si="5"/>
        <v>150</v>
      </c>
      <c r="O51" s="101">
        <f t="shared" si="6"/>
        <v>150</v>
      </c>
      <c r="P51" s="197">
        <f t="shared" si="11"/>
        <v>57.671999999999997</v>
      </c>
      <c r="Q51" s="99"/>
      <c r="R51" s="60"/>
      <c r="S51" s="98"/>
      <c r="U51" s="60" t="s">
        <v>86</v>
      </c>
      <c r="V51" s="350">
        <v>1</v>
      </c>
      <c r="W51" s="350">
        <v>0</v>
      </c>
      <c r="X51" s="350">
        <v>0</v>
      </c>
      <c r="Y51" s="350">
        <v>0</v>
      </c>
      <c r="Z51" s="352">
        <v>0</v>
      </c>
      <c r="AA51" s="60">
        <f t="shared" si="12"/>
        <v>1</v>
      </c>
      <c r="AC51" s="457" t="s">
        <v>534</v>
      </c>
      <c r="AD51" s="457" t="s">
        <v>535</v>
      </c>
      <c r="AE51" s="355" t="s">
        <v>536</v>
      </c>
      <c r="AF51" s="429"/>
      <c r="AG51" s="429"/>
      <c r="AK51" s="345"/>
      <c r="AL51" s="345"/>
      <c r="AM51" s="431"/>
      <c r="AN51" s="345"/>
      <c r="AO51" s="345"/>
    </row>
    <row r="52" spans="1:41" ht="14.25" customHeight="1" thickBot="1" x14ac:dyDescent="0.25">
      <c r="A52" s="464"/>
      <c r="B52" s="97" t="s">
        <v>30</v>
      </c>
      <c r="C52" s="96" t="s">
        <v>326</v>
      </c>
      <c r="D52" s="95">
        <v>317.27</v>
      </c>
      <c r="E52" s="73">
        <f t="shared" si="1"/>
        <v>200</v>
      </c>
      <c r="F52" s="306">
        <v>136.87530000000001</v>
      </c>
      <c r="G52" s="94">
        <v>2</v>
      </c>
      <c r="H52" s="306">
        <f t="shared" si="2"/>
        <v>273.75060000000002</v>
      </c>
      <c r="I52" s="94">
        <f t="shared" si="0"/>
        <v>2</v>
      </c>
      <c r="J52" s="94">
        <f t="shared" si="3"/>
        <v>400</v>
      </c>
      <c r="K52" s="94">
        <f t="shared" si="10"/>
        <v>126.24939999999998</v>
      </c>
      <c r="L52" s="91" t="s">
        <v>325</v>
      </c>
      <c r="M52" s="93">
        <v>518.48</v>
      </c>
      <c r="N52" s="121">
        <f t="shared" si="5"/>
        <v>200</v>
      </c>
      <c r="O52" s="70">
        <f t="shared" si="6"/>
        <v>400</v>
      </c>
      <c r="P52" s="326">
        <f t="shared" si="11"/>
        <v>126.24939999999998</v>
      </c>
      <c r="Q52" s="99"/>
      <c r="R52" s="60"/>
      <c r="S52" s="88"/>
      <c r="U52" s="60" t="s">
        <v>87</v>
      </c>
      <c r="V52" s="350">
        <v>1</v>
      </c>
      <c r="W52" s="350">
        <v>2</v>
      </c>
      <c r="X52" s="350">
        <v>0</v>
      </c>
      <c r="Y52" s="350">
        <v>0</v>
      </c>
      <c r="Z52" s="352">
        <v>0</v>
      </c>
      <c r="AA52" s="60">
        <f t="shared" si="12"/>
        <v>3</v>
      </c>
      <c r="AC52" s="61" t="s">
        <v>529</v>
      </c>
      <c r="AD52" s="61">
        <v>100</v>
      </c>
      <c r="AE52" s="454">
        <v>15</v>
      </c>
      <c r="AF52" s="429"/>
      <c r="AG52" s="429"/>
      <c r="AK52" s="431"/>
      <c r="AL52" s="431"/>
      <c r="AM52" s="431"/>
      <c r="AN52" s="431"/>
      <c r="AO52" s="431"/>
    </row>
    <row r="53" spans="1:41" x14ac:dyDescent="0.2">
      <c r="A53" s="462" t="s">
        <v>336</v>
      </c>
      <c r="B53" s="87" t="s">
        <v>28</v>
      </c>
      <c r="C53" s="86" t="s">
        <v>335</v>
      </c>
      <c r="D53" s="85">
        <v>675.17499999999995</v>
      </c>
      <c r="E53" s="94">
        <f t="shared" si="1"/>
        <v>150</v>
      </c>
      <c r="F53" s="307">
        <v>87.5685</v>
      </c>
      <c r="G53" s="84">
        <v>2</v>
      </c>
      <c r="H53" s="307">
        <f t="shared" si="2"/>
        <v>175.137</v>
      </c>
      <c r="I53" s="84">
        <f t="shared" si="0"/>
        <v>2</v>
      </c>
      <c r="J53" s="84">
        <f t="shared" si="3"/>
        <v>300</v>
      </c>
      <c r="K53" s="84">
        <f t="shared" si="10"/>
        <v>124.863</v>
      </c>
      <c r="L53" s="101" t="s">
        <v>334</v>
      </c>
      <c r="M53" s="83">
        <v>792.93499999999995</v>
      </c>
      <c r="N53" s="92">
        <f t="shared" si="5"/>
        <v>150</v>
      </c>
      <c r="O53" s="91">
        <f t="shared" si="6"/>
        <v>300</v>
      </c>
      <c r="P53" s="327">
        <f t="shared" si="11"/>
        <v>124.863</v>
      </c>
      <c r="Q53" s="99"/>
      <c r="R53" s="12"/>
      <c r="S53" s="98"/>
      <c r="U53" s="60" t="s">
        <v>88</v>
      </c>
      <c r="V53" s="350">
        <v>0</v>
      </c>
      <c r="W53" s="350">
        <v>1</v>
      </c>
      <c r="X53" s="350">
        <v>0</v>
      </c>
      <c r="Y53" s="350">
        <v>0</v>
      </c>
      <c r="Z53" s="352">
        <v>0</v>
      </c>
      <c r="AA53" s="60">
        <f t="shared" si="12"/>
        <v>1</v>
      </c>
      <c r="AB53" s="429"/>
      <c r="AC53" s="356" t="s">
        <v>530</v>
      </c>
      <c r="AD53" s="356">
        <v>150</v>
      </c>
      <c r="AE53" s="455">
        <v>16.3689</v>
      </c>
      <c r="AF53" s="429"/>
      <c r="AG53" s="429"/>
      <c r="AI53" s="429"/>
      <c r="AK53" s="431"/>
      <c r="AL53" s="431"/>
      <c r="AM53" s="431"/>
      <c r="AN53" s="431"/>
      <c r="AO53" s="431"/>
    </row>
    <row r="54" spans="1:41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94">
        <f t="shared" si="1"/>
        <v>200</v>
      </c>
      <c r="F54" s="306">
        <v>33.29833</v>
      </c>
      <c r="G54" s="73">
        <v>2</v>
      </c>
      <c r="H54" s="309">
        <f t="shared" si="2"/>
        <v>66.59666</v>
      </c>
      <c r="I54" s="73">
        <f t="shared" si="0"/>
        <v>1</v>
      </c>
      <c r="J54" s="73">
        <f t="shared" si="3"/>
        <v>200</v>
      </c>
      <c r="K54" s="73">
        <f t="shared" si="10"/>
        <v>133.40334000000001</v>
      </c>
      <c r="L54" s="91" t="s">
        <v>331</v>
      </c>
      <c r="M54" s="93">
        <v>524.75</v>
      </c>
      <c r="N54" s="92">
        <f t="shared" si="5"/>
        <v>200</v>
      </c>
      <c r="O54" s="91">
        <f t="shared" si="6"/>
        <v>200</v>
      </c>
      <c r="P54" s="327">
        <f t="shared" si="11"/>
        <v>133.40334000000001</v>
      </c>
      <c r="Q54" s="68"/>
      <c r="R54" s="12"/>
      <c r="S54" s="88"/>
      <c r="U54" s="60" t="s">
        <v>89</v>
      </c>
      <c r="V54" s="350">
        <v>0</v>
      </c>
      <c r="W54" s="350">
        <v>0</v>
      </c>
      <c r="X54" s="350"/>
      <c r="Y54" s="350">
        <v>0</v>
      </c>
      <c r="Z54" s="352">
        <v>0</v>
      </c>
      <c r="AA54" s="60">
        <f t="shared" si="12"/>
        <v>0</v>
      </c>
      <c r="AB54" s="423"/>
      <c r="AC54" s="356" t="s">
        <v>531</v>
      </c>
      <c r="AD54" s="356">
        <v>200</v>
      </c>
      <c r="AE54" s="455">
        <v>16.746700000000001</v>
      </c>
      <c r="AF54" s="429"/>
      <c r="AG54" s="429"/>
      <c r="AI54" s="429"/>
      <c r="AK54" s="431"/>
      <c r="AL54" s="431"/>
      <c r="AM54" s="431"/>
      <c r="AN54" s="431"/>
      <c r="AO54" s="431"/>
    </row>
    <row r="55" spans="1:41" x14ac:dyDescent="0.2">
      <c r="A55" s="462" t="s">
        <v>330</v>
      </c>
      <c r="B55" s="87" t="s">
        <v>329</v>
      </c>
      <c r="C55" s="86" t="s">
        <v>61</v>
      </c>
      <c r="D55" s="85">
        <v>381.34</v>
      </c>
      <c r="E55" s="84">
        <f t="shared" si="1"/>
        <v>200</v>
      </c>
      <c r="F55" s="307">
        <v>233.80699999999999</v>
      </c>
      <c r="G55" s="84">
        <v>2</v>
      </c>
      <c r="H55" s="307">
        <f t="shared" si="2"/>
        <v>467.61399999999998</v>
      </c>
      <c r="I55" s="84">
        <f t="shared" si="0"/>
        <v>3</v>
      </c>
      <c r="J55" s="84">
        <f t="shared" si="3"/>
        <v>600</v>
      </c>
      <c r="K55" s="84">
        <f t="shared" si="10"/>
        <v>132.38600000000002</v>
      </c>
      <c r="L55" s="101" t="s">
        <v>328</v>
      </c>
      <c r="M55" s="83">
        <v>673.16499999999996</v>
      </c>
      <c r="N55" s="82">
        <f t="shared" si="5"/>
        <v>150</v>
      </c>
      <c r="O55" s="101">
        <f t="shared" si="6"/>
        <v>450</v>
      </c>
      <c r="P55" s="197">
        <f t="shared" si="11"/>
        <v>-17.613999999999976</v>
      </c>
      <c r="Q55" s="124">
        <v>0.75</v>
      </c>
      <c r="R55" s="376" t="s">
        <v>351</v>
      </c>
      <c r="S55" s="427"/>
      <c r="U55" s="60" t="s">
        <v>90</v>
      </c>
      <c r="V55" s="350">
        <v>1</v>
      </c>
      <c r="W55" s="350">
        <v>0</v>
      </c>
      <c r="X55" s="350">
        <v>0</v>
      </c>
      <c r="Y55" s="350">
        <v>0</v>
      </c>
      <c r="Z55" s="352">
        <v>0</v>
      </c>
      <c r="AA55" s="60">
        <f t="shared" si="12"/>
        <v>1</v>
      </c>
      <c r="AB55" s="423"/>
      <c r="AC55" s="356" t="s">
        <v>532</v>
      </c>
      <c r="AD55" s="356">
        <v>250</v>
      </c>
      <c r="AE55" s="455">
        <v>16.886600000000001</v>
      </c>
      <c r="AF55" s="429"/>
      <c r="AG55" s="429"/>
      <c r="AI55" s="429"/>
      <c r="AK55" s="431"/>
      <c r="AL55" s="431"/>
      <c r="AM55" s="431"/>
      <c r="AN55" s="431"/>
      <c r="AO55" s="431"/>
    </row>
    <row r="56" spans="1:41" ht="14.25" customHeight="1" thickBot="1" x14ac:dyDescent="0.25">
      <c r="A56" s="463"/>
      <c r="B56" s="76" t="s">
        <v>30</v>
      </c>
      <c r="C56" s="75" t="s">
        <v>326</v>
      </c>
      <c r="D56" s="74">
        <v>317.27</v>
      </c>
      <c r="E56" s="73">
        <f t="shared" si="1"/>
        <v>200</v>
      </c>
      <c r="F56" s="309">
        <v>136.87530000000001</v>
      </c>
      <c r="G56" s="73">
        <v>2</v>
      </c>
      <c r="H56" s="309">
        <f t="shared" si="2"/>
        <v>273.75060000000002</v>
      </c>
      <c r="I56" s="73">
        <f t="shared" si="0"/>
        <v>2</v>
      </c>
      <c r="J56" s="73">
        <f t="shared" si="3"/>
        <v>400</v>
      </c>
      <c r="K56" s="73">
        <f t="shared" si="10"/>
        <v>126.24939999999998</v>
      </c>
      <c r="L56" s="70" t="s">
        <v>325</v>
      </c>
      <c r="M56" s="72">
        <v>518.48</v>
      </c>
      <c r="N56" s="121">
        <f t="shared" si="5"/>
        <v>200</v>
      </c>
      <c r="O56" s="70">
        <f t="shared" si="6"/>
        <v>400</v>
      </c>
      <c r="P56" s="326">
        <f t="shared" si="11"/>
        <v>126.24939999999998</v>
      </c>
      <c r="Q56" s="119"/>
      <c r="R56" s="118"/>
      <c r="S56" s="117"/>
      <c r="U56" s="60" t="s">
        <v>91</v>
      </c>
      <c r="V56" s="350">
        <v>1</v>
      </c>
      <c r="W56" s="350">
        <v>0</v>
      </c>
      <c r="X56" s="352">
        <v>0</v>
      </c>
      <c r="Y56" s="352">
        <v>0</v>
      </c>
      <c r="Z56" s="352">
        <v>0</v>
      </c>
      <c r="AA56" s="60">
        <f t="shared" si="12"/>
        <v>1</v>
      </c>
      <c r="AB56" s="429"/>
      <c r="AC56" s="357" t="s">
        <v>582</v>
      </c>
      <c r="AD56" s="357">
        <v>300</v>
      </c>
      <c r="AE56" s="456">
        <v>17</v>
      </c>
      <c r="AF56" s="429"/>
      <c r="AG56" s="429"/>
      <c r="AI56" s="429"/>
      <c r="AK56" s="431"/>
      <c r="AL56" s="431"/>
      <c r="AM56" s="431"/>
      <c r="AN56" s="431"/>
      <c r="AO56" s="431"/>
    </row>
    <row r="57" spans="1:41" x14ac:dyDescent="0.2">
      <c r="A57" s="431"/>
      <c r="B57" s="64"/>
      <c r="C57" s="431"/>
      <c r="D57" s="431"/>
      <c r="E57" s="431"/>
      <c r="F57" s="64"/>
      <c r="G57" s="64"/>
      <c r="H57" s="64"/>
      <c r="I57" s="64"/>
      <c r="J57" s="64"/>
      <c r="K57" s="431"/>
      <c r="L57" s="431"/>
      <c r="M57" s="431"/>
      <c r="N57" s="431"/>
      <c r="O57" s="431"/>
      <c r="P57" s="431"/>
      <c r="Q57" s="12"/>
      <c r="S57" s="431"/>
      <c r="U57" s="60" t="s">
        <v>92</v>
      </c>
      <c r="V57" s="352">
        <v>0</v>
      </c>
      <c r="W57" s="352">
        <v>0</v>
      </c>
      <c r="X57" s="352">
        <v>0</v>
      </c>
      <c r="Y57" s="352">
        <v>0</v>
      </c>
      <c r="Z57" s="352">
        <v>0</v>
      </c>
      <c r="AA57" s="60">
        <f t="shared" si="12"/>
        <v>0</v>
      </c>
      <c r="AB57" s="429"/>
      <c r="AC57" s="429"/>
      <c r="AD57" s="429"/>
      <c r="AF57" s="429"/>
      <c r="AG57" s="429"/>
      <c r="AI57" s="429"/>
      <c r="AK57" s="431"/>
      <c r="AL57" s="431"/>
      <c r="AM57" s="431"/>
      <c r="AN57" s="431"/>
      <c r="AO57" s="431"/>
    </row>
    <row r="58" spans="1:41" x14ac:dyDescent="0.2">
      <c r="A58" s="431"/>
      <c r="B58" s="64"/>
      <c r="C58" s="431"/>
      <c r="D58" s="431"/>
      <c r="E58" s="431"/>
      <c r="F58" s="64"/>
      <c r="G58" s="64"/>
      <c r="H58" s="64"/>
      <c r="I58" s="64"/>
      <c r="J58" s="64"/>
      <c r="K58" s="431"/>
      <c r="L58" s="431"/>
      <c r="M58" s="431"/>
      <c r="N58" s="431"/>
      <c r="O58" s="431"/>
      <c r="P58" s="431"/>
      <c r="Q58" s="12"/>
      <c r="S58" s="431"/>
      <c r="U58" s="60" t="s">
        <v>93</v>
      </c>
      <c r="V58" s="352">
        <v>0</v>
      </c>
      <c r="W58" s="350">
        <v>2</v>
      </c>
      <c r="X58" s="352">
        <v>0</v>
      </c>
      <c r="Y58" s="352">
        <v>0</v>
      </c>
      <c r="Z58" s="352">
        <v>0</v>
      </c>
      <c r="AA58" s="60">
        <f t="shared" si="12"/>
        <v>2</v>
      </c>
      <c r="AB58" s="429"/>
      <c r="AC58" s="429"/>
      <c r="AD58" s="429"/>
      <c r="AF58" s="429"/>
      <c r="AG58" s="429"/>
      <c r="AH58" s="341"/>
      <c r="AI58" s="429"/>
      <c r="AK58" s="431"/>
      <c r="AL58" s="431"/>
      <c r="AM58" s="431"/>
      <c r="AN58" s="431"/>
      <c r="AO58" s="431"/>
    </row>
    <row r="59" spans="1:41" x14ac:dyDescent="0.2">
      <c r="A59" s="431"/>
      <c r="B59" s="64"/>
      <c r="C59" s="431"/>
      <c r="D59" s="431"/>
      <c r="E59" s="431"/>
      <c r="F59" s="64"/>
      <c r="G59" s="64"/>
      <c r="H59" s="64"/>
      <c r="I59" s="64"/>
      <c r="J59" s="64"/>
      <c r="K59" s="431"/>
      <c r="L59" s="431"/>
      <c r="M59" s="431"/>
      <c r="N59" s="431"/>
      <c r="O59" s="431"/>
      <c r="P59" s="431"/>
      <c r="Q59" s="12"/>
      <c r="S59" s="431"/>
      <c r="U59" s="60" t="s">
        <v>94</v>
      </c>
      <c r="V59" s="352">
        <v>1</v>
      </c>
      <c r="W59" s="350">
        <v>2</v>
      </c>
      <c r="X59" s="352">
        <v>0</v>
      </c>
      <c r="Y59" s="352">
        <v>0</v>
      </c>
      <c r="Z59" s="352">
        <v>0</v>
      </c>
      <c r="AA59" s="60">
        <f t="shared" si="12"/>
        <v>3</v>
      </c>
      <c r="AB59" s="18"/>
      <c r="AC59" s="18"/>
      <c r="AD59" s="429"/>
      <c r="AF59" s="429"/>
      <c r="AG59" s="429"/>
      <c r="AI59" s="429"/>
      <c r="AK59" s="431"/>
      <c r="AL59" s="431"/>
      <c r="AM59" s="431"/>
      <c r="AN59" s="431"/>
      <c r="AO59" s="431"/>
    </row>
    <row r="60" spans="1:41" x14ac:dyDescent="0.2">
      <c r="A60" s="431"/>
      <c r="B60" s="64"/>
      <c r="C60" s="431"/>
      <c r="D60" s="431"/>
      <c r="E60" s="431"/>
      <c r="F60" s="64"/>
      <c r="G60" s="64"/>
      <c r="H60" s="64"/>
      <c r="I60" s="64"/>
      <c r="J60" s="64"/>
      <c r="K60" s="431"/>
      <c r="L60" s="431"/>
      <c r="M60" s="431"/>
      <c r="N60" s="431"/>
      <c r="O60" s="431"/>
      <c r="P60" s="431"/>
      <c r="Q60" s="12"/>
      <c r="S60" s="431"/>
      <c r="U60" s="358" t="s">
        <v>508</v>
      </c>
      <c r="V60" s="359">
        <v>0</v>
      </c>
      <c r="W60" s="359">
        <v>0</v>
      </c>
      <c r="X60" s="359">
        <v>0</v>
      </c>
      <c r="Y60" s="359">
        <v>0</v>
      </c>
      <c r="Z60" s="359">
        <v>0</v>
      </c>
      <c r="AA60" s="358">
        <f t="shared" si="12"/>
        <v>0</v>
      </c>
      <c r="AB60" s="429"/>
      <c r="AC60" s="491" t="s">
        <v>596</v>
      </c>
      <c r="AD60" s="492"/>
      <c r="AE60" s="492"/>
      <c r="AF60" s="492"/>
      <c r="AG60" s="492"/>
      <c r="AH60" s="493"/>
      <c r="AI60" s="161"/>
      <c r="AK60" s="431"/>
      <c r="AL60" s="431"/>
      <c r="AM60" s="431"/>
      <c r="AN60" s="431"/>
      <c r="AO60" s="431"/>
    </row>
    <row r="61" spans="1:41" x14ac:dyDescent="0.2">
      <c r="A61" s="431"/>
      <c r="B61" s="64"/>
      <c r="C61" s="431"/>
      <c r="D61" s="431"/>
      <c r="E61" s="431"/>
      <c r="F61" s="64"/>
      <c r="G61" s="64"/>
      <c r="H61" s="64"/>
      <c r="I61" s="64"/>
      <c r="J61" s="64"/>
      <c r="K61" s="431"/>
      <c r="L61" s="431"/>
      <c r="M61" s="431"/>
      <c r="N61" s="431"/>
      <c r="O61" s="431"/>
      <c r="P61" s="431"/>
      <c r="Q61" s="12"/>
      <c r="S61" s="431"/>
      <c r="U61" s="328" t="s">
        <v>537</v>
      </c>
      <c r="V61" s="360">
        <f t="shared" ref="V61:AA61" si="13">SUM(V49:V60)</f>
        <v>7</v>
      </c>
      <c r="W61" s="360">
        <f t="shared" si="13"/>
        <v>7</v>
      </c>
      <c r="X61" s="360">
        <f t="shared" si="13"/>
        <v>0</v>
      </c>
      <c r="Y61" s="360">
        <f t="shared" si="13"/>
        <v>0</v>
      </c>
      <c r="Z61" s="360">
        <f t="shared" si="13"/>
        <v>0</v>
      </c>
      <c r="AA61" s="361">
        <f t="shared" si="13"/>
        <v>14</v>
      </c>
      <c r="AB61" s="429"/>
      <c r="AC61" s="346" t="s">
        <v>528</v>
      </c>
      <c r="AD61" s="348" t="s">
        <v>529</v>
      </c>
      <c r="AE61" s="348" t="s">
        <v>530</v>
      </c>
      <c r="AF61" s="348" t="s">
        <v>531</v>
      </c>
      <c r="AG61" s="348" t="s">
        <v>532</v>
      </c>
      <c r="AH61" s="349" t="s">
        <v>582</v>
      </c>
      <c r="AI61" s="328" t="s">
        <v>417</v>
      </c>
      <c r="AK61" s="431"/>
      <c r="AL61" s="431"/>
      <c r="AM61" s="431"/>
      <c r="AN61" s="431"/>
      <c r="AO61" s="431"/>
    </row>
    <row r="62" spans="1:41" x14ac:dyDescent="0.2">
      <c r="A62" s="431"/>
      <c r="B62" s="65"/>
      <c r="C62" s="431"/>
      <c r="D62" s="431"/>
      <c r="E62" s="431"/>
      <c r="F62" s="64"/>
      <c r="G62" s="64"/>
      <c r="H62" s="64"/>
      <c r="I62" s="64"/>
      <c r="J62" s="64"/>
      <c r="K62" s="431"/>
      <c r="L62" s="431"/>
      <c r="M62" s="431"/>
      <c r="N62" s="431"/>
      <c r="O62" s="431"/>
      <c r="P62" s="431"/>
      <c r="Q62" s="12"/>
      <c r="S62" s="431"/>
      <c r="U62" s="328" t="s">
        <v>536</v>
      </c>
      <c r="V62" s="362">
        <f>PRODUCT(V61*AE52)</f>
        <v>105</v>
      </c>
      <c r="W62" s="452">
        <f>PRODUCT(W61*AE53)</f>
        <v>114.5823</v>
      </c>
      <c r="X62" s="452">
        <f>PRODUCT(X61*AE54)</f>
        <v>0</v>
      </c>
      <c r="Y62" s="452">
        <f>PRODUCT(Y61*AE55)</f>
        <v>0</v>
      </c>
      <c r="Z62" s="452">
        <f>PRODUCT(Z61*AE56)</f>
        <v>0</v>
      </c>
      <c r="AA62" s="453">
        <f>SUM(V62:Z62)</f>
        <v>219.5823</v>
      </c>
      <c r="AB62" s="429"/>
      <c r="AC62" s="60" t="s">
        <v>84</v>
      </c>
      <c r="AD62" s="352">
        <f>V49+V69</f>
        <v>0</v>
      </c>
      <c r="AE62" s="352">
        <f t="shared" ref="AE62:AH73" si="14">W49+W69</f>
        <v>10</v>
      </c>
      <c r="AF62" s="352">
        <f t="shared" si="14"/>
        <v>3</v>
      </c>
      <c r="AG62" s="352">
        <f t="shared" si="14"/>
        <v>2</v>
      </c>
      <c r="AH62" s="352">
        <f t="shared" si="14"/>
        <v>0</v>
      </c>
      <c r="AI62" s="353">
        <f>SUM(AD62:AH62)</f>
        <v>15</v>
      </c>
      <c r="AK62" s="431"/>
      <c r="AL62" s="431"/>
      <c r="AM62" s="431"/>
      <c r="AN62" s="431"/>
      <c r="AO62" s="431"/>
    </row>
    <row r="63" spans="1:41" x14ac:dyDescent="0.2">
      <c r="A63" s="431"/>
      <c r="B63" s="65"/>
      <c r="C63" s="431"/>
      <c r="D63" s="431"/>
      <c r="E63" s="431"/>
      <c r="F63" s="64"/>
      <c r="G63" s="64"/>
      <c r="H63" s="64"/>
      <c r="I63" s="64"/>
      <c r="J63" s="64"/>
      <c r="K63" s="431"/>
      <c r="L63" s="431"/>
      <c r="M63" s="431"/>
      <c r="N63" s="431"/>
      <c r="O63" s="431"/>
      <c r="P63" s="431"/>
      <c r="Q63" s="12"/>
      <c r="S63" s="431"/>
      <c r="U63" s="328" t="s">
        <v>535</v>
      </c>
      <c r="V63" s="362">
        <f>V61*AD52</f>
        <v>700</v>
      </c>
      <c r="W63" s="362">
        <f>W61*AD53</f>
        <v>1050</v>
      </c>
      <c r="X63" s="362">
        <f>X61*AD54</f>
        <v>0</v>
      </c>
      <c r="Y63" s="362">
        <f>Y61*AD55</f>
        <v>0</v>
      </c>
      <c r="Z63" s="362">
        <f>Z61*AD56</f>
        <v>0</v>
      </c>
      <c r="AA63" s="328">
        <f>SUM(V63:Z63)</f>
        <v>1750</v>
      </c>
      <c r="AB63" s="429"/>
      <c r="AC63" s="60" t="s">
        <v>85</v>
      </c>
      <c r="AD63" s="352">
        <f t="shared" ref="AD63:AD73" si="15">V50+V70</f>
        <v>2</v>
      </c>
      <c r="AE63" s="352">
        <f t="shared" si="14"/>
        <v>14</v>
      </c>
      <c r="AF63" s="352">
        <f t="shared" si="14"/>
        <v>8</v>
      </c>
      <c r="AG63" s="352">
        <f t="shared" si="14"/>
        <v>0</v>
      </c>
      <c r="AH63" s="352">
        <f t="shared" si="14"/>
        <v>5</v>
      </c>
      <c r="AI63" s="60">
        <f t="shared" ref="AI63:AI73" si="16">SUM(AD63:AH63)</f>
        <v>29</v>
      </c>
      <c r="AK63" s="431"/>
      <c r="AL63" s="431"/>
      <c r="AM63" s="431"/>
      <c r="AN63" s="431"/>
      <c r="AO63" s="431"/>
    </row>
    <row r="64" spans="1:41" x14ac:dyDescent="0.2">
      <c r="A64" s="431"/>
      <c r="B64" s="65"/>
      <c r="C64" s="431"/>
      <c r="D64" s="431"/>
      <c r="E64" s="431"/>
      <c r="F64" s="64"/>
      <c r="G64" s="64"/>
      <c r="H64" s="64"/>
      <c r="I64" s="64"/>
      <c r="J64" s="64"/>
      <c r="K64" s="431"/>
      <c r="L64" s="431"/>
      <c r="M64" s="431"/>
      <c r="N64" s="431"/>
      <c r="O64" s="431"/>
      <c r="P64" s="431"/>
      <c r="Q64" s="12"/>
      <c r="S64" s="431"/>
      <c r="U64" s="423"/>
      <c r="V64" s="423"/>
      <c r="W64" s="423"/>
      <c r="X64" s="423"/>
      <c r="Y64" s="423"/>
      <c r="Z64" s="429"/>
      <c r="AA64" s="429"/>
      <c r="AB64" s="429"/>
      <c r="AC64" s="60" t="s">
        <v>86</v>
      </c>
      <c r="AD64" s="352">
        <f t="shared" si="15"/>
        <v>1</v>
      </c>
      <c r="AE64" s="352">
        <f t="shared" si="14"/>
        <v>0</v>
      </c>
      <c r="AF64" s="352">
        <f t="shared" si="14"/>
        <v>5</v>
      </c>
      <c r="AG64" s="352">
        <f t="shared" si="14"/>
        <v>0</v>
      </c>
      <c r="AH64" s="352">
        <f t="shared" si="14"/>
        <v>3</v>
      </c>
      <c r="AI64" s="60">
        <f t="shared" si="16"/>
        <v>9</v>
      </c>
      <c r="AK64" s="431"/>
      <c r="AL64" s="431"/>
      <c r="AM64" s="431"/>
      <c r="AN64" s="431"/>
      <c r="AO64" s="431"/>
    </row>
    <row r="65" spans="1:42" x14ac:dyDescent="0.2">
      <c r="A65" s="431"/>
      <c r="B65" s="64"/>
      <c r="C65" s="431"/>
      <c r="D65" s="431"/>
      <c r="E65" s="431"/>
      <c r="N65" s="431"/>
      <c r="O65" s="431"/>
      <c r="Q65" s="12"/>
      <c r="S65" s="431"/>
      <c r="U65" s="429"/>
      <c r="V65" s="429"/>
      <c r="W65" s="18"/>
      <c r="X65" s="429"/>
      <c r="Y65" s="429"/>
      <c r="Z65" s="429"/>
      <c r="AA65" s="429"/>
      <c r="AB65" s="429"/>
      <c r="AC65" s="60" t="s">
        <v>87</v>
      </c>
      <c r="AD65" s="352">
        <f t="shared" si="15"/>
        <v>1</v>
      </c>
      <c r="AE65" s="352">
        <f t="shared" si="14"/>
        <v>27</v>
      </c>
      <c r="AF65" s="352">
        <f t="shared" si="14"/>
        <v>34</v>
      </c>
      <c r="AG65" s="352">
        <f t="shared" si="14"/>
        <v>20</v>
      </c>
      <c r="AH65" s="352">
        <f t="shared" si="14"/>
        <v>0</v>
      </c>
      <c r="AI65" s="60">
        <f t="shared" si="16"/>
        <v>82</v>
      </c>
      <c r="AK65" s="431"/>
      <c r="AL65" s="431"/>
      <c r="AM65" s="431"/>
      <c r="AN65" s="431"/>
      <c r="AO65" s="431"/>
      <c r="AP65" s="431"/>
    </row>
    <row r="66" spans="1:42" x14ac:dyDescent="0.2">
      <c r="A66" s="431"/>
      <c r="B66" s="64"/>
      <c r="C66" s="431"/>
      <c r="D66" s="431"/>
      <c r="E66" s="431"/>
      <c r="N66" s="431"/>
      <c r="O66" s="431"/>
      <c r="Q66" s="12"/>
      <c r="S66" s="431"/>
      <c r="U66" s="429"/>
      <c r="V66" s="429"/>
      <c r="W66" s="429"/>
      <c r="X66" s="429"/>
      <c r="Y66" s="429"/>
      <c r="Z66" s="429"/>
      <c r="AA66" s="429"/>
      <c r="AB66" s="429"/>
      <c r="AC66" s="60" t="s">
        <v>88</v>
      </c>
      <c r="AD66" s="352">
        <f t="shared" si="15"/>
        <v>0</v>
      </c>
      <c r="AE66" s="352">
        <f t="shared" si="14"/>
        <v>1</v>
      </c>
      <c r="AF66" s="352">
        <f t="shared" si="14"/>
        <v>16</v>
      </c>
      <c r="AG66" s="352">
        <f t="shared" si="14"/>
        <v>1</v>
      </c>
      <c r="AH66" s="352">
        <f t="shared" si="14"/>
        <v>0</v>
      </c>
      <c r="AI66" s="60">
        <f t="shared" si="16"/>
        <v>18</v>
      </c>
      <c r="AK66" s="193"/>
      <c r="AL66" s="193"/>
      <c r="AM66" s="431"/>
      <c r="AN66" s="193"/>
      <c r="AO66" s="193"/>
      <c r="AP66" s="431"/>
    </row>
    <row r="67" spans="1:42" x14ac:dyDescent="0.2">
      <c r="A67" s="431"/>
      <c r="B67" s="64"/>
      <c r="C67" s="431"/>
      <c r="D67" s="431"/>
      <c r="E67" s="431"/>
      <c r="N67" s="431"/>
      <c r="O67" s="431"/>
      <c r="Q67" s="12"/>
      <c r="S67" s="431"/>
      <c r="U67" s="491" t="s">
        <v>595</v>
      </c>
      <c r="V67" s="492"/>
      <c r="W67" s="492"/>
      <c r="X67" s="492"/>
      <c r="Y67" s="492"/>
      <c r="Z67" s="493"/>
      <c r="AA67" s="161"/>
      <c r="AB67" s="429"/>
      <c r="AC67" s="60" t="s">
        <v>89</v>
      </c>
      <c r="AD67" s="352">
        <f t="shared" si="15"/>
        <v>0</v>
      </c>
      <c r="AE67" s="352">
        <f t="shared" si="14"/>
        <v>16</v>
      </c>
      <c r="AF67" s="352">
        <f t="shared" si="14"/>
        <v>1</v>
      </c>
      <c r="AG67" s="352">
        <f t="shared" si="14"/>
        <v>1</v>
      </c>
      <c r="AH67" s="352">
        <f t="shared" si="14"/>
        <v>0</v>
      </c>
      <c r="AI67" s="60">
        <f t="shared" si="16"/>
        <v>18</v>
      </c>
      <c r="AK67" s="431"/>
      <c r="AL67" s="431"/>
      <c r="AM67" s="431"/>
      <c r="AN67" s="431"/>
      <c r="AO67" s="431"/>
      <c r="AP67" s="431"/>
    </row>
    <row r="68" spans="1:42" x14ac:dyDescent="0.2">
      <c r="A68" s="431"/>
      <c r="B68" s="64"/>
      <c r="C68" s="431"/>
      <c r="D68" s="431"/>
      <c r="E68" s="431"/>
      <c r="F68" s="64"/>
      <c r="G68" s="64"/>
      <c r="H68" s="64"/>
      <c r="I68" s="64"/>
      <c r="J68" s="64"/>
      <c r="K68" s="431"/>
      <c r="L68" s="431"/>
      <c r="M68" s="431"/>
      <c r="N68" s="431"/>
      <c r="O68" s="431"/>
      <c r="P68" s="431"/>
      <c r="Q68" s="12"/>
      <c r="S68" s="431"/>
      <c r="U68" s="346" t="s">
        <v>528</v>
      </c>
      <c r="V68" s="348" t="s">
        <v>529</v>
      </c>
      <c r="W68" s="348" t="s">
        <v>530</v>
      </c>
      <c r="X68" s="348" t="s">
        <v>531</v>
      </c>
      <c r="Y68" s="348" t="s">
        <v>532</v>
      </c>
      <c r="Z68" s="349" t="s">
        <v>582</v>
      </c>
      <c r="AA68" s="328" t="s">
        <v>417</v>
      </c>
      <c r="AB68" s="429"/>
      <c r="AC68" s="60" t="s">
        <v>90</v>
      </c>
      <c r="AD68" s="352">
        <f t="shared" si="15"/>
        <v>1</v>
      </c>
      <c r="AE68" s="352">
        <f t="shared" si="14"/>
        <v>0</v>
      </c>
      <c r="AF68" s="352">
        <f t="shared" si="14"/>
        <v>1</v>
      </c>
      <c r="AG68" s="352">
        <f t="shared" si="14"/>
        <v>3</v>
      </c>
      <c r="AH68" s="352">
        <f t="shared" si="14"/>
        <v>2</v>
      </c>
      <c r="AI68" s="60">
        <f t="shared" si="16"/>
        <v>7</v>
      </c>
      <c r="AK68" s="345"/>
      <c r="AL68" s="345"/>
      <c r="AM68" s="431"/>
      <c r="AN68" s="345"/>
      <c r="AO68" s="345"/>
      <c r="AP68" s="431"/>
    </row>
    <row r="69" spans="1:42" x14ac:dyDescent="0.2">
      <c r="B69" s="64"/>
      <c r="C69" s="431"/>
      <c r="D69" s="431"/>
      <c r="E69" s="431"/>
      <c r="F69" s="64"/>
      <c r="G69" s="64"/>
      <c r="H69" s="64"/>
      <c r="I69" s="64"/>
      <c r="J69" s="64"/>
      <c r="K69" s="431"/>
      <c r="L69" s="431"/>
      <c r="M69" s="431"/>
      <c r="N69" s="431"/>
      <c r="O69" s="431"/>
      <c r="P69" s="431"/>
      <c r="Q69" s="12"/>
      <c r="S69" s="431"/>
      <c r="U69" s="60" t="s">
        <v>84</v>
      </c>
      <c r="V69" s="352">
        <v>0</v>
      </c>
      <c r="W69" s="352">
        <f>10</f>
        <v>10</v>
      </c>
      <c r="X69" s="450">
        <f>2+1</f>
        <v>3</v>
      </c>
      <c r="Y69" s="450">
        <f>2</f>
        <v>2</v>
      </c>
      <c r="Z69" s="352">
        <v>0</v>
      </c>
      <c r="AA69" s="353">
        <f>SUM(V69:Z69)</f>
        <v>15</v>
      </c>
      <c r="AB69" s="429"/>
      <c r="AC69" s="60" t="s">
        <v>91</v>
      </c>
      <c r="AD69" s="352">
        <f t="shared" si="15"/>
        <v>1</v>
      </c>
      <c r="AE69" s="352">
        <f t="shared" si="14"/>
        <v>19</v>
      </c>
      <c r="AF69" s="352">
        <f t="shared" si="14"/>
        <v>3</v>
      </c>
      <c r="AG69" s="352">
        <f t="shared" si="14"/>
        <v>2</v>
      </c>
      <c r="AH69" s="352">
        <f t="shared" si="14"/>
        <v>0</v>
      </c>
      <c r="AI69" s="60">
        <f t="shared" si="16"/>
        <v>25</v>
      </c>
      <c r="AK69" s="431"/>
      <c r="AL69" s="431"/>
      <c r="AM69" s="431"/>
      <c r="AN69" s="431"/>
      <c r="AO69" s="431"/>
      <c r="AP69" s="431"/>
    </row>
    <row r="70" spans="1:42" x14ac:dyDescent="0.2">
      <c r="B70" s="64"/>
      <c r="C70" s="431"/>
      <c r="D70" s="431"/>
      <c r="E70" s="431"/>
      <c r="F70" s="64"/>
      <c r="G70" s="64"/>
      <c r="H70" s="64"/>
      <c r="I70" s="64"/>
      <c r="J70" s="64"/>
      <c r="K70" s="431"/>
      <c r="L70" s="431"/>
      <c r="M70" s="431"/>
      <c r="N70" s="431"/>
      <c r="O70" s="431"/>
      <c r="P70" s="431"/>
      <c r="Q70" s="12"/>
      <c r="S70" s="431"/>
      <c r="U70" s="60" t="s">
        <v>85</v>
      </c>
      <c r="V70" s="352">
        <v>0</v>
      </c>
      <c r="W70" s="352">
        <f>7+3+4</f>
        <v>14</v>
      </c>
      <c r="X70" s="352">
        <f>5+3</f>
        <v>8</v>
      </c>
      <c r="Y70" s="352">
        <v>0</v>
      </c>
      <c r="Z70" s="352">
        <f>3+2</f>
        <v>5</v>
      </c>
      <c r="AA70" s="60">
        <f t="shared" ref="AA70:AA80" si="17">SUM(V70:Z70)</f>
        <v>27</v>
      </c>
      <c r="AB70" s="429"/>
      <c r="AC70" s="60" t="s">
        <v>92</v>
      </c>
      <c r="AD70" s="352">
        <f t="shared" si="15"/>
        <v>0</v>
      </c>
      <c r="AE70" s="352">
        <f t="shared" si="14"/>
        <v>7</v>
      </c>
      <c r="AF70" s="352">
        <f t="shared" si="14"/>
        <v>16</v>
      </c>
      <c r="AG70" s="352">
        <f t="shared" si="14"/>
        <v>0</v>
      </c>
      <c r="AH70" s="352">
        <f t="shared" si="14"/>
        <v>0</v>
      </c>
      <c r="AI70" s="60">
        <f t="shared" si="16"/>
        <v>23</v>
      </c>
      <c r="AJ70" s="429"/>
      <c r="AK70" s="429"/>
      <c r="AL70" s="429"/>
      <c r="AM70" s="431"/>
      <c r="AN70" s="431"/>
      <c r="AO70" s="431"/>
      <c r="AP70" s="431"/>
    </row>
    <row r="71" spans="1:42" x14ac:dyDescent="0.2">
      <c r="B71" s="64"/>
      <c r="C71" s="431"/>
      <c r="D71" s="431"/>
      <c r="E71" s="431"/>
      <c r="F71" s="64"/>
      <c r="G71" s="64"/>
      <c r="H71" s="64"/>
      <c r="I71" s="64"/>
      <c r="J71" s="64"/>
      <c r="K71" s="431"/>
      <c r="L71" s="431"/>
      <c r="M71" s="431"/>
      <c r="N71" s="431"/>
      <c r="O71" s="431"/>
      <c r="P71" s="431"/>
      <c r="Q71" s="12"/>
      <c r="S71" s="431"/>
      <c r="U71" s="60" t="s">
        <v>86</v>
      </c>
      <c r="V71" s="352">
        <v>0</v>
      </c>
      <c r="W71" s="352">
        <v>0</v>
      </c>
      <c r="X71" s="350">
        <f>4+1</f>
        <v>5</v>
      </c>
      <c r="Y71" s="352">
        <v>0</v>
      </c>
      <c r="Z71" s="352">
        <f>3</f>
        <v>3</v>
      </c>
      <c r="AA71" s="60">
        <f t="shared" si="17"/>
        <v>8</v>
      </c>
      <c r="AB71" s="429"/>
      <c r="AC71" s="60" t="s">
        <v>93</v>
      </c>
      <c r="AD71" s="352">
        <f t="shared" si="15"/>
        <v>0</v>
      </c>
      <c r="AE71" s="352">
        <f t="shared" si="14"/>
        <v>2</v>
      </c>
      <c r="AF71" s="352">
        <f t="shared" si="14"/>
        <v>3</v>
      </c>
      <c r="AG71" s="352">
        <f t="shared" si="14"/>
        <v>8</v>
      </c>
      <c r="AH71" s="352">
        <f t="shared" si="14"/>
        <v>0</v>
      </c>
      <c r="AI71" s="60">
        <f t="shared" si="16"/>
        <v>13</v>
      </c>
      <c r="AJ71" s="423"/>
      <c r="AK71" s="429"/>
      <c r="AL71" s="429"/>
      <c r="AM71" s="431"/>
      <c r="AN71" s="431"/>
      <c r="AO71" s="431"/>
      <c r="AP71" s="431"/>
    </row>
    <row r="72" spans="1:42" x14ac:dyDescent="0.2">
      <c r="B72" s="64"/>
      <c r="C72" s="431"/>
      <c r="D72" s="431"/>
      <c r="E72" s="431"/>
      <c r="F72" s="64"/>
      <c r="G72" s="64"/>
      <c r="H72" s="64"/>
      <c r="I72" s="64"/>
      <c r="J72" s="64"/>
      <c r="K72" s="431"/>
      <c r="L72" s="431"/>
      <c r="M72" s="431"/>
      <c r="N72" s="431"/>
      <c r="O72" s="431"/>
      <c r="P72" s="431"/>
      <c r="Q72" s="12"/>
      <c r="S72" s="431"/>
      <c r="U72" s="60" t="s">
        <v>87</v>
      </c>
      <c r="V72" s="352">
        <v>0</v>
      </c>
      <c r="W72" s="451">
        <f>10+7+8</f>
        <v>25</v>
      </c>
      <c r="X72" s="352">
        <f>5+4+8+14+3</f>
        <v>34</v>
      </c>
      <c r="Y72" s="352">
        <f>3+8+9</f>
        <v>20</v>
      </c>
      <c r="Z72" s="352">
        <v>0</v>
      </c>
      <c r="AA72" s="60">
        <f t="shared" si="17"/>
        <v>79</v>
      </c>
      <c r="AB72" s="429"/>
      <c r="AC72" s="60" t="s">
        <v>94</v>
      </c>
      <c r="AD72" s="352">
        <f t="shared" si="15"/>
        <v>1</v>
      </c>
      <c r="AE72" s="352">
        <f t="shared" si="14"/>
        <v>4</v>
      </c>
      <c r="AF72" s="352">
        <f t="shared" si="14"/>
        <v>3</v>
      </c>
      <c r="AG72" s="352">
        <f t="shared" si="14"/>
        <v>9</v>
      </c>
      <c r="AH72" s="352">
        <f t="shared" si="14"/>
        <v>0</v>
      </c>
      <c r="AI72" s="60">
        <f t="shared" si="16"/>
        <v>17</v>
      </c>
      <c r="AJ72" s="429"/>
      <c r="AK72" s="429"/>
      <c r="AL72" s="429"/>
      <c r="AM72" s="431"/>
      <c r="AN72" s="431"/>
      <c r="AO72" s="431"/>
      <c r="AP72" s="431"/>
    </row>
    <row r="73" spans="1:42" x14ac:dyDescent="0.2">
      <c r="B73" s="64"/>
      <c r="C73" s="431"/>
      <c r="D73" s="431"/>
      <c r="E73" s="431"/>
      <c r="F73" s="64"/>
      <c r="G73" s="64"/>
      <c r="H73" s="64"/>
      <c r="I73" s="64"/>
      <c r="J73" s="64"/>
      <c r="K73" s="431"/>
      <c r="L73" s="431"/>
      <c r="M73" s="431"/>
      <c r="N73" s="431"/>
      <c r="O73" s="431"/>
      <c r="P73" s="431"/>
      <c r="Q73" s="12"/>
      <c r="S73" s="431"/>
      <c r="U73" s="60" t="s">
        <v>88</v>
      </c>
      <c r="V73" s="352">
        <v>0</v>
      </c>
      <c r="W73" s="352">
        <v>0</v>
      </c>
      <c r="X73" s="352">
        <f>2+3+1+8+1+1</f>
        <v>16</v>
      </c>
      <c r="Y73" s="352">
        <f>1</f>
        <v>1</v>
      </c>
      <c r="Z73" s="352">
        <v>0</v>
      </c>
      <c r="AA73" s="60">
        <f t="shared" si="17"/>
        <v>17</v>
      </c>
      <c r="AB73" s="429"/>
      <c r="AC73" s="358" t="s">
        <v>508</v>
      </c>
      <c r="AD73" s="352">
        <f t="shared" si="15"/>
        <v>0</v>
      </c>
      <c r="AE73" s="352">
        <f t="shared" si="14"/>
        <v>1</v>
      </c>
      <c r="AF73" s="352">
        <f t="shared" si="14"/>
        <v>3</v>
      </c>
      <c r="AG73" s="352">
        <f t="shared" si="14"/>
        <v>0</v>
      </c>
      <c r="AH73" s="352">
        <f t="shared" si="14"/>
        <v>0</v>
      </c>
      <c r="AI73" s="358">
        <f t="shared" si="16"/>
        <v>4</v>
      </c>
      <c r="AJ73" s="429"/>
      <c r="AK73" s="429"/>
      <c r="AL73" s="429"/>
      <c r="AM73" s="431"/>
      <c r="AN73" s="431"/>
      <c r="AO73" s="431"/>
      <c r="AP73" s="431"/>
    </row>
    <row r="74" spans="1:42" x14ac:dyDescent="0.2">
      <c r="B74" s="64"/>
      <c r="C74" s="431"/>
      <c r="D74" s="431"/>
      <c r="E74" s="431"/>
      <c r="F74" s="64"/>
      <c r="G74" s="64"/>
      <c r="H74" s="64"/>
      <c r="I74" s="64"/>
      <c r="J74" s="64"/>
      <c r="K74" s="431"/>
      <c r="L74" s="431"/>
      <c r="M74" s="431"/>
      <c r="N74" s="431"/>
      <c r="O74" s="431"/>
      <c r="P74" s="431"/>
      <c r="Q74" s="12"/>
      <c r="S74" s="431"/>
      <c r="U74" s="60" t="s">
        <v>89</v>
      </c>
      <c r="V74" s="352">
        <v>0</v>
      </c>
      <c r="W74" s="352">
        <f>7+7+2</f>
        <v>16</v>
      </c>
      <c r="X74" s="352">
        <f>1</f>
        <v>1</v>
      </c>
      <c r="Y74" s="352">
        <f>1</f>
        <v>1</v>
      </c>
      <c r="Z74" s="352">
        <v>0</v>
      </c>
      <c r="AA74" s="60">
        <f t="shared" si="17"/>
        <v>18</v>
      </c>
      <c r="AB74" s="429"/>
      <c r="AC74" s="328" t="s">
        <v>537</v>
      </c>
      <c r="AD74" s="360">
        <f t="shared" ref="AD74:AI74" si="18">SUM(AD62:AD73)</f>
        <v>7</v>
      </c>
      <c r="AE74" s="360">
        <f t="shared" si="18"/>
        <v>101</v>
      </c>
      <c r="AF74" s="360">
        <f t="shared" si="18"/>
        <v>96</v>
      </c>
      <c r="AG74" s="360">
        <f t="shared" si="18"/>
        <v>46</v>
      </c>
      <c r="AH74" s="360">
        <f t="shared" si="18"/>
        <v>10</v>
      </c>
      <c r="AI74" s="361">
        <f t="shared" si="18"/>
        <v>260</v>
      </c>
      <c r="AJ74" s="429"/>
      <c r="AK74" s="429"/>
      <c r="AL74" s="429"/>
      <c r="AM74" s="431"/>
      <c r="AN74" s="431"/>
      <c r="AO74" s="431"/>
      <c r="AP74" s="431"/>
    </row>
    <row r="75" spans="1:42" x14ac:dyDescent="0.2">
      <c r="B75" s="64"/>
      <c r="C75" s="431"/>
      <c r="D75" s="431"/>
      <c r="E75" s="431"/>
      <c r="F75" s="64"/>
      <c r="G75" s="64"/>
      <c r="H75" s="64"/>
      <c r="I75" s="64"/>
      <c r="J75" s="64"/>
      <c r="K75" s="431"/>
      <c r="L75" s="431"/>
      <c r="M75" s="431"/>
      <c r="N75" s="431"/>
      <c r="O75" s="431"/>
      <c r="P75" s="431"/>
      <c r="Q75" s="12"/>
      <c r="S75" s="431"/>
      <c r="U75" s="60" t="s">
        <v>90</v>
      </c>
      <c r="V75" s="352">
        <v>0</v>
      </c>
      <c r="W75" s="350">
        <v>0</v>
      </c>
      <c r="X75" s="350">
        <f>1</f>
        <v>1</v>
      </c>
      <c r="Y75" s="352">
        <f>3</f>
        <v>3</v>
      </c>
      <c r="Z75" s="352">
        <f>2</f>
        <v>2</v>
      </c>
      <c r="AA75" s="60">
        <f t="shared" si="17"/>
        <v>6</v>
      </c>
      <c r="AB75" s="429"/>
      <c r="AC75" s="328" t="s">
        <v>536</v>
      </c>
      <c r="AD75" s="362">
        <f>PRODUCT(AD74*AE52)</f>
        <v>105</v>
      </c>
      <c r="AE75" s="452">
        <f>PRODUCT(AE74*AE53)</f>
        <v>1653.2589</v>
      </c>
      <c r="AF75" s="452">
        <f>PRODUCT(AF74*AE54)</f>
        <v>1607.6831999999999</v>
      </c>
      <c r="AG75" s="452">
        <f>PRODUCT(AG74*AE55)</f>
        <v>776.78360000000009</v>
      </c>
      <c r="AH75" s="452">
        <f>PRODUCT(AH74*AE56)</f>
        <v>170</v>
      </c>
      <c r="AI75" s="453">
        <f>SUM(AD75:AH75)</f>
        <v>4312.7257</v>
      </c>
      <c r="AJ75" s="429"/>
      <c r="AK75" s="429"/>
      <c r="AL75" s="429"/>
      <c r="AM75" s="431"/>
      <c r="AN75" s="431"/>
      <c r="AO75" s="431"/>
      <c r="AP75" s="431"/>
    </row>
    <row r="76" spans="1:42" x14ac:dyDescent="0.2">
      <c r="B76" s="64"/>
      <c r="C76" s="431"/>
      <c r="D76" s="431"/>
      <c r="E76" s="431"/>
      <c r="F76" s="64"/>
      <c r="G76" s="64"/>
      <c r="H76" s="64"/>
      <c r="I76" s="64"/>
      <c r="J76" s="64"/>
      <c r="K76" s="431"/>
      <c r="L76" s="431"/>
      <c r="M76" s="431"/>
      <c r="N76" s="431"/>
      <c r="O76" s="431"/>
      <c r="P76" s="431"/>
      <c r="Q76" s="12"/>
      <c r="S76" s="431"/>
      <c r="U76" s="60" t="s">
        <v>91</v>
      </c>
      <c r="V76" s="352">
        <v>0</v>
      </c>
      <c r="W76" s="350">
        <f>3+8+2+3+2+1</f>
        <v>19</v>
      </c>
      <c r="X76" s="352">
        <f>1+2</f>
        <v>3</v>
      </c>
      <c r="Y76" s="352">
        <f>2</f>
        <v>2</v>
      </c>
      <c r="Z76" s="352">
        <v>0</v>
      </c>
      <c r="AA76" s="60">
        <f t="shared" si="17"/>
        <v>24</v>
      </c>
      <c r="AC76" s="328" t="s">
        <v>583</v>
      </c>
      <c r="AD76" s="362">
        <f>AD74*AD52</f>
        <v>700</v>
      </c>
      <c r="AE76" s="362">
        <f>AE74*AD53</f>
        <v>15150</v>
      </c>
      <c r="AF76" s="362">
        <f>AF74*AD54</f>
        <v>19200</v>
      </c>
      <c r="AG76" s="362">
        <f>AG74*AD55</f>
        <v>11500</v>
      </c>
      <c r="AH76" s="362">
        <f>AH74*AD56</f>
        <v>3000</v>
      </c>
      <c r="AI76" s="328">
        <f>SUM(AD76:AH76)</f>
        <v>49550</v>
      </c>
      <c r="AJ76" s="429"/>
      <c r="AK76" s="429"/>
      <c r="AL76" s="429"/>
      <c r="AM76" s="431"/>
      <c r="AN76" s="431"/>
      <c r="AO76" s="431"/>
      <c r="AP76" s="431"/>
    </row>
    <row r="77" spans="1:42" x14ac:dyDescent="0.2">
      <c r="B77" s="64"/>
      <c r="C77" s="431"/>
      <c r="D77" s="431"/>
      <c r="E77" s="431"/>
      <c r="F77" s="64"/>
      <c r="G77" s="64"/>
      <c r="H77" s="64"/>
      <c r="I77" s="64"/>
      <c r="J77" s="64"/>
      <c r="K77" s="431"/>
      <c r="L77" s="431"/>
      <c r="M77" s="431"/>
      <c r="N77" s="431"/>
      <c r="O77" s="431"/>
      <c r="P77" s="431"/>
      <c r="Q77" s="12"/>
      <c r="S77" s="431"/>
      <c r="U77" s="60" t="s">
        <v>92</v>
      </c>
      <c r="V77" s="352">
        <v>0</v>
      </c>
      <c r="W77" s="350">
        <f>4+3</f>
        <v>7</v>
      </c>
      <c r="X77" s="352">
        <f>14+2</f>
        <v>16</v>
      </c>
      <c r="Y77" s="352">
        <v>0</v>
      </c>
      <c r="Z77" s="352">
        <v>0</v>
      </c>
      <c r="AA77" s="60">
        <f t="shared" si="17"/>
        <v>23</v>
      </c>
      <c r="AD77" s="459"/>
      <c r="AE77" s="350"/>
      <c r="AF77" s="350"/>
      <c r="AG77" s="352"/>
      <c r="AH77" s="352"/>
      <c r="AI77" s="352"/>
      <c r="AJ77" s="429"/>
      <c r="AK77" s="429"/>
      <c r="AL77" s="429"/>
      <c r="AM77" s="431"/>
      <c r="AN77" s="431"/>
      <c r="AO77" s="431"/>
      <c r="AP77" s="431"/>
    </row>
    <row r="78" spans="1:42" x14ac:dyDescent="0.2">
      <c r="B78" s="64"/>
      <c r="C78" s="431"/>
      <c r="D78" s="431"/>
      <c r="E78" s="431"/>
      <c r="F78" s="64"/>
      <c r="G78" s="64"/>
      <c r="H78" s="64"/>
      <c r="I78" s="64"/>
      <c r="J78" s="64"/>
      <c r="K78" s="431"/>
      <c r="L78" s="431"/>
      <c r="M78" s="431"/>
      <c r="N78" s="431"/>
      <c r="O78" s="431"/>
      <c r="P78" s="431"/>
      <c r="Q78" s="12"/>
      <c r="S78" s="431"/>
      <c r="U78" s="60" t="s">
        <v>93</v>
      </c>
      <c r="V78" s="352">
        <v>0</v>
      </c>
      <c r="W78" s="350">
        <v>0</v>
      </c>
      <c r="X78" s="352">
        <f>2+1</f>
        <v>3</v>
      </c>
      <c r="Y78" s="352">
        <f>8</f>
        <v>8</v>
      </c>
      <c r="Z78" s="352">
        <v>0</v>
      </c>
      <c r="AA78" s="60">
        <f t="shared" si="17"/>
        <v>11</v>
      </c>
      <c r="AD78" s="459"/>
      <c r="AE78" s="352"/>
      <c r="AF78" s="352"/>
      <c r="AG78" s="352"/>
      <c r="AH78" s="352"/>
      <c r="AI78" s="352"/>
      <c r="AJ78" s="429"/>
      <c r="AK78" s="429"/>
      <c r="AL78" s="429"/>
      <c r="AM78" s="431"/>
      <c r="AN78" s="431"/>
      <c r="AO78" s="431"/>
      <c r="AP78" s="431"/>
    </row>
    <row r="79" spans="1:42" ht="15" x14ac:dyDescent="0.25">
      <c r="B79" s="64"/>
      <c r="C79" s="431"/>
      <c r="D79" s="431"/>
      <c r="E79" s="431"/>
      <c r="F79" s="64"/>
      <c r="G79" s="64"/>
      <c r="H79" s="64"/>
      <c r="I79" s="64"/>
      <c r="J79" s="64"/>
      <c r="K79" s="431"/>
      <c r="L79" s="431"/>
      <c r="M79" s="431"/>
      <c r="N79" s="431"/>
      <c r="O79" s="431"/>
      <c r="P79" s="431"/>
      <c r="Q79" s="12"/>
      <c r="S79" s="431"/>
      <c r="U79" s="60" t="s">
        <v>94</v>
      </c>
      <c r="V79" s="352">
        <v>0</v>
      </c>
      <c r="W79" s="451">
        <f>2</f>
        <v>2</v>
      </c>
      <c r="X79" s="352">
        <f>2+1</f>
        <v>3</v>
      </c>
      <c r="Y79" s="352">
        <f>9</f>
        <v>9</v>
      </c>
      <c r="Z79" s="352"/>
      <c r="AA79" s="60">
        <f t="shared" si="17"/>
        <v>14</v>
      </c>
      <c r="AC79" s="438">
        <f>AA61+AA81</f>
        <v>260</v>
      </c>
      <c r="AD79" s="459"/>
      <c r="AE79" s="352"/>
      <c r="AF79" s="350"/>
      <c r="AG79" s="352"/>
      <c r="AH79" s="352"/>
      <c r="AI79" s="352"/>
      <c r="AJ79" s="429"/>
      <c r="AK79" s="429"/>
      <c r="AL79" s="429"/>
      <c r="AM79" s="431"/>
      <c r="AN79" s="431"/>
      <c r="AO79" s="431"/>
      <c r="AP79" s="431"/>
    </row>
    <row r="80" spans="1:42" ht="15" x14ac:dyDescent="0.25">
      <c r="B80" s="64"/>
      <c r="C80" s="431"/>
      <c r="D80" s="431"/>
      <c r="E80" s="431"/>
      <c r="F80" s="64"/>
      <c r="G80" s="64"/>
      <c r="H80" s="64"/>
      <c r="I80" s="64"/>
      <c r="J80" s="64"/>
      <c r="K80" s="431"/>
      <c r="L80" s="431"/>
      <c r="M80" s="431"/>
      <c r="N80" s="431"/>
      <c r="O80" s="431"/>
      <c r="P80" s="431"/>
      <c r="Q80" s="12"/>
      <c r="S80" s="431"/>
      <c r="U80" s="358" t="s">
        <v>508</v>
      </c>
      <c r="V80" s="352">
        <v>0</v>
      </c>
      <c r="W80" s="359">
        <f>1</f>
        <v>1</v>
      </c>
      <c r="X80" s="359">
        <f>3</f>
        <v>3</v>
      </c>
      <c r="Y80" s="359">
        <v>0</v>
      </c>
      <c r="Z80" s="352">
        <v>0</v>
      </c>
      <c r="AA80" s="358">
        <f t="shared" si="17"/>
        <v>4</v>
      </c>
      <c r="AC80" s="550">
        <f>AA62+AA82</f>
        <v>4312.7257</v>
      </c>
      <c r="AD80" s="459"/>
      <c r="AE80" s="352"/>
      <c r="AF80" s="350"/>
      <c r="AG80" s="352"/>
      <c r="AH80" s="352"/>
      <c r="AI80" s="352"/>
      <c r="AJ80" s="429"/>
      <c r="AK80" s="429"/>
      <c r="AL80" s="429"/>
    </row>
    <row r="81" spans="2:38" x14ac:dyDescent="0.2">
      <c r="B81" s="64"/>
      <c r="C81" s="431"/>
      <c r="D81" s="431"/>
      <c r="E81" s="431"/>
      <c r="F81" s="64"/>
      <c r="G81" s="64"/>
      <c r="H81" s="64"/>
      <c r="I81" s="64"/>
      <c r="J81" s="64"/>
      <c r="K81" s="431"/>
      <c r="L81" s="431"/>
      <c r="M81" s="431"/>
      <c r="N81" s="431"/>
      <c r="O81" s="431"/>
      <c r="P81" s="431"/>
      <c r="Q81" s="12"/>
      <c r="S81" s="431"/>
      <c r="U81" s="328" t="s">
        <v>537</v>
      </c>
      <c r="V81" s="360">
        <f t="shared" ref="V81:AA81" si="19">SUM(V69:V80)</f>
        <v>0</v>
      </c>
      <c r="W81" s="360">
        <f t="shared" si="19"/>
        <v>94</v>
      </c>
      <c r="X81" s="360">
        <f t="shared" si="19"/>
        <v>96</v>
      </c>
      <c r="Y81" s="360">
        <f t="shared" si="19"/>
        <v>46</v>
      </c>
      <c r="Z81" s="360">
        <f t="shared" si="19"/>
        <v>10</v>
      </c>
      <c r="AA81" s="361">
        <f t="shared" si="19"/>
        <v>246</v>
      </c>
      <c r="AC81" s="352">
        <f>AA63+AA83</f>
        <v>49550</v>
      </c>
      <c r="AD81" s="459"/>
      <c r="AE81" s="352"/>
      <c r="AF81" s="352"/>
      <c r="AG81" s="352"/>
      <c r="AH81" s="352"/>
      <c r="AI81" s="352"/>
      <c r="AJ81" s="429"/>
      <c r="AK81" s="429"/>
      <c r="AL81" s="429"/>
    </row>
    <row r="82" spans="2:38" x14ac:dyDescent="0.2">
      <c r="B82" s="64"/>
      <c r="C82" s="431"/>
      <c r="D82" s="431"/>
      <c r="E82" s="431"/>
      <c r="F82" s="64"/>
      <c r="G82" s="64"/>
      <c r="H82" s="64"/>
      <c r="I82" s="64"/>
      <c r="J82" s="64"/>
      <c r="K82" s="431"/>
      <c r="L82" s="431"/>
      <c r="M82" s="431"/>
      <c r="N82" s="431"/>
      <c r="O82" s="431"/>
      <c r="P82" s="431"/>
      <c r="Q82" s="12"/>
      <c r="S82" s="431"/>
      <c r="U82" s="328" t="s">
        <v>536</v>
      </c>
      <c r="V82" s="452">
        <f>PRODUCT(V81*AE52)</f>
        <v>0</v>
      </c>
      <c r="W82" s="452">
        <f>PRODUCT(W81*AE53)</f>
        <v>1538.6766</v>
      </c>
      <c r="X82" s="452">
        <f>PRODUCT(X81*AE54)</f>
        <v>1607.6831999999999</v>
      </c>
      <c r="Y82" s="452">
        <f>PRODUCT(Y81*AE55)</f>
        <v>776.78360000000009</v>
      </c>
      <c r="Z82" s="452">
        <f>PRODUCT(Z81*AE56)</f>
        <v>170</v>
      </c>
      <c r="AA82" s="453">
        <f>SUM(V82:Z82)</f>
        <v>4093.1434000000004</v>
      </c>
      <c r="AD82" s="458"/>
      <c r="AE82" s="352"/>
      <c r="AF82" s="352"/>
      <c r="AG82" s="352"/>
      <c r="AH82" s="352"/>
      <c r="AI82" s="352"/>
      <c r="AJ82" s="429"/>
      <c r="AK82" s="429"/>
      <c r="AL82" s="429"/>
    </row>
    <row r="83" spans="2:38" x14ac:dyDescent="0.2">
      <c r="B83" s="64"/>
      <c r="C83" s="431"/>
      <c r="D83" s="431"/>
      <c r="E83" s="431"/>
      <c r="F83" s="64"/>
      <c r="G83" s="64"/>
      <c r="H83" s="64"/>
      <c r="I83" s="64"/>
      <c r="J83" s="64"/>
      <c r="K83" s="431"/>
      <c r="L83" s="431"/>
      <c r="M83" s="431"/>
      <c r="N83" s="431"/>
      <c r="O83" s="431"/>
      <c r="P83" s="431"/>
      <c r="Q83" s="12"/>
      <c r="S83" s="431"/>
      <c r="U83" s="328" t="s">
        <v>583</v>
      </c>
      <c r="V83" s="362">
        <f>V81*AD52</f>
        <v>0</v>
      </c>
      <c r="W83" s="362">
        <f>W81*AD53</f>
        <v>14100</v>
      </c>
      <c r="X83" s="362">
        <f>X81*AD54</f>
        <v>19200</v>
      </c>
      <c r="Y83" s="362">
        <f>Y81*AD55</f>
        <v>11500</v>
      </c>
      <c r="Z83" s="362">
        <f>Z81*AD56</f>
        <v>3000</v>
      </c>
      <c r="AA83" s="328">
        <f>SUM(V83:Z83)</f>
        <v>47800</v>
      </c>
      <c r="AJ83" s="429"/>
      <c r="AK83" s="429"/>
      <c r="AL83" s="429"/>
    </row>
    <row r="84" spans="2:38" x14ac:dyDescent="0.2">
      <c r="B84" s="64"/>
      <c r="C84" s="431"/>
      <c r="D84" s="431"/>
      <c r="E84" s="431"/>
      <c r="F84" s="64"/>
      <c r="G84" s="64"/>
      <c r="H84" s="64"/>
      <c r="I84" s="64"/>
      <c r="J84" s="64"/>
      <c r="K84" s="431"/>
      <c r="L84" s="431"/>
      <c r="M84" s="431"/>
      <c r="N84" s="431"/>
      <c r="O84" s="431"/>
      <c r="P84" s="431"/>
      <c r="Q84" s="12"/>
      <c r="S84" s="431"/>
      <c r="AD84" s="423"/>
      <c r="AE84" s="352"/>
      <c r="AF84" s="352"/>
      <c r="AG84" s="352"/>
      <c r="AH84" s="352"/>
      <c r="AI84" s="352"/>
      <c r="AJ84" s="379"/>
      <c r="AK84" s="429"/>
      <c r="AL84" s="429"/>
    </row>
    <row r="85" spans="2:38" x14ac:dyDescent="0.2">
      <c r="B85" s="64"/>
      <c r="C85" s="431"/>
      <c r="D85" s="431"/>
      <c r="E85" s="431"/>
      <c r="F85" s="64"/>
      <c r="G85" s="64"/>
      <c r="H85" s="64"/>
      <c r="I85" s="64"/>
      <c r="J85" s="64"/>
      <c r="K85" s="431"/>
      <c r="L85" s="431"/>
      <c r="M85" s="431"/>
      <c r="N85" s="431"/>
      <c r="O85" s="431"/>
      <c r="P85" s="431"/>
      <c r="Q85" s="12"/>
      <c r="S85" s="431"/>
      <c r="AD85" s="423"/>
      <c r="AE85" s="429"/>
      <c r="AF85" s="429"/>
      <c r="AG85" s="429"/>
      <c r="AH85" s="429"/>
      <c r="AI85" s="429"/>
      <c r="AJ85" s="423"/>
      <c r="AK85" s="429"/>
      <c r="AL85" s="429"/>
    </row>
    <row r="86" spans="2:38" x14ac:dyDescent="0.2">
      <c r="B86" s="64"/>
      <c r="C86" s="431"/>
      <c r="D86" s="431"/>
      <c r="E86" s="431"/>
      <c r="F86" s="64"/>
      <c r="G86" s="64"/>
      <c r="H86" s="64"/>
      <c r="I86" s="64"/>
      <c r="J86" s="64"/>
      <c r="K86" s="431"/>
      <c r="L86" s="431"/>
      <c r="M86" s="431"/>
      <c r="N86" s="431"/>
      <c r="O86" s="431"/>
      <c r="P86" s="431"/>
      <c r="Q86" s="12"/>
      <c r="S86" s="431"/>
      <c r="AD86" s="423"/>
      <c r="AE86" s="429"/>
      <c r="AF86" s="429"/>
      <c r="AG86" s="429"/>
      <c r="AH86" s="429"/>
      <c r="AI86" s="429"/>
      <c r="AJ86" s="423"/>
      <c r="AK86" s="429"/>
      <c r="AL86" s="429"/>
    </row>
    <row r="87" spans="2:38" x14ac:dyDescent="0.2">
      <c r="B87" s="64"/>
      <c r="C87" s="431"/>
      <c r="D87" s="431"/>
      <c r="E87" s="431"/>
      <c r="F87" s="64"/>
      <c r="G87" s="64"/>
      <c r="H87" s="64"/>
      <c r="I87" s="64"/>
      <c r="J87" s="64"/>
      <c r="K87" s="431"/>
      <c r="L87" s="431"/>
      <c r="M87" s="431"/>
      <c r="N87" s="431"/>
      <c r="O87" s="431"/>
      <c r="P87" s="431"/>
      <c r="Q87" s="12"/>
      <c r="S87" s="431"/>
    </row>
    <row r="88" spans="2:38" x14ac:dyDescent="0.2">
      <c r="B88" s="64"/>
      <c r="C88" s="431"/>
      <c r="D88" s="431"/>
      <c r="E88" s="431"/>
      <c r="F88" s="64"/>
      <c r="G88" s="64"/>
      <c r="H88" s="64"/>
      <c r="I88" s="64"/>
      <c r="J88" s="64"/>
      <c r="K88" s="431"/>
      <c r="L88" s="431"/>
      <c r="M88" s="431"/>
      <c r="N88" s="431"/>
      <c r="O88" s="431"/>
      <c r="P88" s="431"/>
      <c r="Q88" s="12"/>
      <c r="S88" s="431"/>
    </row>
    <row r="89" spans="2:38" x14ac:dyDescent="0.2">
      <c r="B89" s="64"/>
      <c r="C89" s="431"/>
      <c r="D89" s="431"/>
      <c r="E89" s="431"/>
      <c r="F89" s="64"/>
      <c r="G89" s="64"/>
      <c r="H89" s="64"/>
      <c r="I89" s="64"/>
      <c r="J89" s="64"/>
      <c r="K89" s="431"/>
      <c r="L89" s="431"/>
      <c r="M89" s="431"/>
      <c r="N89" s="431"/>
      <c r="O89" s="431"/>
      <c r="P89" s="431"/>
      <c r="Q89" s="12"/>
      <c r="S89" s="431"/>
    </row>
    <row r="90" spans="2:38" x14ac:dyDescent="0.2">
      <c r="B90" s="64"/>
      <c r="C90" s="431"/>
      <c r="D90" s="431"/>
      <c r="E90" s="431"/>
      <c r="F90" s="64"/>
      <c r="G90" s="64"/>
      <c r="H90" s="64"/>
      <c r="I90" s="64"/>
      <c r="J90" s="64"/>
      <c r="K90" s="431"/>
      <c r="L90" s="431"/>
      <c r="M90" s="431"/>
      <c r="N90" s="431"/>
      <c r="O90" s="431"/>
      <c r="P90" s="431"/>
      <c r="Q90" s="12"/>
      <c r="S90" s="431"/>
    </row>
    <row r="91" spans="2:38" x14ac:dyDescent="0.2">
      <c r="B91" s="64"/>
      <c r="C91" s="431"/>
      <c r="D91" s="431"/>
      <c r="E91" s="431"/>
      <c r="F91" s="64"/>
      <c r="G91" s="64"/>
      <c r="H91" s="64"/>
      <c r="I91" s="64"/>
      <c r="J91" s="64"/>
      <c r="K91" s="431"/>
      <c r="L91" s="431"/>
      <c r="M91" s="431"/>
      <c r="N91" s="431"/>
      <c r="O91" s="431"/>
      <c r="P91" s="431"/>
      <c r="Q91" s="12"/>
      <c r="S91" s="431"/>
    </row>
    <row r="92" spans="2:38" x14ac:dyDescent="0.2">
      <c r="B92" s="64"/>
      <c r="C92" s="431"/>
      <c r="D92" s="431"/>
      <c r="E92" s="431"/>
      <c r="F92" s="64"/>
      <c r="G92" s="64"/>
      <c r="H92" s="64"/>
      <c r="I92" s="64"/>
      <c r="J92" s="64"/>
      <c r="K92" s="431"/>
      <c r="L92" s="431"/>
      <c r="M92" s="431"/>
      <c r="N92" s="431"/>
      <c r="O92" s="431"/>
      <c r="P92" s="431"/>
      <c r="Q92" s="12"/>
      <c r="S92" s="431"/>
    </row>
    <row r="93" spans="2:38" x14ac:dyDescent="0.2">
      <c r="B93" s="64"/>
      <c r="C93" s="431"/>
      <c r="D93" s="431"/>
      <c r="E93" s="431"/>
      <c r="F93" s="64"/>
      <c r="G93" s="64"/>
      <c r="H93" s="64"/>
      <c r="I93" s="64"/>
      <c r="J93" s="64"/>
      <c r="K93" s="431"/>
      <c r="L93" s="431"/>
      <c r="M93" s="431"/>
      <c r="N93" s="431"/>
      <c r="O93" s="431"/>
      <c r="P93" s="431"/>
      <c r="Q93" s="12"/>
      <c r="S93" s="431"/>
    </row>
    <row r="94" spans="2:38" x14ac:dyDescent="0.2">
      <c r="B94" s="64"/>
      <c r="C94" s="431"/>
      <c r="D94" s="431"/>
      <c r="E94" s="431"/>
      <c r="F94" s="64"/>
      <c r="G94" s="64"/>
      <c r="H94" s="64"/>
      <c r="I94" s="64"/>
      <c r="J94" s="64"/>
      <c r="K94" s="431"/>
      <c r="L94" s="431"/>
      <c r="M94" s="431"/>
      <c r="N94" s="431"/>
      <c r="O94" s="431"/>
      <c r="P94" s="431"/>
      <c r="Q94" s="12"/>
      <c r="S94" s="431"/>
    </row>
    <row r="95" spans="2:38" x14ac:dyDescent="0.2">
      <c r="B95" s="64"/>
      <c r="C95" s="431"/>
      <c r="D95" s="431"/>
      <c r="E95" s="431"/>
      <c r="F95" s="64"/>
      <c r="G95" s="64"/>
      <c r="H95" s="64"/>
      <c r="I95" s="64"/>
      <c r="J95" s="64"/>
      <c r="K95" s="431"/>
      <c r="L95" s="431"/>
      <c r="M95" s="431"/>
      <c r="N95" s="431"/>
      <c r="O95" s="431"/>
      <c r="P95" s="431"/>
      <c r="Q95" s="12"/>
      <c r="S95" s="431"/>
    </row>
    <row r="96" spans="2:38" x14ac:dyDescent="0.2">
      <c r="B96" s="64"/>
      <c r="C96" s="431"/>
      <c r="D96" s="431"/>
      <c r="E96" s="431"/>
      <c r="F96" s="64"/>
      <c r="G96" s="64"/>
      <c r="H96" s="64"/>
      <c r="I96" s="64"/>
      <c r="J96" s="64"/>
      <c r="K96" s="431"/>
      <c r="L96" s="431"/>
      <c r="M96" s="431"/>
      <c r="N96" s="431"/>
      <c r="O96" s="431"/>
      <c r="P96" s="431"/>
      <c r="Q96" s="12"/>
      <c r="S96" s="431"/>
    </row>
    <row r="97" spans="2:19" x14ac:dyDescent="0.2">
      <c r="B97" s="64"/>
      <c r="C97" s="431"/>
      <c r="D97" s="431"/>
      <c r="E97" s="431"/>
      <c r="F97" s="64"/>
      <c r="G97" s="64"/>
      <c r="H97" s="64"/>
      <c r="I97" s="64"/>
      <c r="J97" s="64"/>
      <c r="K97" s="431"/>
      <c r="L97" s="431"/>
      <c r="M97" s="431"/>
      <c r="N97" s="431"/>
      <c r="O97" s="431"/>
      <c r="P97" s="431"/>
      <c r="Q97" s="12"/>
      <c r="S97" s="431"/>
    </row>
    <row r="98" spans="2:19" x14ac:dyDescent="0.2">
      <c r="B98" s="64"/>
      <c r="C98" s="431"/>
      <c r="D98" s="431"/>
      <c r="E98" s="431"/>
      <c r="F98" s="64"/>
      <c r="G98" s="64"/>
      <c r="H98" s="64"/>
      <c r="I98" s="64"/>
      <c r="J98" s="64"/>
      <c r="K98" s="431"/>
      <c r="L98" s="431"/>
      <c r="M98" s="431"/>
      <c r="N98" s="431"/>
      <c r="O98" s="431"/>
      <c r="P98" s="431"/>
      <c r="Q98" s="12"/>
      <c r="S98" s="431"/>
    </row>
    <row r="99" spans="2:19" x14ac:dyDescent="0.2">
      <c r="B99" s="64"/>
      <c r="C99" s="431"/>
      <c r="D99" s="431"/>
      <c r="E99" s="431"/>
      <c r="F99" s="64"/>
      <c r="G99" s="64"/>
      <c r="H99" s="64"/>
      <c r="I99" s="64"/>
      <c r="J99" s="64"/>
      <c r="K99" s="431"/>
      <c r="L99" s="431"/>
      <c r="M99" s="431"/>
      <c r="N99" s="431"/>
      <c r="O99" s="431"/>
      <c r="P99" s="431"/>
      <c r="Q99" s="12"/>
      <c r="S99" s="431"/>
    </row>
    <row r="100" spans="2:19" x14ac:dyDescent="0.2">
      <c r="B100" s="64"/>
      <c r="C100" s="431"/>
      <c r="D100" s="431"/>
      <c r="E100" s="431"/>
      <c r="F100" s="64"/>
      <c r="G100" s="64"/>
      <c r="H100" s="64"/>
      <c r="I100" s="64"/>
      <c r="J100" s="64"/>
      <c r="K100" s="431"/>
      <c r="L100" s="431"/>
      <c r="M100" s="431"/>
      <c r="N100" s="431"/>
      <c r="O100" s="431"/>
      <c r="P100" s="431"/>
      <c r="Q100" s="12"/>
      <c r="S100" s="431"/>
    </row>
    <row r="101" spans="2:19" x14ac:dyDescent="0.2">
      <c r="B101" s="64"/>
      <c r="C101" s="431"/>
      <c r="D101" s="431"/>
      <c r="E101" s="431"/>
      <c r="F101" s="64"/>
      <c r="G101" s="64"/>
      <c r="H101" s="64"/>
      <c r="I101" s="64"/>
      <c r="J101" s="64"/>
      <c r="K101" s="431"/>
      <c r="L101" s="431"/>
      <c r="M101" s="431"/>
      <c r="N101" s="431"/>
      <c r="O101" s="431"/>
      <c r="P101" s="431"/>
      <c r="Q101" s="12"/>
      <c r="S101" s="431"/>
    </row>
    <row r="102" spans="2:19" x14ac:dyDescent="0.2">
      <c r="B102" s="64"/>
      <c r="C102" s="431"/>
      <c r="D102" s="431"/>
      <c r="E102" s="431"/>
      <c r="F102" s="64"/>
      <c r="G102" s="64"/>
      <c r="H102" s="64"/>
      <c r="I102" s="64"/>
      <c r="J102" s="64"/>
      <c r="K102" s="431"/>
      <c r="L102" s="431"/>
      <c r="M102" s="431"/>
      <c r="N102" s="431"/>
      <c r="O102" s="431"/>
      <c r="P102" s="431"/>
      <c r="Q102" s="12"/>
      <c r="S102" s="431"/>
    </row>
    <row r="103" spans="2:19" x14ac:dyDescent="0.2">
      <c r="B103" s="64"/>
      <c r="C103" s="431"/>
      <c r="D103" s="431"/>
      <c r="E103" s="431"/>
      <c r="F103" s="64"/>
      <c r="G103" s="64"/>
      <c r="H103" s="64"/>
      <c r="I103" s="64"/>
      <c r="J103" s="64"/>
      <c r="K103" s="431"/>
      <c r="L103" s="431"/>
      <c r="M103" s="431"/>
      <c r="N103" s="431"/>
      <c r="O103" s="431"/>
      <c r="P103" s="431"/>
      <c r="Q103" s="12"/>
      <c r="S103" s="431"/>
    </row>
    <row r="104" spans="2:19" x14ac:dyDescent="0.2">
      <c r="B104" s="64"/>
      <c r="C104" s="431"/>
      <c r="D104" s="431"/>
      <c r="E104" s="431"/>
      <c r="F104" s="64"/>
      <c r="G104" s="64"/>
      <c r="H104" s="64"/>
      <c r="I104" s="64"/>
      <c r="J104" s="64"/>
      <c r="K104" s="431"/>
      <c r="L104" s="431"/>
      <c r="M104" s="431"/>
      <c r="N104" s="431"/>
      <c r="O104" s="431"/>
      <c r="P104" s="431"/>
      <c r="Q104" s="12"/>
      <c r="S104" s="431"/>
    </row>
    <row r="105" spans="2:19" x14ac:dyDescent="0.2">
      <c r="B105" s="64"/>
      <c r="C105" s="431"/>
      <c r="D105" s="431"/>
      <c r="E105" s="431"/>
      <c r="F105" s="64"/>
      <c r="G105" s="64"/>
      <c r="H105" s="64"/>
      <c r="I105" s="64"/>
      <c r="J105" s="64"/>
      <c r="K105" s="431"/>
      <c r="L105" s="431"/>
      <c r="M105" s="431"/>
      <c r="N105" s="431"/>
      <c r="O105" s="431"/>
      <c r="P105" s="431"/>
      <c r="Q105" s="12"/>
      <c r="S105" s="431"/>
    </row>
    <row r="106" spans="2:19" x14ac:dyDescent="0.2">
      <c r="B106" s="64"/>
      <c r="C106" s="431"/>
      <c r="D106" s="431"/>
      <c r="E106" s="431"/>
      <c r="F106" s="64"/>
      <c r="G106" s="64"/>
      <c r="H106" s="64"/>
      <c r="I106" s="64"/>
      <c r="J106" s="64"/>
      <c r="K106" s="431"/>
      <c r="L106" s="431"/>
      <c r="M106" s="431"/>
      <c r="N106" s="431"/>
      <c r="O106" s="431"/>
      <c r="P106" s="431"/>
      <c r="Q106" s="12"/>
      <c r="S106" s="431"/>
    </row>
    <row r="107" spans="2:19" x14ac:dyDescent="0.2">
      <c r="B107" s="64"/>
      <c r="C107" s="431"/>
      <c r="D107" s="431"/>
      <c r="E107" s="431"/>
      <c r="F107" s="64"/>
      <c r="G107" s="64"/>
      <c r="H107" s="64"/>
      <c r="I107" s="64"/>
      <c r="J107" s="64"/>
      <c r="K107" s="431"/>
      <c r="L107" s="431"/>
      <c r="M107" s="431"/>
      <c r="N107" s="431"/>
      <c r="O107" s="431"/>
      <c r="P107" s="431"/>
      <c r="Q107" s="12"/>
      <c r="S107" s="431"/>
    </row>
    <row r="108" spans="2:19" x14ac:dyDescent="0.2">
      <c r="B108" s="64"/>
      <c r="C108" s="431"/>
      <c r="D108" s="431"/>
      <c r="E108" s="431"/>
      <c r="F108" s="64"/>
      <c r="G108" s="64"/>
      <c r="H108" s="64"/>
      <c r="I108" s="64"/>
      <c r="J108" s="64"/>
      <c r="K108" s="431"/>
      <c r="L108" s="431"/>
      <c r="M108" s="431"/>
      <c r="N108" s="431"/>
      <c r="O108" s="431"/>
      <c r="P108" s="431"/>
      <c r="Q108" s="12"/>
      <c r="S108" s="431"/>
    </row>
    <row r="109" spans="2:19" x14ac:dyDescent="0.2">
      <c r="B109" s="64"/>
      <c r="C109" s="431"/>
      <c r="D109" s="431"/>
      <c r="E109" s="431"/>
      <c r="F109" s="64"/>
      <c r="G109" s="64"/>
      <c r="H109" s="64"/>
      <c r="I109" s="64"/>
      <c r="J109" s="64"/>
      <c r="K109" s="431"/>
      <c r="L109" s="431"/>
      <c r="M109" s="431"/>
      <c r="N109" s="431"/>
      <c r="O109" s="431"/>
      <c r="P109" s="431"/>
      <c r="Q109" s="12"/>
      <c r="S109" s="431"/>
    </row>
    <row r="110" spans="2:19" x14ac:dyDescent="0.2">
      <c r="B110" s="64"/>
      <c r="C110" s="431"/>
      <c r="D110" s="431"/>
      <c r="E110" s="431"/>
      <c r="F110" s="64"/>
      <c r="G110" s="64"/>
      <c r="H110" s="64"/>
      <c r="I110" s="64"/>
      <c r="J110" s="64"/>
      <c r="K110" s="431"/>
      <c r="L110" s="431"/>
      <c r="M110" s="431"/>
      <c r="N110" s="431"/>
      <c r="O110" s="431"/>
      <c r="P110" s="431"/>
      <c r="Q110" s="12"/>
      <c r="S110" s="431"/>
    </row>
    <row r="111" spans="2:19" x14ac:dyDescent="0.2">
      <c r="B111" s="64"/>
      <c r="C111" s="431"/>
      <c r="D111" s="431"/>
      <c r="E111" s="431"/>
      <c r="F111" s="64"/>
      <c r="G111" s="64"/>
      <c r="H111" s="64"/>
      <c r="I111" s="64"/>
      <c r="J111" s="64"/>
      <c r="K111" s="431"/>
      <c r="L111" s="431"/>
      <c r="M111" s="431"/>
      <c r="N111" s="431"/>
      <c r="O111" s="431"/>
      <c r="P111" s="431"/>
      <c r="Q111" s="12"/>
      <c r="S111" s="431"/>
    </row>
    <row r="112" spans="2:19" x14ac:dyDescent="0.2">
      <c r="B112" s="64"/>
      <c r="C112" s="431"/>
      <c r="D112" s="431"/>
      <c r="E112" s="431"/>
      <c r="F112" s="64"/>
      <c r="G112" s="64"/>
      <c r="H112" s="64"/>
      <c r="I112" s="64"/>
      <c r="J112" s="64"/>
      <c r="K112" s="431"/>
      <c r="L112" s="431"/>
      <c r="M112" s="431"/>
      <c r="N112" s="431"/>
      <c r="O112" s="431"/>
      <c r="P112" s="431"/>
      <c r="Q112" s="12"/>
      <c r="S112" s="431"/>
    </row>
    <row r="113" spans="1:19" x14ac:dyDescent="0.2">
      <c r="B113" s="64"/>
      <c r="C113" s="431"/>
      <c r="D113" s="431"/>
      <c r="E113" s="431"/>
      <c r="F113" s="64"/>
      <c r="G113" s="64"/>
      <c r="H113" s="64"/>
      <c r="I113" s="64"/>
      <c r="J113" s="64"/>
      <c r="K113" s="431"/>
      <c r="L113" s="431"/>
      <c r="M113" s="431"/>
      <c r="N113" s="431"/>
      <c r="O113" s="431"/>
      <c r="P113" s="431"/>
      <c r="Q113" s="12"/>
      <c r="S113" s="431"/>
    </row>
    <row r="114" spans="1:19" x14ac:dyDescent="0.2">
      <c r="B114" s="64"/>
      <c r="C114" s="431"/>
      <c r="D114" s="431"/>
      <c r="E114" s="431"/>
      <c r="F114" s="64"/>
      <c r="G114" s="64"/>
      <c r="H114" s="64"/>
      <c r="I114" s="64"/>
      <c r="J114" s="64"/>
      <c r="K114" s="431"/>
      <c r="L114" s="431"/>
      <c r="M114" s="431"/>
      <c r="N114" s="431"/>
      <c r="O114" s="431"/>
      <c r="P114" s="431"/>
      <c r="Q114" s="12"/>
      <c r="S114" s="431"/>
    </row>
    <row r="115" spans="1:19" x14ac:dyDescent="0.2">
      <c r="B115" s="64"/>
      <c r="C115" s="431"/>
      <c r="D115" s="431"/>
      <c r="E115" s="431"/>
      <c r="F115" s="64"/>
      <c r="G115" s="64"/>
      <c r="H115" s="64"/>
      <c r="I115" s="64"/>
      <c r="J115" s="64"/>
      <c r="K115" s="431"/>
      <c r="L115" s="431"/>
      <c r="M115" s="431"/>
      <c r="N115" s="431"/>
      <c r="O115" s="431"/>
      <c r="P115" s="431"/>
      <c r="Q115" s="12"/>
      <c r="S115" s="431"/>
    </row>
    <row r="116" spans="1:19" x14ac:dyDescent="0.2">
      <c r="B116" s="64"/>
      <c r="C116" s="431"/>
      <c r="D116" s="431"/>
      <c r="E116" s="431"/>
      <c r="F116" s="64"/>
      <c r="G116" s="64"/>
      <c r="H116" s="64"/>
      <c r="I116" s="64"/>
      <c r="J116" s="64"/>
      <c r="K116" s="431"/>
      <c r="L116" s="431"/>
      <c r="M116" s="431"/>
      <c r="N116" s="431"/>
      <c r="O116" s="431"/>
      <c r="P116" s="431"/>
      <c r="Q116" s="12"/>
      <c r="S116" s="431"/>
    </row>
    <row r="117" spans="1:19" x14ac:dyDescent="0.2">
      <c r="B117" s="64"/>
      <c r="C117" s="431"/>
      <c r="D117" s="431"/>
      <c r="E117" s="431"/>
      <c r="F117" s="64"/>
      <c r="G117" s="64"/>
      <c r="H117" s="64"/>
      <c r="I117" s="64"/>
      <c r="J117" s="64"/>
      <c r="K117" s="431"/>
      <c r="L117" s="431"/>
      <c r="M117" s="431"/>
      <c r="N117" s="431"/>
      <c r="O117" s="431"/>
      <c r="P117" s="431"/>
      <c r="Q117" s="12"/>
      <c r="S117" s="431"/>
    </row>
    <row r="118" spans="1:19" x14ac:dyDescent="0.2">
      <c r="B118" s="64"/>
      <c r="C118" s="431"/>
      <c r="D118" s="431"/>
      <c r="E118" s="431"/>
      <c r="F118" s="64"/>
      <c r="G118" s="64"/>
      <c r="H118" s="64"/>
      <c r="I118" s="64"/>
      <c r="J118" s="64"/>
      <c r="K118" s="431"/>
      <c r="L118" s="431"/>
      <c r="M118" s="431"/>
      <c r="N118" s="431"/>
      <c r="O118" s="431"/>
      <c r="P118" s="431"/>
      <c r="Q118" s="12"/>
      <c r="S118" s="431"/>
    </row>
    <row r="119" spans="1:19" x14ac:dyDescent="0.2">
      <c r="B119" s="64"/>
      <c r="C119" s="431"/>
      <c r="D119" s="431"/>
      <c r="E119" s="431"/>
      <c r="F119" s="64"/>
      <c r="G119" s="64"/>
      <c r="H119" s="64"/>
      <c r="I119" s="64"/>
      <c r="J119" s="64"/>
      <c r="K119" s="431"/>
      <c r="L119" s="431"/>
      <c r="M119" s="431"/>
      <c r="N119" s="431"/>
      <c r="O119" s="431"/>
      <c r="P119" s="431"/>
      <c r="Q119" s="12"/>
      <c r="S119" s="431"/>
    </row>
    <row r="120" spans="1:19" x14ac:dyDescent="0.2">
      <c r="B120" s="64"/>
      <c r="C120" s="431"/>
      <c r="D120" s="431"/>
      <c r="E120" s="431"/>
      <c r="F120" s="64"/>
      <c r="G120" s="64"/>
      <c r="H120" s="64"/>
      <c r="I120" s="64"/>
      <c r="J120" s="64"/>
      <c r="K120" s="431"/>
      <c r="L120" s="431"/>
      <c r="M120" s="431"/>
      <c r="N120" s="431"/>
      <c r="O120" s="431"/>
      <c r="P120" s="431"/>
      <c r="Q120" s="12"/>
      <c r="S120" s="431"/>
    </row>
    <row r="121" spans="1:19" x14ac:dyDescent="0.2">
      <c r="B121" s="64"/>
      <c r="C121" s="431"/>
      <c r="D121" s="431"/>
      <c r="E121" s="431"/>
      <c r="F121" s="64"/>
      <c r="G121" s="64"/>
      <c r="H121" s="64"/>
      <c r="I121" s="64"/>
      <c r="J121" s="64"/>
      <c r="K121" s="431"/>
      <c r="L121" s="431"/>
      <c r="M121" s="431"/>
      <c r="N121" s="431"/>
      <c r="O121" s="431"/>
      <c r="P121" s="431"/>
      <c r="Q121" s="12"/>
      <c r="S121" s="431"/>
    </row>
    <row r="122" spans="1:19" x14ac:dyDescent="0.2">
      <c r="B122" s="64"/>
      <c r="C122" s="431"/>
      <c r="D122" s="431"/>
      <c r="E122" s="431"/>
      <c r="F122" s="64"/>
      <c r="G122" s="64"/>
      <c r="H122" s="64"/>
      <c r="I122" s="64"/>
      <c r="J122" s="64"/>
      <c r="K122" s="431"/>
      <c r="L122" s="431"/>
      <c r="M122" s="431"/>
      <c r="N122" s="431"/>
      <c r="O122" s="431"/>
      <c r="P122" s="431"/>
      <c r="Q122" s="12"/>
      <c r="S122" s="431"/>
    </row>
    <row r="123" spans="1:19" x14ac:dyDescent="0.2">
      <c r="B123" s="64"/>
      <c r="C123" s="431"/>
      <c r="D123" s="431"/>
      <c r="E123" s="431"/>
      <c r="F123" s="64"/>
      <c r="G123" s="64"/>
      <c r="H123" s="64"/>
      <c r="I123" s="64"/>
      <c r="J123" s="64"/>
      <c r="K123" s="431"/>
      <c r="L123" s="431"/>
      <c r="M123" s="431"/>
      <c r="N123" s="431"/>
      <c r="O123" s="431"/>
      <c r="P123" s="431"/>
      <c r="Q123" s="12"/>
      <c r="S123" s="431"/>
    </row>
    <row r="124" spans="1:19" x14ac:dyDescent="0.2">
      <c r="A124" s="431"/>
      <c r="B124" s="64"/>
      <c r="C124" s="431"/>
      <c r="D124" s="431"/>
      <c r="E124" s="431"/>
      <c r="F124" s="64"/>
      <c r="G124" s="64"/>
      <c r="H124" s="64"/>
      <c r="I124" s="64"/>
      <c r="J124" s="64"/>
      <c r="K124" s="431"/>
      <c r="L124" s="431"/>
      <c r="M124" s="431"/>
      <c r="N124" s="431"/>
      <c r="O124" s="431"/>
      <c r="P124" s="431"/>
      <c r="Q124" s="12"/>
      <c r="S124" s="431"/>
    </row>
    <row r="125" spans="1:19" x14ac:dyDescent="0.2">
      <c r="A125" s="431"/>
      <c r="B125" s="64"/>
      <c r="C125" s="431"/>
      <c r="D125" s="431"/>
      <c r="E125" s="431"/>
      <c r="F125" s="64"/>
      <c r="G125" s="64"/>
      <c r="H125" s="64"/>
      <c r="I125" s="64"/>
      <c r="J125" s="64"/>
      <c r="K125" s="431"/>
      <c r="L125" s="431"/>
      <c r="M125" s="431"/>
      <c r="N125" s="431"/>
      <c r="O125" s="431"/>
      <c r="P125" s="431"/>
      <c r="Q125" s="12"/>
      <c r="S125" s="431"/>
    </row>
    <row r="126" spans="1:19" x14ac:dyDescent="0.2">
      <c r="A126" s="431"/>
      <c r="B126" s="64"/>
      <c r="C126" s="431"/>
      <c r="D126" s="431"/>
      <c r="E126" s="431"/>
      <c r="F126" s="64"/>
      <c r="G126" s="64"/>
      <c r="H126" s="64"/>
      <c r="I126" s="64"/>
      <c r="J126" s="64"/>
      <c r="K126" s="431"/>
      <c r="L126" s="431"/>
      <c r="M126" s="431"/>
      <c r="N126" s="431"/>
      <c r="O126" s="431"/>
      <c r="P126" s="431"/>
      <c r="Q126" s="12"/>
      <c r="S126" s="431"/>
    </row>
    <row r="127" spans="1:19" x14ac:dyDescent="0.2">
      <c r="A127" s="431"/>
      <c r="B127" s="64"/>
      <c r="C127" s="431"/>
      <c r="D127" s="431"/>
      <c r="E127" s="431"/>
      <c r="F127" s="64"/>
      <c r="G127" s="64"/>
      <c r="H127" s="64"/>
      <c r="I127" s="64"/>
      <c r="J127" s="64"/>
      <c r="K127" s="431"/>
      <c r="L127" s="431"/>
      <c r="M127" s="431"/>
      <c r="N127" s="431"/>
      <c r="O127" s="431"/>
      <c r="P127" s="431"/>
      <c r="Q127" s="12"/>
      <c r="S127" s="431"/>
    </row>
    <row r="128" spans="1:19" x14ac:dyDescent="0.2">
      <c r="A128" s="431"/>
      <c r="B128" s="64"/>
      <c r="C128" s="431"/>
      <c r="D128" s="431"/>
      <c r="E128" s="431"/>
      <c r="F128" s="64"/>
      <c r="G128" s="64"/>
      <c r="H128" s="64"/>
      <c r="I128" s="64"/>
      <c r="J128" s="64"/>
      <c r="K128" s="431"/>
      <c r="L128" s="431"/>
      <c r="M128" s="431"/>
      <c r="N128" s="431"/>
      <c r="O128" s="431"/>
      <c r="P128" s="431"/>
      <c r="Q128" s="12"/>
      <c r="S128" s="431"/>
    </row>
    <row r="129" spans="1:19" x14ac:dyDescent="0.2">
      <c r="A129" s="431"/>
      <c r="B129" s="64"/>
      <c r="C129" s="431"/>
      <c r="D129" s="431"/>
      <c r="E129" s="431"/>
      <c r="F129" s="64"/>
      <c r="G129" s="64"/>
      <c r="H129" s="64"/>
      <c r="I129" s="64"/>
      <c r="J129" s="64"/>
      <c r="K129" s="431"/>
      <c r="L129" s="431"/>
      <c r="M129" s="431"/>
      <c r="N129" s="431"/>
      <c r="O129" s="431"/>
      <c r="P129" s="431"/>
      <c r="Q129" s="12"/>
      <c r="S129" s="431"/>
    </row>
    <row r="130" spans="1:19" x14ac:dyDescent="0.2">
      <c r="A130" s="431"/>
      <c r="B130" s="64"/>
      <c r="C130" s="431"/>
      <c r="D130" s="431"/>
      <c r="E130" s="431"/>
      <c r="F130" s="64"/>
      <c r="G130" s="64"/>
      <c r="H130" s="64"/>
      <c r="I130" s="64"/>
      <c r="J130" s="64"/>
      <c r="K130" s="431"/>
      <c r="L130" s="431"/>
      <c r="M130" s="431"/>
      <c r="N130" s="431"/>
      <c r="O130" s="431"/>
      <c r="P130" s="431"/>
      <c r="Q130" s="12"/>
      <c r="S130" s="431"/>
    </row>
    <row r="131" spans="1:19" x14ac:dyDescent="0.2">
      <c r="A131" s="431"/>
      <c r="B131" s="64"/>
      <c r="C131" s="431"/>
      <c r="D131" s="431"/>
      <c r="E131" s="431"/>
      <c r="F131" s="64"/>
      <c r="G131" s="64"/>
      <c r="H131" s="64"/>
      <c r="I131" s="64"/>
      <c r="J131" s="64"/>
      <c r="K131" s="431"/>
      <c r="L131" s="431"/>
      <c r="M131" s="431"/>
      <c r="N131" s="431"/>
      <c r="O131" s="431"/>
      <c r="P131" s="431"/>
      <c r="Q131" s="12"/>
      <c r="S131" s="431"/>
    </row>
    <row r="132" spans="1:19" x14ac:dyDescent="0.2">
      <c r="A132" s="431"/>
      <c r="B132" s="64"/>
      <c r="C132" s="431"/>
      <c r="D132" s="431"/>
      <c r="E132" s="431"/>
      <c r="F132" s="64"/>
      <c r="G132" s="64"/>
      <c r="H132" s="64"/>
      <c r="I132" s="64"/>
      <c r="J132" s="64"/>
      <c r="K132" s="431"/>
      <c r="L132" s="431"/>
      <c r="M132" s="431"/>
      <c r="N132" s="431"/>
      <c r="O132" s="431"/>
      <c r="P132" s="431"/>
      <c r="Q132" s="12"/>
      <c r="S132" s="431"/>
    </row>
    <row r="133" spans="1:19" x14ac:dyDescent="0.2">
      <c r="A133" s="431"/>
      <c r="B133" s="64"/>
      <c r="C133" s="431"/>
      <c r="D133" s="431"/>
      <c r="E133" s="431"/>
      <c r="F133" s="64"/>
      <c r="G133" s="64"/>
      <c r="H133" s="64"/>
      <c r="I133" s="64"/>
      <c r="J133" s="64"/>
      <c r="K133" s="431"/>
      <c r="L133" s="431"/>
      <c r="M133" s="431"/>
      <c r="N133" s="431"/>
      <c r="O133" s="431"/>
      <c r="P133" s="431"/>
      <c r="Q133" s="12"/>
      <c r="S133" s="431"/>
    </row>
    <row r="134" spans="1:19" x14ac:dyDescent="0.2">
      <c r="A134" s="431"/>
      <c r="B134" s="64"/>
      <c r="C134" s="431"/>
      <c r="D134" s="431"/>
      <c r="E134" s="431"/>
      <c r="F134" s="64"/>
      <c r="G134" s="64"/>
      <c r="H134" s="64"/>
      <c r="I134" s="64"/>
      <c r="J134" s="64"/>
      <c r="K134" s="431"/>
      <c r="L134" s="431"/>
      <c r="M134" s="431"/>
      <c r="N134" s="431"/>
      <c r="O134" s="431"/>
      <c r="P134" s="431"/>
      <c r="Q134" s="12"/>
      <c r="S134" s="431"/>
    </row>
    <row r="135" spans="1:19" x14ac:dyDescent="0.2">
      <c r="A135" s="431"/>
      <c r="B135" s="64"/>
      <c r="C135" s="431"/>
      <c r="D135" s="431"/>
      <c r="E135" s="431"/>
      <c r="F135" s="64"/>
      <c r="G135" s="64"/>
      <c r="H135" s="64"/>
      <c r="I135" s="64"/>
      <c r="J135" s="64"/>
      <c r="K135" s="431"/>
      <c r="L135" s="431"/>
      <c r="M135" s="431"/>
      <c r="N135" s="431"/>
      <c r="O135" s="431"/>
      <c r="P135" s="431"/>
      <c r="Q135" s="12"/>
      <c r="S135" s="431"/>
    </row>
    <row r="136" spans="1:19" x14ac:dyDescent="0.2">
      <c r="A136" s="431"/>
      <c r="B136" s="64"/>
      <c r="C136" s="431"/>
      <c r="D136" s="431"/>
      <c r="E136" s="431"/>
      <c r="F136" s="64"/>
      <c r="G136" s="64"/>
      <c r="H136" s="64"/>
      <c r="I136" s="64"/>
      <c r="J136" s="64"/>
      <c r="K136" s="431"/>
      <c r="L136" s="431"/>
      <c r="M136" s="431"/>
      <c r="N136" s="431"/>
      <c r="O136" s="431"/>
      <c r="P136" s="431"/>
      <c r="Q136" s="12"/>
      <c r="S136" s="431"/>
    </row>
    <row r="137" spans="1:19" x14ac:dyDescent="0.2">
      <c r="A137" s="431"/>
      <c r="B137" s="64"/>
      <c r="C137" s="431"/>
      <c r="D137" s="431"/>
      <c r="E137" s="431"/>
      <c r="F137" s="64"/>
      <c r="G137" s="64"/>
      <c r="H137" s="64"/>
      <c r="I137" s="64"/>
      <c r="J137" s="64"/>
      <c r="K137" s="431"/>
      <c r="L137" s="431"/>
      <c r="M137" s="431"/>
      <c r="N137" s="431"/>
      <c r="O137" s="431"/>
      <c r="P137" s="431"/>
      <c r="Q137" s="12"/>
      <c r="S137" s="431"/>
    </row>
    <row r="138" spans="1:19" x14ac:dyDescent="0.2">
      <c r="A138" s="431"/>
      <c r="B138" s="64"/>
      <c r="C138" s="431"/>
      <c r="D138" s="431"/>
      <c r="E138" s="431"/>
      <c r="F138" s="64"/>
      <c r="G138" s="64"/>
      <c r="H138" s="64"/>
      <c r="I138" s="64"/>
      <c r="J138" s="64"/>
      <c r="K138" s="431"/>
      <c r="L138" s="431"/>
      <c r="M138" s="431"/>
      <c r="N138" s="431"/>
      <c r="O138" s="431"/>
      <c r="P138" s="431"/>
      <c r="Q138" s="12"/>
      <c r="S138" s="431"/>
    </row>
    <row r="139" spans="1:19" x14ac:dyDescent="0.2">
      <c r="A139" s="431"/>
      <c r="B139" s="64"/>
      <c r="C139" s="431"/>
      <c r="D139" s="431"/>
      <c r="E139" s="431"/>
      <c r="F139" s="64"/>
      <c r="G139" s="64"/>
      <c r="H139" s="64"/>
      <c r="I139" s="64"/>
      <c r="J139" s="64"/>
      <c r="K139" s="431"/>
      <c r="L139" s="431"/>
      <c r="M139" s="431"/>
      <c r="N139" s="431"/>
      <c r="O139" s="431"/>
      <c r="P139" s="431"/>
      <c r="Q139" s="12"/>
      <c r="S139" s="431"/>
    </row>
    <row r="140" spans="1:19" x14ac:dyDescent="0.2">
      <c r="A140" s="431"/>
      <c r="B140" s="64"/>
      <c r="C140" s="431"/>
      <c r="D140" s="431"/>
      <c r="E140" s="431"/>
      <c r="F140" s="64"/>
      <c r="G140" s="64"/>
      <c r="H140" s="64"/>
      <c r="I140" s="64"/>
      <c r="J140" s="64"/>
      <c r="K140" s="431"/>
      <c r="L140" s="431"/>
      <c r="M140" s="431"/>
      <c r="N140" s="431"/>
      <c r="O140" s="431"/>
      <c r="P140" s="431"/>
      <c r="Q140" s="12"/>
      <c r="S140" s="431"/>
    </row>
    <row r="141" spans="1:19" x14ac:dyDescent="0.2">
      <c r="A141" s="431"/>
      <c r="B141" s="64"/>
      <c r="C141" s="431"/>
      <c r="D141" s="431"/>
      <c r="E141" s="431"/>
      <c r="F141" s="64"/>
      <c r="G141" s="64"/>
      <c r="H141" s="64"/>
      <c r="I141" s="64"/>
      <c r="J141" s="64"/>
      <c r="K141" s="431"/>
      <c r="L141" s="431"/>
      <c r="M141" s="431"/>
      <c r="N141" s="431"/>
      <c r="O141" s="431"/>
      <c r="P141" s="431"/>
      <c r="Q141" s="12"/>
      <c r="S141" s="431"/>
    </row>
    <row r="142" spans="1:19" x14ac:dyDescent="0.2">
      <c r="A142" s="431"/>
      <c r="B142" s="64"/>
      <c r="C142" s="431"/>
      <c r="D142" s="431"/>
      <c r="E142" s="431"/>
      <c r="F142" s="64"/>
      <c r="G142" s="64"/>
      <c r="H142" s="64"/>
      <c r="I142" s="64"/>
      <c r="J142" s="64"/>
      <c r="K142" s="431"/>
      <c r="L142" s="431"/>
      <c r="M142" s="431"/>
      <c r="N142" s="431"/>
      <c r="O142" s="431"/>
      <c r="P142" s="431"/>
      <c r="Q142" s="12"/>
      <c r="S142" s="431"/>
    </row>
    <row r="143" spans="1:19" x14ac:dyDescent="0.2">
      <c r="A143" s="431"/>
      <c r="B143" s="64"/>
      <c r="C143" s="431"/>
      <c r="D143" s="431"/>
      <c r="E143" s="431"/>
      <c r="F143" s="64"/>
      <c r="G143" s="64"/>
      <c r="H143" s="64"/>
      <c r="I143" s="64"/>
      <c r="J143" s="64"/>
      <c r="K143" s="431"/>
      <c r="L143" s="431"/>
      <c r="M143" s="431"/>
      <c r="N143" s="431"/>
      <c r="O143" s="431"/>
      <c r="P143" s="431"/>
      <c r="Q143" s="12"/>
      <c r="S143" s="431"/>
    </row>
    <row r="144" spans="1:19" x14ac:dyDescent="0.2">
      <c r="A144" s="431"/>
      <c r="B144" s="64"/>
      <c r="C144" s="431"/>
      <c r="D144" s="431"/>
      <c r="E144" s="431"/>
      <c r="F144" s="64"/>
      <c r="G144" s="64"/>
      <c r="H144" s="64"/>
      <c r="I144" s="64"/>
      <c r="J144" s="64"/>
      <c r="K144" s="431"/>
      <c r="L144" s="431"/>
      <c r="M144" s="431"/>
      <c r="N144" s="431"/>
      <c r="O144" s="431"/>
      <c r="P144" s="431"/>
      <c r="Q144" s="12"/>
      <c r="S144" s="431"/>
    </row>
    <row r="145" spans="1:19" x14ac:dyDescent="0.2">
      <c r="A145" s="431"/>
      <c r="B145" s="64"/>
      <c r="C145" s="431"/>
      <c r="D145" s="431"/>
      <c r="E145" s="431"/>
      <c r="F145" s="64"/>
      <c r="G145" s="64"/>
      <c r="H145" s="64"/>
      <c r="I145" s="64"/>
      <c r="J145" s="64"/>
      <c r="K145" s="431"/>
      <c r="L145" s="431"/>
      <c r="M145" s="431"/>
      <c r="N145" s="431"/>
      <c r="O145" s="431"/>
      <c r="P145" s="431"/>
      <c r="Q145" s="12"/>
      <c r="S145" s="431"/>
    </row>
    <row r="146" spans="1:19" x14ac:dyDescent="0.2">
      <c r="A146" s="431"/>
      <c r="B146" s="64"/>
      <c r="C146" s="431"/>
      <c r="D146" s="431"/>
      <c r="E146" s="431"/>
      <c r="F146" s="64"/>
      <c r="G146" s="64"/>
      <c r="H146" s="64"/>
      <c r="I146" s="64"/>
      <c r="J146" s="64"/>
      <c r="K146" s="431"/>
      <c r="L146" s="431"/>
      <c r="M146" s="431"/>
      <c r="N146" s="431"/>
      <c r="O146" s="431"/>
      <c r="P146" s="431"/>
      <c r="Q146" s="12"/>
      <c r="S146" s="431"/>
    </row>
    <row r="147" spans="1:19" x14ac:dyDescent="0.2">
      <c r="A147" s="431"/>
      <c r="B147" s="64"/>
      <c r="C147" s="431"/>
      <c r="D147" s="431"/>
      <c r="E147" s="431"/>
      <c r="F147" s="64"/>
      <c r="G147" s="64"/>
      <c r="H147" s="64"/>
      <c r="I147" s="64"/>
      <c r="J147" s="64"/>
      <c r="K147" s="431"/>
      <c r="L147" s="431"/>
      <c r="M147" s="431"/>
      <c r="N147" s="431"/>
      <c r="O147" s="431"/>
      <c r="P147" s="431"/>
      <c r="Q147" s="12"/>
      <c r="S147" s="431"/>
    </row>
    <row r="148" spans="1:19" x14ac:dyDescent="0.2">
      <c r="A148" s="431"/>
      <c r="B148" s="64"/>
      <c r="C148" s="431"/>
      <c r="D148" s="431"/>
      <c r="E148" s="431"/>
      <c r="F148" s="64"/>
      <c r="G148" s="64"/>
      <c r="H148" s="64"/>
      <c r="I148" s="64"/>
      <c r="J148" s="64"/>
      <c r="K148" s="431"/>
      <c r="L148" s="431"/>
      <c r="M148" s="431"/>
      <c r="N148" s="431"/>
      <c r="O148" s="431"/>
      <c r="P148" s="431"/>
      <c r="Q148" s="12"/>
      <c r="S148" s="431"/>
    </row>
    <row r="149" spans="1:19" x14ac:dyDescent="0.2">
      <c r="A149" s="431"/>
      <c r="B149" s="64"/>
      <c r="C149" s="431"/>
      <c r="D149" s="431"/>
      <c r="E149" s="431"/>
      <c r="F149" s="64"/>
      <c r="G149" s="64"/>
      <c r="H149" s="64"/>
      <c r="I149" s="64"/>
      <c r="J149" s="64"/>
      <c r="K149" s="431"/>
      <c r="L149" s="431"/>
      <c r="M149" s="431"/>
      <c r="N149" s="431"/>
      <c r="O149" s="431"/>
      <c r="P149" s="431"/>
      <c r="Q149" s="12"/>
      <c r="S149" s="431"/>
    </row>
    <row r="150" spans="1:19" x14ac:dyDescent="0.2">
      <c r="A150" s="431"/>
      <c r="B150" s="64"/>
      <c r="C150" s="431"/>
      <c r="D150" s="431"/>
      <c r="E150" s="431"/>
      <c r="F150" s="64"/>
      <c r="G150" s="64"/>
      <c r="H150" s="64"/>
      <c r="I150" s="64"/>
      <c r="J150" s="64"/>
      <c r="K150" s="431"/>
      <c r="L150" s="431"/>
      <c r="M150" s="431"/>
      <c r="N150" s="431"/>
      <c r="O150" s="431"/>
      <c r="P150" s="431"/>
      <c r="Q150" s="12"/>
      <c r="S150" s="431"/>
    </row>
    <row r="151" spans="1:19" x14ac:dyDescent="0.2">
      <c r="A151" s="431"/>
      <c r="B151" s="64"/>
      <c r="C151" s="431"/>
      <c r="D151" s="431"/>
      <c r="E151" s="431"/>
      <c r="F151" s="64"/>
      <c r="G151" s="64"/>
      <c r="H151" s="64"/>
      <c r="I151" s="64"/>
      <c r="J151" s="64"/>
      <c r="K151" s="431"/>
      <c r="L151" s="431"/>
      <c r="M151" s="431"/>
      <c r="N151" s="431"/>
      <c r="O151" s="431"/>
      <c r="P151" s="431"/>
      <c r="Q151" s="12"/>
      <c r="S151" s="431"/>
    </row>
    <row r="152" spans="1:19" x14ac:dyDescent="0.2">
      <c r="A152" s="431"/>
      <c r="B152" s="64"/>
      <c r="C152" s="431"/>
      <c r="D152" s="431"/>
      <c r="E152" s="431"/>
      <c r="F152" s="64"/>
      <c r="G152" s="64"/>
      <c r="H152" s="64"/>
      <c r="I152" s="64"/>
      <c r="J152" s="64"/>
      <c r="K152" s="431"/>
      <c r="L152" s="431"/>
      <c r="M152" s="431"/>
      <c r="N152" s="431"/>
      <c r="O152" s="431"/>
      <c r="P152" s="431"/>
      <c r="Q152" s="12"/>
      <c r="S152" s="431"/>
    </row>
    <row r="153" spans="1:19" x14ac:dyDescent="0.2">
      <c r="A153" s="431"/>
      <c r="B153" s="64"/>
      <c r="C153" s="431"/>
      <c r="D153" s="431"/>
      <c r="E153" s="431"/>
      <c r="F153" s="64"/>
      <c r="G153" s="64"/>
      <c r="H153" s="64"/>
      <c r="I153" s="64"/>
      <c r="J153" s="64"/>
      <c r="K153" s="431"/>
      <c r="L153" s="431"/>
      <c r="M153" s="431"/>
      <c r="N153" s="431"/>
      <c r="O153" s="431"/>
      <c r="P153" s="431"/>
      <c r="Q153" s="12"/>
      <c r="S153" s="431"/>
    </row>
    <row r="154" spans="1:19" x14ac:dyDescent="0.2">
      <c r="A154" s="431"/>
      <c r="B154" s="64"/>
      <c r="C154" s="431"/>
      <c r="D154" s="431"/>
      <c r="E154" s="431"/>
      <c r="F154" s="64"/>
      <c r="G154" s="64"/>
      <c r="H154" s="64"/>
      <c r="I154" s="64"/>
      <c r="J154" s="64"/>
      <c r="K154" s="431"/>
      <c r="L154" s="431"/>
      <c r="M154" s="431"/>
      <c r="N154" s="431"/>
      <c r="O154" s="431"/>
      <c r="P154" s="431"/>
      <c r="Q154" s="12"/>
      <c r="S154" s="431"/>
    </row>
    <row r="155" spans="1:19" x14ac:dyDescent="0.2">
      <c r="A155" s="431"/>
      <c r="B155" s="64"/>
      <c r="C155" s="431"/>
      <c r="D155" s="431"/>
      <c r="E155" s="431"/>
      <c r="F155" s="64"/>
      <c r="G155" s="64"/>
      <c r="H155" s="64"/>
      <c r="I155" s="64"/>
      <c r="J155" s="64"/>
      <c r="K155" s="431"/>
      <c r="L155" s="431"/>
      <c r="M155" s="431"/>
      <c r="N155" s="431"/>
      <c r="O155" s="431"/>
      <c r="P155" s="431"/>
      <c r="Q155" s="12"/>
      <c r="S155" s="431"/>
    </row>
    <row r="156" spans="1:19" x14ac:dyDescent="0.2">
      <c r="A156" s="431"/>
      <c r="B156" s="64"/>
      <c r="C156" s="431"/>
      <c r="D156" s="431"/>
      <c r="E156" s="431"/>
      <c r="F156" s="64"/>
      <c r="G156" s="64"/>
      <c r="H156" s="64"/>
      <c r="I156" s="64"/>
      <c r="J156" s="64"/>
      <c r="K156" s="431"/>
      <c r="L156" s="431"/>
      <c r="M156" s="431"/>
      <c r="N156" s="431"/>
      <c r="O156" s="431"/>
      <c r="P156" s="431"/>
      <c r="Q156" s="12"/>
      <c r="S156" s="431"/>
    </row>
    <row r="157" spans="1:19" x14ac:dyDescent="0.2">
      <c r="A157" s="431"/>
      <c r="B157" s="64"/>
      <c r="C157" s="431"/>
      <c r="D157" s="431"/>
      <c r="E157" s="431"/>
      <c r="F157" s="64"/>
      <c r="G157" s="64"/>
      <c r="H157" s="64"/>
      <c r="I157" s="64"/>
      <c r="J157" s="64"/>
      <c r="K157" s="431"/>
      <c r="L157" s="431"/>
      <c r="M157" s="431"/>
      <c r="N157" s="431"/>
      <c r="O157" s="431"/>
      <c r="P157" s="431"/>
      <c r="Q157" s="12"/>
      <c r="S157" s="431"/>
    </row>
    <row r="158" spans="1:19" x14ac:dyDescent="0.2">
      <c r="A158" s="431"/>
      <c r="B158" s="64"/>
      <c r="C158" s="431"/>
      <c r="D158" s="431"/>
      <c r="E158" s="431"/>
      <c r="F158" s="64"/>
      <c r="G158" s="64"/>
      <c r="H158" s="64"/>
      <c r="I158" s="64"/>
      <c r="J158" s="64"/>
      <c r="K158" s="431"/>
      <c r="L158" s="431"/>
      <c r="M158" s="431"/>
      <c r="N158" s="431"/>
      <c r="O158" s="431"/>
      <c r="P158" s="431"/>
      <c r="Q158" s="12"/>
      <c r="S158" s="431"/>
    </row>
    <row r="159" spans="1:19" x14ac:dyDescent="0.2">
      <c r="A159" s="431"/>
      <c r="B159" s="64"/>
      <c r="C159" s="431"/>
      <c r="D159" s="431"/>
      <c r="E159" s="431"/>
      <c r="F159" s="64"/>
      <c r="G159" s="64"/>
      <c r="H159" s="64"/>
      <c r="I159" s="64"/>
      <c r="J159" s="64"/>
      <c r="K159" s="431"/>
      <c r="L159" s="431"/>
      <c r="M159" s="431"/>
      <c r="N159" s="431"/>
      <c r="O159" s="431"/>
      <c r="P159" s="431"/>
      <c r="Q159" s="12"/>
      <c r="S159" s="431"/>
    </row>
    <row r="160" spans="1:19" x14ac:dyDescent="0.2">
      <c r="A160" s="431"/>
      <c r="B160" s="64"/>
      <c r="C160" s="431"/>
      <c r="D160" s="431"/>
      <c r="E160" s="431"/>
      <c r="F160" s="64"/>
      <c r="G160" s="64"/>
      <c r="H160" s="64"/>
      <c r="I160" s="64"/>
      <c r="J160" s="64"/>
      <c r="K160" s="431"/>
      <c r="L160" s="431"/>
      <c r="M160" s="431"/>
      <c r="N160" s="431"/>
      <c r="O160" s="431"/>
      <c r="P160" s="431"/>
      <c r="Q160" s="12"/>
      <c r="S160" s="431"/>
    </row>
    <row r="161" spans="1:19" x14ac:dyDescent="0.2">
      <c r="A161" s="431"/>
      <c r="B161" s="64"/>
      <c r="C161" s="431"/>
      <c r="D161" s="431"/>
      <c r="E161" s="431"/>
      <c r="F161" s="64"/>
      <c r="G161" s="64"/>
      <c r="H161" s="64"/>
      <c r="I161" s="64"/>
      <c r="J161" s="64"/>
      <c r="K161" s="431"/>
      <c r="L161" s="431"/>
      <c r="M161" s="431"/>
      <c r="N161" s="431"/>
      <c r="O161" s="431"/>
      <c r="P161" s="431"/>
      <c r="Q161" s="12"/>
      <c r="S161" s="431"/>
    </row>
    <row r="162" spans="1:19" x14ac:dyDescent="0.2">
      <c r="A162" s="431"/>
      <c r="B162" s="64"/>
      <c r="C162" s="431"/>
      <c r="D162" s="431"/>
      <c r="E162" s="431"/>
      <c r="F162" s="64"/>
      <c r="G162" s="64"/>
      <c r="H162" s="64"/>
      <c r="I162" s="64"/>
      <c r="J162" s="64"/>
      <c r="K162" s="431"/>
      <c r="L162" s="431"/>
      <c r="M162" s="431"/>
      <c r="N162" s="431"/>
      <c r="O162" s="431"/>
      <c r="P162" s="431"/>
      <c r="Q162" s="12"/>
      <c r="S162" s="431"/>
    </row>
    <row r="163" spans="1:19" x14ac:dyDescent="0.2">
      <c r="A163" s="431"/>
      <c r="B163" s="64"/>
      <c r="C163" s="431"/>
      <c r="D163" s="431"/>
      <c r="E163" s="431"/>
      <c r="F163" s="64"/>
      <c r="G163" s="64"/>
      <c r="H163" s="64"/>
      <c r="I163" s="64"/>
      <c r="J163" s="64"/>
      <c r="K163" s="431"/>
      <c r="L163" s="431"/>
      <c r="M163" s="431"/>
      <c r="N163" s="431"/>
      <c r="O163" s="431"/>
      <c r="P163" s="431"/>
      <c r="Q163" s="12"/>
      <c r="S163" s="431"/>
    </row>
    <row r="164" spans="1:19" x14ac:dyDescent="0.2">
      <c r="A164" s="431"/>
      <c r="B164" s="64"/>
      <c r="C164" s="431"/>
      <c r="D164" s="431"/>
      <c r="E164" s="431"/>
      <c r="F164" s="64"/>
      <c r="G164" s="64"/>
      <c r="H164" s="64"/>
      <c r="I164" s="64"/>
      <c r="J164" s="64"/>
      <c r="K164" s="431"/>
      <c r="L164" s="431"/>
      <c r="M164" s="431"/>
      <c r="N164" s="431"/>
      <c r="O164" s="431"/>
      <c r="P164" s="431"/>
      <c r="Q164" s="12"/>
      <c r="S164" s="431"/>
    </row>
    <row r="165" spans="1:19" x14ac:dyDescent="0.2">
      <c r="A165" s="431"/>
      <c r="B165" s="64"/>
      <c r="C165" s="431"/>
      <c r="D165" s="431"/>
      <c r="E165" s="431"/>
      <c r="F165" s="64"/>
      <c r="G165" s="64"/>
      <c r="H165" s="64"/>
      <c r="I165" s="64"/>
      <c r="J165" s="64"/>
      <c r="K165" s="431"/>
      <c r="L165" s="431"/>
      <c r="M165" s="431"/>
      <c r="N165" s="431"/>
      <c r="O165" s="431"/>
      <c r="P165" s="431"/>
      <c r="Q165" s="12"/>
      <c r="S165" s="431"/>
    </row>
    <row r="166" spans="1:19" x14ac:dyDescent="0.2">
      <c r="A166" s="431"/>
      <c r="B166" s="64"/>
      <c r="C166" s="431"/>
      <c r="D166" s="431"/>
      <c r="E166" s="431"/>
      <c r="F166" s="64"/>
      <c r="G166" s="64"/>
      <c r="H166" s="64"/>
      <c r="I166" s="64"/>
      <c r="J166" s="64"/>
      <c r="K166" s="431"/>
      <c r="L166" s="431"/>
      <c r="M166" s="431"/>
      <c r="N166" s="431"/>
      <c r="O166" s="431"/>
      <c r="P166" s="431"/>
      <c r="Q166" s="12"/>
      <c r="S166" s="431"/>
    </row>
    <row r="167" spans="1:19" x14ac:dyDescent="0.2">
      <c r="A167" s="431"/>
      <c r="B167" s="64"/>
      <c r="C167" s="431"/>
      <c r="D167" s="431"/>
      <c r="E167" s="431"/>
      <c r="F167" s="64"/>
      <c r="G167" s="64"/>
      <c r="H167" s="64"/>
      <c r="I167" s="64"/>
      <c r="J167" s="64"/>
      <c r="K167" s="431"/>
      <c r="L167" s="431"/>
      <c r="M167" s="431"/>
      <c r="N167" s="431"/>
      <c r="O167" s="431"/>
      <c r="P167" s="431"/>
      <c r="Q167" s="12"/>
      <c r="S167" s="431"/>
    </row>
    <row r="168" spans="1:19" x14ac:dyDescent="0.2">
      <c r="A168" s="431"/>
      <c r="B168" s="64"/>
      <c r="C168" s="431"/>
      <c r="D168" s="431"/>
      <c r="E168" s="431"/>
      <c r="F168" s="64"/>
      <c r="G168" s="64"/>
      <c r="H168" s="64"/>
      <c r="I168" s="64"/>
      <c r="J168" s="64"/>
      <c r="K168" s="431"/>
      <c r="L168" s="431"/>
      <c r="M168" s="431"/>
      <c r="N168" s="431"/>
      <c r="O168" s="431"/>
      <c r="P168" s="431"/>
      <c r="Q168" s="12"/>
      <c r="S168" s="431"/>
    </row>
    <row r="169" spans="1:19" x14ac:dyDescent="0.2">
      <c r="A169" s="431"/>
      <c r="B169" s="64"/>
      <c r="C169" s="431"/>
      <c r="D169" s="431"/>
      <c r="E169" s="431"/>
      <c r="F169" s="64"/>
      <c r="G169" s="64"/>
      <c r="H169" s="64"/>
      <c r="I169" s="64"/>
      <c r="J169" s="64"/>
      <c r="K169" s="431"/>
      <c r="L169" s="431"/>
      <c r="M169" s="431"/>
      <c r="N169" s="431"/>
      <c r="O169" s="431"/>
      <c r="P169" s="431"/>
      <c r="Q169" s="12"/>
      <c r="S169" s="431"/>
    </row>
    <row r="170" spans="1:19" x14ac:dyDescent="0.2">
      <c r="A170" s="431"/>
      <c r="B170" s="64"/>
      <c r="C170" s="431"/>
      <c r="D170" s="431"/>
      <c r="E170" s="431"/>
      <c r="F170" s="64"/>
      <c r="G170" s="64"/>
      <c r="H170" s="64"/>
      <c r="I170" s="64"/>
      <c r="J170" s="64"/>
      <c r="K170" s="431"/>
      <c r="L170" s="431"/>
      <c r="M170" s="431"/>
      <c r="N170" s="431"/>
      <c r="O170" s="431"/>
      <c r="P170" s="431"/>
      <c r="Q170" s="12"/>
      <c r="S170" s="431"/>
    </row>
    <row r="171" spans="1:19" x14ac:dyDescent="0.2">
      <c r="A171" s="431"/>
      <c r="B171" s="64"/>
      <c r="C171" s="431"/>
      <c r="D171" s="431"/>
      <c r="E171" s="431"/>
      <c r="F171" s="64"/>
      <c r="G171" s="64"/>
      <c r="H171" s="64"/>
      <c r="I171" s="64"/>
      <c r="J171" s="64"/>
      <c r="K171" s="431"/>
      <c r="L171" s="431"/>
      <c r="M171" s="431"/>
      <c r="N171" s="431"/>
      <c r="O171" s="431"/>
      <c r="P171" s="431"/>
      <c r="Q171" s="12"/>
      <c r="S171" s="431"/>
    </row>
    <row r="172" spans="1:19" x14ac:dyDescent="0.2">
      <c r="A172" s="431"/>
      <c r="B172" s="64"/>
      <c r="C172" s="431"/>
      <c r="D172" s="431"/>
      <c r="E172" s="431"/>
      <c r="F172" s="64"/>
      <c r="G172" s="64"/>
      <c r="H172" s="64"/>
      <c r="I172" s="64"/>
      <c r="J172" s="64"/>
      <c r="K172" s="431"/>
      <c r="L172" s="431"/>
      <c r="M172" s="431"/>
      <c r="N172" s="431"/>
      <c r="O172" s="431"/>
      <c r="P172" s="431"/>
      <c r="Q172" s="12"/>
      <c r="S172" s="431"/>
    </row>
    <row r="173" spans="1:19" x14ac:dyDescent="0.2">
      <c r="A173" s="431"/>
      <c r="B173" s="64"/>
      <c r="C173" s="431"/>
      <c r="D173" s="431"/>
      <c r="E173" s="431"/>
      <c r="F173" s="64"/>
      <c r="G173" s="64"/>
      <c r="H173" s="64"/>
      <c r="I173" s="64"/>
      <c r="J173" s="64"/>
      <c r="K173" s="431"/>
      <c r="L173" s="431"/>
      <c r="M173" s="431"/>
      <c r="N173" s="431"/>
      <c r="O173" s="431"/>
      <c r="P173" s="431"/>
      <c r="Q173" s="12"/>
      <c r="S173" s="431"/>
    </row>
    <row r="174" spans="1:19" x14ac:dyDescent="0.2">
      <c r="A174" s="431"/>
      <c r="B174" s="64"/>
      <c r="C174" s="431"/>
      <c r="D174" s="431"/>
      <c r="E174" s="431"/>
      <c r="F174" s="64"/>
      <c r="G174" s="64"/>
      <c r="H174" s="64"/>
      <c r="I174" s="64"/>
      <c r="J174" s="64"/>
      <c r="K174" s="431"/>
      <c r="L174" s="431"/>
      <c r="M174" s="431"/>
      <c r="N174" s="431"/>
      <c r="O174" s="431"/>
      <c r="P174" s="431"/>
      <c r="Q174" s="12"/>
      <c r="S174" s="431"/>
    </row>
    <row r="175" spans="1:19" x14ac:dyDescent="0.2">
      <c r="A175" s="431"/>
      <c r="B175" s="64"/>
      <c r="C175" s="431"/>
      <c r="D175" s="431"/>
      <c r="E175" s="431"/>
      <c r="F175" s="64"/>
      <c r="G175" s="64"/>
      <c r="H175" s="64"/>
      <c r="I175" s="64"/>
      <c r="J175" s="64"/>
      <c r="K175" s="431"/>
      <c r="L175" s="431"/>
      <c r="M175" s="431"/>
      <c r="N175" s="431"/>
      <c r="O175" s="431"/>
      <c r="P175" s="431"/>
      <c r="Q175" s="12"/>
      <c r="S175" s="431"/>
    </row>
    <row r="176" spans="1:19" x14ac:dyDescent="0.2">
      <c r="A176" s="431"/>
      <c r="B176" s="64"/>
      <c r="C176" s="431"/>
      <c r="D176" s="431"/>
      <c r="E176" s="431"/>
      <c r="F176" s="64"/>
      <c r="G176" s="64"/>
      <c r="H176" s="64"/>
      <c r="I176" s="64"/>
      <c r="J176" s="64"/>
      <c r="K176" s="431"/>
      <c r="L176" s="431"/>
      <c r="M176" s="431"/>
      <c r="N176" s="431"/>
      <c r="O176" s="431"/>
      <c r="P176" s="431"/>
      <c r="Q176" s="12"/>
      <c r="S176" s="431"/>
    </row>
    <row r="177" spans="1:19" x14ac:dyDescent="0.2">
      <c r="A177" s="431"/>
      <c r="B177" s="64"/>
      <c r="C177" s="431"/>
      <c r="D177" s="431"/>
      <c r="E177" s="431"/>
      <c r="F177" s="64"/>
      <c r="G177" s="64"/>
      <c r="H177" s="64"/>
      <c r="I177" s="64"/>
      <c r="J177" s="64"/>
      <c r="K177" s="431"/>
      <c r="L177" s="431"/>
      <c r="M177" s="431"/>
      <c r="N177" s="431"/>
      <c r="O177" s="431"/>
      <c r="P177" s="431"/>
      <c r="Q177" s="12"/>
      <c r="S177" s="431"/>
    </row>
    <row r="178" spans="1:19" x14ac:dyDescent="0.2">
      <c r="A178" s="431"/>
      <c r="B178" s="64"/>
      <c r="C178" s="431"/>
      <c r="D178" s="431"/>
      <c r="E178" s="431"/>
      <c r="F178" s="64"/>
      <c r="G178" s="64"/>
      <c r="H178" s="64"/>
      <c r="I178" s="64"/>
      <c r="J178" s="64"/>
      <c r="K178" s="431"/>
      <c r="L178" s="431"/>
      <c r="M178" s="431"/>
      <c r="N178" s="431"/>
      <c r="O178" s="431"/>
      <c r="P178" s="431"/>
      <c r="Q178" s="12"/>
      <c r="S178" s="431"/>
    </row>
    <row r="179" spans="1:19" x14ac:dyDescent="0.2">
      <c r="A179" s="431"/>
      <c r="B179" s="64"/>
      <c r="C179" s="431"/>
      <c r="D179" s="431"/>
      <c r="E179" s="431"/>
      <c r="F179" s="64"/>
      <c r="G179" s="64"/>
      <c r="H179" s="64"/>
      <c r="I179" s="64"/>
      <c r="J179" s="64"/>
      <c r="K179" s="431"/>
      <c r="L179" s="431"/>
      <c r="M179" s="431"/>
      <c r="N179" s="431"/>
      <c r="O179" s="431"/>
      <c r="P179" s="431"/>
      <c r="Q179" s="12"/>
      <c r="S179" s="431"/>
    </row>
  </sheetData>
  <dataConsolidate/>
  <mergeCells count="32">
    <mergeCell ref="U67:Z67"/>
    <mergeCell ref="U47:Z47"/>
    <mergeCell ref="A49:A50"/>
    <mergeCell ref="AF49:AG49"/>
    <mergeCell ref="A51:A52"/>
    <mergeCell ref="A53:A54"/>
    <mergeCell ref="A55:A56"/>
    <mergeCell ref="AC60:AH60"/>
    <mergeCell ref="A41:A43"/>
    <mergeCell ref="A45:A48"/>
    <mergeCell ref="A36:A37"/>
    <mergeCell ref="A39:A40"/>
    <mergeCell ref="U31:W31"/>
    <mergeCell ref="A33:A35"/>
    <mergeCell ref="A21:A24"/>
    <mergeCell ref="R21:S24"/>
    <mergeCell ref="R25:S25"/>
    <mergeCell ref="A26:A27"/>
    <mergeCell ref="A28:A32"/>
    <mergeCell ref="A6:A8"/>
    <mergeCell ref="R6:S8"/>
    <mergeCell ref="A9:A13"/>
    <mergeCell ref="R9:S13"/>
    <mergeCell ref="A15:A20"/>
    <mergeCell ref="R15:S20"/>
    <mergeCell ref="U1:W1"/>
    <mergeCell ref="R3:S3"/>
    <mergeCell ref="A4:A5"/>
    <mergeCell ref="R4:S4"/>
    <mergeCell ref="C1:K1"/>
    <mergeCell ref="L1:P1"/>
    <mergeCell ref="Q1:S1"/>
  </mergeCells>
  <conditionalFormatting sqref="P3:P56">
    <cfRule type="cellIs" dxfId="104" priority="10" operator="lessThan">
      <formula>0</formula>
    </cfRule>
  </conditionalFormatting>
  <conditionalFormatting sqref="V49:AA60">
    <cfRule type="cellIs" dxfId="103" priority="9" operator="greaterThan">
      <formula>0</formula>
    </cfRule>
  </conditionalFormatting>
  <conditionalFormatting sqref="V69:V80">
    <cfRule type="cellIs" dxfId="102" priority="3" operator="greaterThan">
      <formula>0</formula>
    </cfRule>
  </conditionalFormatting>
  <conditionalFormatting sqref="N3:N56">
    <cfRule type="expression" dxfId="101" priority="7">
      <formula>N3&lt;E3</formula>
    </cfRule>
  </conditionalFormatting>
  <conditionalFormatting sqref="AJ72:AJ83">
    <cfRule type="cellIs" dxfId="100" priority="6" operator="greaterThan">
      <formula>0</formula>
    </cfRule>
  </conditionalFormatting>
  <conditionalFormatting sqref="AA69:AA80">
    <cfRule type="cellIs" dxfId="99" priority="5" operator="greaterThan">
      <formula>0</formula>
    </cfRule>
  </conditionalFormatting>
  <conditionalFormatting sqref="W69:Z80">
    <cfRule type="cellIs" dxfId="98" priority="4" operator="greaterThan">
      <formula>0</formula>
    </cfRule>
  </conditionalFormatting>
  <conditionalFormatting sqref="AE77:AI81">
    <cfRule type="cellIs" dxfId="96" priority="2" operator="greaterThan">
      <formula>0</formula>
    </cfRule>
  </conditionalFormatting>
  <conditionalFormatting sqref="AD62:AI73">
    <cfRule type="cellIs" dxfId="95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9"/>
  <sheetViews>
    <sheetView topLeftCell="W42" zoomScaleNormal="100" workbookViewId="0">
      <selection activeCell="AF47" sqref="AF47:AL81"/>
    </sheetView>
  </sheetViews>
  <sheetFormatPr defaultColWidth="9" defaultRowHeight="12.75" x14ac:dyDescent="0.2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20.140625" style="59" customWidth="1"/>
    <col min="6" max="6" width="20.7109375" style="61" customWidth="1"/>
    <col min="7" max="7" width="18.42578125" style="61" customWidth="1"/>
    <col min="8" max="8" width="28.42578125" style="61" customWidth="1"/>
    <col min="9" max="9" width="21.5703125" style="59" customWidth="1"/>
    <col min="10" max="10" width="16.7109375" style="62" customWidth="1"/>
    <col min="11" max="11" width="16.140625" style="59" customWidth="1"/>
    <col min="12" max="12" width="28.85546875" style="59" customWidth="1"/>
    <col min="13" max="16" width="17.7109375" style="59" customWidth="1"/>
    <col min="17" max="18" width="20" style="59" customWidth="1"/>
    <col min="19" max="19" width="23.28515625" style="59" customWidth="1"/>
    <col min="20" max="20" width="17.5703125" style="62" customWidth="1"/>
    <col min="21" max="21" width="26.5703125" style="10" customWidth="1"/>
    <col min="22" max="22" width="35.140625" style="59" customWidth="1"/>
    <col min="23" max="23" width="23" style="58" customWidth="1"/>
    <col min="24" max="24" width="22.85546875" style="5" customWidth="1"/>
    <col min="25" max="25" width="23.7109375" style="5" customWidth="1"/>
    <col min="26" max="26" width="21.5703125" style="5" customWidth="1"/>
    <col min="27" max="38" width="9" style="5"/>
    <col min="39" max="39" width="17.85546875" style="5" customWidth="1"/>
    <col min="40" max="41" width="9" style="5"/>
    <col min="42" max="42" width="15.5703125" style="5" customWidth="1"/>
    <col min="43" max="16384" width="9" style="5"/>
  </cols>
  <sheetData>
    <row r="1" spans="1:22" ht="14.25" customHeight="1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8"/>
      <c r="J1" s="468"/>
      <c r="K1" s="469"/>
      <c r="L1" s="465" t="s">
        <v>451</v>
      </c>
      <c r="M1" s="466"/>
      <c r="N1" s="466"/>
      <c r="O1" s="466"/>
      <c r="P1" s="466"/>
      <c r="Q1" s="466"/>
      <c r="R1" s="466"/>
      <c r="S1" s="466"/>
      <c r="T1" s="520"/>
      <c r="U1" s="7"/>
      <c r="V1" s="7"/>
    </row>
    <row r="2" spans="1:22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90" t="s">
        <v>491</v>
      </c>
      <c r="F2" s="190" t="s">
        <v>447</v>
      </c>
      <c r="G2" s="190" t="s">
        <v>459</v>
      </c>
      <c r="H2" s="190" t="s">
        <v>460</v>
      </c>
      <c r="I2" s="190" t="s">
        <v>492</v>
      </c>
      <c r="J2" s="190" t="s">
        <v>33</v>
      </c>
      <c r="K2" s="189" t="s">
        <v>444</v>
      </c>
      <c r="L2" s="188" t="s">
        <v>446</v>
      </c>
      <c r="M2" s="188" t="s">
        <v>34</v>
      </c>
      <c r="N2" s="188" t="s">
        <v>41</v>
      </c>
      <c r="O2" s="187" t="s">
        <v>445</v>
      </c>
      <c r="P2" s="186" t="s">
        <v>459</v>
      </c>
      <c r="Q2" s="276" t="s">
        <v>461</v>
      </c>
      <c r="R2" s="186" t="s">
        <v>33</v>
      </c>
      <c r="S2" s="188" t="s">
        <v>444</v>
      </c>
      <c r="T2" s="241" t="s">
        <v>457</v>
      </c>
      <c r="U2" s="11"/>
      <c r="V2" s="20"/>
    </row>
    <row r="3" spans="1:22" ht="13.5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85">
        <f>IF(D3&lt;135,300, IF(AND(D3&gt;135,D3&lt;288),250, IF(AND(D3&gt;288,D3&lt;537),200,IF(AND(D3&gt;537,D3&lt;1096),150,100))))</f>
        <v>200</v>
      </c>
      <c r="F3" s="179">
        <v>131.95400000000001</v>
      </c>
      <c r="G3" s="85">
        <v>2</v>
      </c>
      <c r="H3" s="85">
        <f>G3*F3</f>
        <v>263.90800000000002</v>
      </c>
      <c r="I3" s="84">
        <f>CEILING(H3/(0.84*E3),1)</f>
        <v>2</v>
      </c>
      <c r="J3" s="307">
        <f t="shared" ref="J3:J13" si="0">E3*I3</f>
        <v>400</v>
      </c>
      <c r="K3" s="84">
        <f t="shared" ref="K3:K34" si="1">J3-H3</f>
        <v>136.09199999999998</v>
      </c>
      <c r="L3" s="177" t="s">
        <v>435</v>
      </c>
      <c r="M3" s="177">
        <v>598.85</v>
      </c>
      <c r="N3" s="177">
        <f>IF(M3&lt;135,300, IF(AND(M3&gt;135,M3&lt;288),250, IF(AND(M3&gt;288,M3&lt;537),200,IF(AND(M3&gt;537,M3&lt;1096),150,100))))</f>
        <v>150</v>
      </c>
      <c r="O3" s="176">
        <f>F3</f>
        <v>131.95400000000001</v>
      </c>
      <c r="P3" s="101">
        <v>2</v>
      </c>
      <c r="Q3" s="82">
        <f>O3*P3</f>
        <v>263.90800000000002</v>
      </c>
      <c r="R3" s="177">
        <f t="shared" ref="R3:R13" si="2">N3*I3</f>
        <v>300</v>
      </c>
      <c r="S3" s="248">
        <f t="shared" ref="S3:S13" si="3">R3-Q3</f>
        <v>36.091999999999985</v>
      </c>
      <c r="T3" s="232" t="str">
        <f t="shared" ref="T3:T13" si="4">IF(S3&gt;=0,"No","Yes")</f>
        <v>No</v>
      </c>
      <c r="U3" s="239" t="s">
        <v>440</v>
      </c>
      <c r="V3" s="16" t="s">
        <v>456</v>
      </c>
    </row>
    <row r="4" spans="1:22" ht="13.5" thickBot="1" x14ac:dyDescent="0.25">
      <c r="A4" s="480" t="s">
        <v>44</v>
      </c>
      <c r="B4" s="174" t="s">
        <v>3</v>
      </c>
      <c r="C4" s="173" t="s">
        <v>44</v>
      </c>
      <c r="D4" s="172">
        <v>424.31</v>
      </c>
      <c r="E4" s="269">
        <f t="shared" ref="E4:E56" si="5">IF(D4&lt;135,300, IF(AND(D4&gt;135,D4&lt;288),250, IF(AND(D4&gt;288,D4&lt;537),200,IF(AND(D4&gt;537,D4&lt;1096),150,100))))</f>
        <v>200</v>
      </c>
      <c r="F4" s="172">
        <v>79.758499999999998</v>
      </c>
      <c r="G4" s="269">
        <v>2</v>
      </c>
      <c r="H4" s="85">
        <f t="shared" ref="H4:H56" si="6">G4*F4</f>
        <v>159.517</v>
      </c>
      <c r="I4" s="84">
        <f t="shared" ref="I4:I56" si="7">CEILING(H4/(0.84*E4),1)</f>
        <v>1</v>
      </c>
      <c r="J4" s="308">
        <f t="shared" si="0"/>
        <v>200</v>
      </c>
      <c r="K4" s="84">
        <f t="shared" si="1"/>
        <v>40.483000000000004</v>
      </c>
      <c r="L4" s="168" t="s">
        <v>434</v>
      </c>
      <c r="M4" s="170">
        <v>561.44000000000005</v>
      </c>
      <c r="N4" s="177">
        <f t="shared" ref="N4:N56" si="8">IF(M4&lt;135,300, IF(AND(M4&gt;135,M4&lt;288),250, IF(AND(M4&gt;288,M4&lt;537),200,IF(AND(M4&gt;537,M4&lt;1096),150,100))))</f>
        <v>150</v>
      </c>
      <c r="O4" s="176">
        <f t="shared" ref="O4:O13" si="9">F4</f>
        <v>79.758499999999998</v>
      </c>
      <c r="P4" s="273">
        <v>2</v>
      </c>
      <c r="Q4" s="277">
        <f t="shared" ref="Q4:Q56" si="10">O4*P4</f>
        <v>159.517</v>
      </c>
      <c r="R4" s="177">
        <f t="shared" si="2"/>
        <v>150</v>
      </c>
      <c r="S4" s="248">
        <f t="shared" si="3"/>
        <v>-9.5169999999999959</v>
      </c>
      <c r="T4" s="232" t="str">
        <f t="shared" si="4"/>
        <v>Yes</v>
      </c>
      <c r="U4" s="418" t="s">
        <v>351</v>
      </c>
      <c r="V4" s="408" t="s">
        <v>351</v>
      </c>
    </row>
    <row r="5" spans="1:22" ht="14.25" customHeight="1" thickBot="1" x14ac:dyDescent="0.25">
      <c r="A5" s="464"/>
      <c r="B5" s="63" t="s">
        <v>25</v>
      </c>
      <c r="C5" s="116" t="s">
        <v>65</v>
      </c>
      <c r="D5" s="95">
        <v>645.40499999999997</v>
      </c>
      <c r="E5" s="271">
        <f t="shared" si="5"/>
        <v>150</v>
      </c>
      <c r="F5" s="95">
        <v>101.52370000000001</v>
      </c>
      <c r="G5" s="271">
        <v>2</v>
      </c>
      <c r="H5" s="95">
        <f t="shared" si="6"/>
        <v>203.04740000000001</v>
      </c>
      <c r="I5" s="84">
        <f t="shared" si="7"/>
        <v>2</v>
      </c>
      <c r="J5" s="312">
        <f t="shared" si="0"/>
        <v>300</v>
      </c>
      <c r="K5" s="84">
        <f t="shared" si="1"/>
        <v>96.95259999999999</v>
      </c>
      <c r="L5" s="91" t="s">
        <v>429</v>
      </c>
      <c r="M5" s="93">
        <v>691.82</v>
      </c>
      <c r="N5" s="177">
        <f t="shared" si="8"/>
        <v>150</v>
      </c>
      <c r="O5" s="176">
        <f t="shared" si="9"/>
        <v>101.52370000000001</v>
      </c>
      <c r="P5" s="274">
        <v>2</v>
      </c>
      <c r="Q5" s="278">
        <f t="shared" si="10"/>
        <v>203.04740000000001</v>
      </c>
      <c r="R5" s="177">
        <f t="shared" si="2"/>
        <v>300</v>
      </c>
      <c r="S5" s="248">
        <f t="shared" si="3"/>
        <v>96.95259999999999</v>
      </c>
      <c r="T5" s="232" t="str">
        <f t="shared" si="4"/>
        <v>No</v>
      </c>
      <c r="U5" s="419"/>
      <c r="V5" s="409"/>
    </row>
    <row r="6" spans="1:22" ht="13.5" thickBot="1" x14ac:dyDescent="0.25">
      <c r="A6" s="462" t="s">
        <v>433</v>
      </c>
      <c r="B6" s="87" t="s">
        <v>432</v>
      </c>
      <c r="C6" s="86" t="s">
        <v>392</v>
      </c>
      <c r="D6" s="85">
        <v>774.56</v>
      </c>
      <c r="E6" s="269">
        <f t="shared" si="5"/>
        <v>150</v>
      </c>
      <c r="F6" s="85">
        <v>593.39</v>
      </c>
      <c r="G6" s="269">
        <v>2</v>
      </c>
      <c r="H6" s="85">
        <f t="shared" si="6"/>
        <v>1186.78</v>
      </c>
      <c r="I6" s="84">
        <f t="shared" si="7"/>
        <v>10</v>
      </c>
      <c r="J6" s="308">
        <f t="shared" si="0"/>
        <v>1500</v>
      </c>
      <c r="K6" s="84">
        <f t="shared" si="1"/>
        <v>313.22000000000003</v>
      </c>
      <c r="L6" s="101" t="s">
        <v>431</v>
      </c>
      <c r="M6" s="83">
        <v>778.62</v>
      </c>
      <c r="N6" s="177">
        <f t="shared" si="8"/>
        <v>150</v>
      </c>
      <c r="O6" s="176">
        <f t="shared" si="9"/>
        <v>593.39</v>
      </c>
      <c r="P6" s="273">
        <v>2</v>
      </c>
      <c r="Q6" s="277">
        <f t="shared" si="10"/>
        <v>1186.78</v>
      </c>
      <c r="R6" s="177">
        <f t="shared" si="2"/>
        <v>1500</v>
      </c>
      <c r="S6" s="248">
        <f t="shared" si="3"/>
        <v>313.22000000000003</v>
      </c>
      <c r="T6" s="232" t="str">
        <f t="shared" si="4"/>
        <v>No</v>
      </c>
      <c r="U6" s="238"/>
      <c r="V6" s="212"/>
    </row>
    <row r="7" spans="1:22" ht="14.25" customHeight="1" thickBot="1" x14ac:dyDescent="0.25">
      <c r="A7" s="464"/>
      <c r="B7" s="97" t="s">
        <v>4</v>
      </c>
      <c r="C7" s="96" t="s">
        <v>45</v>
      </c>
      <c r="D7" s="110">
        <v>221.095</v>
      </c>
      <c r="E7" s="271">
        <f t="shared" si="5"/>
        <v>250</v>
      </c>
      <c r="F7" s="110">
        <v>165.54</v>
      </c>
      <c r="G7" s="271">
        <v>2</v>
      </c>
      <c r="H7" s="95">
        <f t="shared" si="6"/>
        <v>331.08</v>
      </c>
      <c r="I7" s="84">
        <f t="shared" si="7"/>
        <v>2</v>
      </c>
      <c r="J7" s="312">
        <f t="shared" si="0"/>
        <v>500</v>
      </c>
      <c r="K7" s="84">
        <f t="shared" si="1"/>
        <v>168.92000000000002</v>
      </c>
      <c r="L7" s="102" t="s">
        <v>430</v>
      </c>
      <c r="M7" s="108">
        <v>904.18</v>
      </c>
      <c r="N7" s="177">
        <f t="shared" si="8"/>
        <v>150</v>
      </c>
      <c r="O7" s="176">
        <f t="shared" si="9"/>
        <v>165.54</v>
      </c>
      <c r="P7" s="274">
        <v>2</v>
      </c>
      <c r="Q7" s="278">
        <f t="shared" si="10"/>
        <v>331.08</v>
      </c>
      <c r="R7" s="177">
        <f t="shared" si="2"/>
        <v>300</v>
      </c>
      <c r="S7" s="248">
        <f t="shared" si="3"/>
        <v>-31.079999999999984</v>
      </c>
      <c r="T7" s="232" t="str">
        <f t="shared" si="4"/>
        <v>Yes</v>
      </c>
      <c r="U7" s="236" t="s">
        <v>351</v>
      </c>
      <c r="V7" s="234" t="s">
        <v>351</v>
      </c>
    </row>
    <row r="8" spans="1:22" ht="14.25" customHeight="1" thickBot="1" x14ac:dyDescent="0.25">
      <c r="A8" s="464"/>
      <c r="B8" s="97" t="s">
        <v>25</v>
      </c>
      <c r="C8" s="96" t="s">
        <v>65</v>
      </c>
      <c r="D8" s="95">
        <v>645.40499999999997</v>
      </c>
      <c r="E8" s="271">
        <f t="shared" si="5"/>
        <v>150</v>
      </c>
      <c r="F8" s="95">
        <v>101.52370000000001</v>
      </c>
      <c r="G8" s="271">
        <v>2</v>
      </c>
      <c r="H8" s="95">
        <f t="shared" si="6"/>
        <v>203.04740000000001</v>
      </c>
      <c r="I8" s="84">
        <f t="shared" si="7"/>
        <v>2</v>
      </c>
      <c r="J8" s="312">
        <f t="shared" si="0"/>
        <v>300</v>
      </c>
      <c r="K8" s="84">
        <f t="shared" si="1"/>
        <v>96.95259999999999</v>
      </c>
      <c r="L8" s="91" t="s">
        <v>429</v>
      </c>
      <c r="M8" s="93">
        <v>691.82</v>
      </c>
      <c r="N8" s="177">
        <f t="shared" si="8"/>
        <v>150</v>
      </c>
      <c r="O8" s="176">
        <f t="shared" si="9"/>
        <v>101.52370000000001</v>
      </c>
      <c r="P8" s="274">
        <v>2</v>
      </c>
      <c r="Q8" s="278">
        <f t="shared" si="10"/>
        <v>203.04740000000001</v>
      </c>
      <c r="R8" s="177">
        <f t="shared" si="2"/>
        <v>300</v>
      </c>
      <c r="S8" s="248">
        <f t="shared" si="3"/>
        <v>96.95259999999999</v>
      </c>
      <c r="T8" s="232" t="str">
        <f t="shared" si="4"/>
        <v>No</v>
      </c>
      <c r="U8" s="235"/>
      <c r="V8" s="234"/>
    </row>
    <row r="9" spans="1:22" ht="13.5" thickBot="1" x14ac:dyDescent="0.25">
      <c r="A9" s="462" t="s">
        <v>46</v>
      </c>
      <c r="B9" s="87" t="s">
        <v>5</v>
      </c>
      <c r="C9" s="86" t="s">
        <v>46</v>
      </c>
      <c r="D9" s="85">
        <v>87.444999999999993</v>
      </c>
      <c r="E9" s="269">
        <f t="shared" si="5"/>
        <v>300</v>
      </c>
      <c r="F9" s="85">
        <v>330.03719999999998</v>
      </c>
      <c r="G9" s="269">
        <v>2</v>
      </c>
      <c r="H9" s="85">
        <f t="shared" si="6"/>
        <v>660.07439999999997</v>
      </c>
      <c r="I9" s="84">
        <f t="shared" si="7"/>
        <v>3</v>
      </c>
      <c r="J9" s="308">
        <f t="shared" si="0"/>
        <v>900</v>
      </c>
      <c r="K9" s="84">
        <f t="shared" si="1"/>
        <v>239.92560000000003</v>
      </c>
      <c r="L9" s="101" t="s">
        <v>428</v>
      </c>
      <c r="M9" s="83">
        <v>243.73500000000001</v>
      </c>
      <c r="N9" s="177">
        <f t="shared" si="8"/>
        <v>250</v>
      </c>
      <c r="O9" s="176">
        <f t="shared" si="9"/>
        <v>330.03719999999998</v>
      </c>
      <c r="P9" s="273">
        <v>2</v>
      </c>
      <c r="Q9" s="277">
        <f t="shared" si="10"/>
        <v>660.07439999999997</v>
      </c>
      <c r="R9" s="177">
        <f t="shared" si="2"/>
        <v>750</v>
      </c>
      <c r="S9" s="248">
        <f t="shared" si="3"/>
        <v>89.925600000000031</v>
      </c>
      <c r="T9" s="232" t="str">
        <f t="shared" si="4"/>
        <v>No</v>
      </c>
      <c r="U9" s="207"/>
      <c r="V9" s="106"/>
    </row>
    <row r="10" spans="1:22" ht="14.25" customHeight="1" thickBot="1" x14ac:dyDescent="0.25">
      <c r="A10" s="464"/>
      <c r="B10" s="97" t="s">
        <v>7</v>
      </c>
      <c r="C10" s="96" t="s">
        <v>48</v>
      </c>
      <c r="D10" s="110">
        <v>457.755</v>
      </c>
      <c r="E10" s="271">
        <f t="shared" si="5"/>
        <v>200</v>
      </c>
      <c r="F10" s="110">
        <v>200.11</v>
      </c>
      <c r="G10" s="271">
        <v>2</v>
      </c>
      <c r="H10" s="95">
        <f t="shared" si="6"/>
        <v>400.22</v>
      </c>
      <c r="I10" s="84">
        <f t="shared" si="7"/>
        <v>3</v>
      </c>
      <c r="J10" s="312">
        <f t="shared" si="0"/>
        <v>600</v>
      </c>
      <c r="K10" s="84">
        <f t="shared" si="1"/>
        <v>199.77999999999997</v>
      </c>
      <c r="L10" s="102" t="s">
        <v>427</v>
      </c>
      <c r="M10" s="108">
        <v>614.06500000000005</v>
      </c>
      <c r="N10" s="177">
        <f t="shared" si="8"/>
        <v>150</v>
      </c>
      <c r="O10" s="176">
        <f t="shared" si="9"/>
        <v>200.11</v>
      </c>
      <c r="P10" s="274">
        <v>2</v>
      </c>
      <c r="Q10" s="278">
        <f t="shared" si="10"/>
        <v>400.22</v>
      </c>
      <c r="R10" s="177">
        <f t="shared" si="2"/>
        <v>450</v>
      </c>
      <c r="S10" s="248">
        <f t="shared" si="3"/>
        <v>49.779999999999973</v>
      </c>
      <c r="T10" s="232" t="str">
        <f t="shared" si="4"/>
        <v>No</v>
      </c>
      <c r="U10" s="206"/>
      <c r="V10" s="203"/>
    </row>
    <row r="11" spans="1:22" ht="14.25" customHeight="1" thickBot="1" x14ac:dyDescent="0.25">
      <c r="A11" s="464"/>
      <c r="B11" s="97" t="s">
        <v>8</v>
      </c>
      <c r="C11" s="96" t="s">
        <v>74</v>
      </c>
      <c r="D11" s="110">
        <v>632.29</v>
      </c>
      <c r="E11" s="271">
        <f t="shared" si="5"/>
        <v>150</v>
      </c>
      <c r="F11" s="110">
        <v>416.14780000000002</v>
      </c>
      <c r="G11" s="271">
        <v>2</v>
      </c>
      <c r="H11" s="95">
        <f t="shared" si="6"/>
        <v>832.29560000000004</v>
      </c>
      <c r="I11" s="84">
        <f t="shared" si="7"/>
        <v>7</v>
      </c>
      <c r="J11" s="312">
        <f t="shared" si="0"/>
        <v>1050</v>
      </c>
      <c r="K11" s="84">
        <f t="shared" si="1"/>
        <v>217.70439999999996</v>
      </c>
      <c r="L11" s="102" t="s">
        <v>426</v>
      </c>
      <c r="M11" s="108">
        <v>692.19500000000005</v>
      </c>
      <c r="N11" s="177">
        <f t="shared" si="8"/>
        <v>150</v>
      </c>
      <c r="O11" s="176">
        <f t="shared" si="9"/>
        <v>416.14780000000002</v>
      </c>
      <c r="P11" s="274">
        <v>2</v>
      </c>
      <c r="Q11" s="278">
        <f t="shared" si="10"/>
        <v>832.29560000000004</v>
      </c>
      <c r="R11" s="177">
        <f t="shared" si="2"/>
        <v>1050</v>
      </c>
      <c r="S11" s="248">
        <f t="shared" si="3"/>
        <v>217.70439999999996</v>
      </c>
      <c r="T11" s="232" t="str">
        <f t="shared" si="4"/>
        <v>No</v>
      </c>
      <c r="U11" s="206"/>
      <c r="V11" s="203"/>
    </row>
    <row r="12" spans="1:22" ht="14.25" customHeight="1" thickBot="1" x14ac:dyDescent="0.25">
      <c r="A12" s="464"/>
      <c r="B12" s="97" t="s">
        <v>12</v>
      </c>
      <c r="C12" s="96" t="s">
        <v>52</v>
      </c>
      <c r="D12" s="110">
        <v>428.91</v>
      </c>
      <c r="E12" s="271">
        <f t="shared" si="5"/>
        <v>200</v>
      </c>
      <c r="F12" s="110">
        <v>320.77999999999997</v>
      </c>
      <c r="G12" s="271">
        <v>2</v>
      </c>
      <c r="H12" s="95">
        <f t="shared" si="6"/>
        <v>641.55999999999995</v>
      </c>
      <c r="I12" s="84">
        <f t="shared" si="7"/>
        <v>4</v>
      </c>
      <c r="J12" s="312">
        <f t="shared" si="0"/>
        <v>800</v>
      </c>
      <c r="K12" s="84">
        <f t="shared" si="1"/>
        <v>158.44000000000005</v>
      </c>
      <c r="L12" s="102" t="s">
        <v>420</v>
      </c>
      <c r="M12" s="108">
        <v>440.09</v>
      </c>
      <c r="N12" s="177">
        <f t="shared" si="8"/>
        <v>200</v>
      </c>
      <c r="O12" s="176">
        <f t="shared" si="9"/>
        <v>320.77999999999997</v>
      </c>
      <c r="P12" s="274">
        <v>2</v>
      </c>
      <c r="Q12" s="278">
        <f t="shared" si="10"/>
        <v>641.55999999999995</v>
      </c>
      <c r="R12" s="177">
        <f t="shared" si="2"/>
        <v>800</v>
      </c>
      <c r="S12" s="248">
        <f t="shared" si="3"/>
        <v>158.44000000000005</v>
      </c>
      <c r="T12" s="232" t="str">
        <f t="shared" si="4"/>
        <v>No</v>
      </c>
      <c r="U12" s="206"/>
      <c r="V12" s="203"/>
    </row>
    <row r="13" spans="1:22" ht="14.25" customHeight="1" thickBot="1" x14ac:dyDescent="0.25">
      <c r="A13" s="464"/>
      <c r="B13" s="97" t="s">
        <v>396</v>
      </c>
      <c r="C13" s="96" t="s">
        <v>63</v>
      </c>
      <c r="D13" s="95">
        <v>530.30999999999995</v>
      </c>
      <c r="E13" s="270">
        <f t="shared" si="5"/>
        <v>200</v>
      </c>
      <c r="F13" s="95">
        <v>22.35</v>
      </c>
      <c r="G13" s="270">
        <v>2</v>
      </c>
      <c r="H13" s="74">
        <f t="shared" si="6"/>
        <v>44.7</v>
      </c>
      <c r="I13" s="84">
        <f t="shared" si="7"/>
        <v>1</v>
      </c>
      <c r="J13" s="310">
        <f t="shared" si="0"/>
        <v>200</v>
      </c>
      <c r="K13" s="84">
        <f t="shared" si="1"/>
        <v>155.30000000000001</v>
      </c>
      <c r="L13" s="91" t="s">
        <v>418</v>
      </c>
      <c r="M13" s="93">
        <v>541.49</v>
      </c>
      <c r="N13" s="177">
        <f t="shared" si="8"/>
        <v>150</v>
      </c>
      <c r="O13" s="176">
        <f t="shared" si="9"/>
        <v>22.35</v>
      </c>
      <c r="P13" s="275">
        <v>2</v>
      </c>
      <c r="Q13" s="279">
        <f t="shared" si="10"/>
        <v>44.7</v>
      </c>
      <c r="R13" s="177">
        <f t="shared" si="2"/>
        <v>150</v>
      </c>
      <c r="S13" s="248">
        <f t="shared" si="3"/>
        <v>105.3</v>
      </c>
      <c r="T13" s="232" t="str">
        <f t="shared" si="4"/>
        <v>No</v>
      </c>
      <c r="U13" s="205"/>
      <c r="V13" s="105"/>
    </row>
    <row r="14" spans="1:22" ht="13.5" thickBot="1" x14ac:dyDescent="0.25">
      <c r="A14" s="114" t="s">
        <v>426</v>
      </c>
      <c r="B14" s="87" t="s">
        <v>351</v>
      </c>
      <c r="C14" s="157"/>
      <c r="D14" s="85"/>
      <c r="E14" s="95">
        <f t="shared" si="5"/>
        <v>300</v>
      </c>
      <c r="F14" s="85"/>
      <c r="G14" s="95">
        <v>2</v>
      </c>
      <c r="H14" s="95">
        <f t="shared" si="6"/>
        <v>0</v>
      </c>
      <c r="I14" s="84">
        <f t="shared" si="7"/>
        <v>0</v>
      </c>
      <c r="J14" s="306"/>
      <c r="K14" s="84">
        <f t="shared" si="1"/>
        <v>0</v>
      </c>
      <c r="L14" s="83"/>
      <c r="M14" s="83"/>
      <c r="N14" s="177">
        <f t="shared" si="8"/>
        <v>300</v>
      </c>
      <c r="O14" s="82"/>
      <c r="P14" s="91">
        <v>2</v>
      </c>
      <c r="Q14" s="92">
        <f t="shared" si="10"/>
        <v>0</v>
      </c>
      <c r="R14" s="83"/>
      <c r="S14" s="201"/>
      <c r="T14" s="83"/>
      <c r="U14" s="231"/>
      <c r="V14" s="111"/>
    </row>
    <row r="15" spans="1:22" ht="13.5" thickBot="1" x14ac:dyDescent="0.25">
      <c r="A15" s="462" t="s">
        <v>49</v>
      </c>
      <c r="B15" s="87" t="s">
        <v>425</v>
      </c>
      <c r="C15" s="86" t="s">
        <v>47</v>
      </c>
      <c r="D15" s="85">
        <v>341.36500000000001</v>
      </c>
      <c r="E15" s="269">
        <f t="shared" si="5"/>
        <v>200</v>
      </c>
      <c r="F15" s="85">
        <v>414.50749999999999</v>
      </c>
      <c r="G15" s="269">
        <v>2</v>
      </c>
      <c r="H15" s="85">
        <f t="shared" si="6"/>
        <v>829.01499999999999</v>
      </c>
      <c r="I15" s="84">
        <f t="shared" si="7"/>
        <v>5</v>
      </c>
      <c r="J15" s="308">
        <f t="shared" ref="J15:J24" si="11">I15*E15</f>
        <v>1000</v>
      </c>
      <c r="K15" s="84">
        <f t="shared" si="1"/>
        <v>170.98500000000001</v>
      </c>
      <c r="L15" s="101" t="s">
        <v>424</v>
      </c>
      <c r="M15" s="83">
        <v>527.53499999999997</v>
      </c>
      <c r="N15" s="177">
        <f t="shared" si="8"/>
        <v>200</v>
      </c>
      <c r="O15" s="83">
        <f>F15</f>
        <v>414.50749999999999</v>
      </c>
      <c r="P15" s="273">
        <v>2</v>
      </c>
      <c r="Q15" s="277">
        <f t="shared" si="10"/>
        <v>829.01499999999999</v>
      </c>
      <c r="R15" s="83">
        <f t="shared" ref="R15:R24" si="12">N15*I15</f>
        <v>1000</v>
      </c>
      <c r="S15" s="197">
        <f t="shared" ref="S15:S24" si="13">R15-Q15</f>
        <v>170.98500000000001</v>
      </c>
      <c r="T15" s="82" t="str">
        <f t="shared" ref="T15:T24" si="14">IF(S15&gt;=0,"No","Yes")</f>
        <v>No</v>
      </c>
      <c r="U15" s="60"/>
      <c r="V15" s="88"/>
    </row>
    <row r="16" spans="1:22" ht="14.25" customHeight="1" thickBot="1" x14ac:dyDescent="0.25">
      <c r="A16" s="464"/>
      <c r="B16" s="97" t="s">
        <v>9</v>
      </c>
      <c r="C16" s="96" t="s">
        <v>423</v>
      </c>
      <c r="D16" s="110">
        <v>72.555000000000007</v>
      </c>
      <c r="E16" s="271">
        <f t="shared" si="5"/>
        <v>300</v>
      </c>
      <c r="F16" s="110">
        <v>249.06020000000001</v>
      </c>
      <c r="G16" s="271">
        <v>2</v>
      </c>
      <c r="H16" s="95">
        <f t="shared" si="6"/>
        <v>498.12040000000002</v>
      </c>
      <c r="I16" s="84">
        <f t="shared" si="7"/>
        <v>2</v>
      </c>
      <c r="J16" s="312">
        <f t="shared" si="11"/>
        <v>600</v>
      </c>
      <c r="K16" s="84">
        <f t="shared" si="1"/>
        <v>101.87959999999998</v>
      </c>
      <c r="L16" s="102" t="s">
        <v>422</v>
      </c>
      <c r="M16" s="108">
        <v>258.625</v>
      </c>
      <c r="N16" s="177">
        <f t="shared" si="8"/>
        <v>250</v>
      </c>
      <c r="O16" s="83">
        <f t="shared" ref="O16:O24" si="15">F16</f>
        <v>249.06020000000001</v>
      </c>
      <c r="P16" s="274">
        <v>2</v>
      </c>
      <c r="Q16" s="278">
        <f t="shared" si="10"/>
        <v>498.12040000000002</v>
      </c>
      <c r="R16" s="83">
        <f t="shared" si="12"/>
        <v>500</v>
      </c>
      <c r="S16" s="197">
        <f t="shared" si="13"/>
        <v>1.8795999999999822</v>
      </c>
      <c r="T16" s="82" t="str">
        <f t="shared" si="14"/>
        <v>No</v>
      </c>
      <c r="U16" s="60"/>
      <c r="V16" s="98"/>
    </row>
    <row r="17" spans="1:42" ht="14.25" customHeight="1" thickBot="1" x14ac:dyDescent="0.25">
      <c r="A17" s="464"/>
      <c r="B17" s="97" t="s">
        <v>10</v>
      </c>
      <c r="C17" s="96" t="s">
        <v>386</v>
      </c>
      <c r="D17" s="110">
        <v>894.93</v>
      </c>
      <c r="E17" s="271">
        <f t="shared" si="5"/>
        <v>150</v>
      </c>
      <c r="F17" s="110">
        <v>185.4342</v>
      </c>
      <c r="G17" s="271">
        <v>2</v>
      </c>
      <c r="H17" s="95">
        <f t="shared" si="6"/>
        <v>370.86840000000001</v>
      </c>
      <c r="I17" s="84">
        <f t="shared" si="7"/>
        <v>3</v>
      </c>
      <c r="J17" s="312">
        <f t="shared" si="11"/>
        <v>450</v>
      </c>
      <c r="K17" s="84">
        <f t="shared" si="1"/>
        <v>79.131599999999992</v>
      </c>
      <c r="L17" s="102" t="s">
        <v>385</v>
      </c>
      <c r="M17" s="108">
        <v>975.03499999999997</v>
      </c>
      <c r="N17" s="177">
        <f t="shared" si="8"/>
        <v>150</v>
      </c>
      <c r="O17" s="83">
        <f t="shared" si="15"/>
        <v>185.4342</v>
      </c>
      <c r="P17" s="274">
        <v>2</v>
      </c>
      <c r="Q17" s="278">
        <f t="shared" si="10"/>
        <v>370.86840000000001</v>
      </c>
      <c r="R17" s="83">
        <f t="shared" si="12"/>
        <v>450</v>
      </c>
      <c r="S17" s="197">
        <f t="shared" si="13"/>
        <v>79.131599999999992</v>
      </c>
      <c r="T17" s="82" t="str">
        <f t="shared" si="14"/>
        <v>No</v>
      </c>
      <c r="U17" s="60"/>
      <c r="V17" s="98"/>
    </row>
    <row r="18" spans="1:42" ht="14.25" customHeight="1" thickBot="1" x14ac:dyDescent="0.25">
      <c r="A18" s="464"/>
      <c r="B18" s="97" t="s">
        <v>11</v>
      </c>
      <c r="C18" s="96" t="s">
        <v>378</v>
      </c>
      <c r="D18" s="110">
        <v>839.23</v>
      </c>
      <c r="E18" s="271">
        <f t="shared" si="5"/>
        <v>150</v>
      </c>
      <c r="F18" s="110">
        <v>213.84829999999999</v>
      </c>
      <c r="G18" s="271">
        <v>2</v>
      </c>
      <c r="H18" s="95">
        <f t="shared" si="6"/>
        <v>427.69659999999999</v>
      </c>
      <c r="I18" s="84">
        <f t="shared" si="7"/>
        <v>4</v>
      </c>
      <c r="J18" s="312">
        <f t="shared" si="11"/>
        <v>600</v>
      </c>
      <c r="K18" s="84">
        <f t="shared" si="1"/>
        <v>172.30340000000001</v>
      </c>
      <c r="L18" s="102" t="s">
        <v>421</v>
      </c>
      <c r="M18" s="108">
        <v>1025.3</v>
      </c>
      <c r="N18" s="177">
        <f t="shared" si="8"/>
        <v>150</v>
      </c>
      <c r="O18" s="83">
        <f t="shared" si="15"/>
        <v>213.84829999999999</v>
      </c>
      <c r="P18" s="274">
        <v>2</v>
      </c>
      <c r="Q18" s="278">
        <f t="shared" si="10"/>
        <v>427.69659999999999</v>
      </c>
      <c r="R18" s="83">
        <f t="shared" si="12"/>
        <v>600</v>
      </c>
      <c r="S18" s="197">
        <f t="shared" si="13"/>
        <v>172.30340000000001</v>
      </c>
      <c r="T18" s="82" t="str">
        <f t="shared" si="14"/>
        <v>No</v>
      </c>
      <c r="U18" s="60"/>
      <c r="V18" s="88"/>
      <c r="X18" s="230"/>
      <c r="Y18" s="58"/>
    </row>
    <row r="19" spans="1:42" ht="14.25" customHeight="1" thickBot="1" x14ac:dyDescent="0.25">
      <c r="A19" s="464"/>
      <c r="B19" s="97" t="s">
        <v>12</v>
      </c>
      <c r="C19" s="96" t="s">
        <v>52</v>
      </c>
      <c r="D19" s="110">
        <v>428.91</v>
      </c>
      <c r="E19" s="271">
        <f t="shared" si="5"/>
        <v>200</v>
      </c>
      <c r="F19" s="110">
        <v>320.7817</v>
      </c>
      <c r="G19" s="271">
        <v>2</v>
      </c>
      <c r="H19" s="95">
        <f t="shared" si="6"/>
        <v>641.5634</v>
      </c>
      <c r="I19" s="84">
        <f t="shared" si="7"/>
        <v>4</v>
      </c>
      <c r="J19" s="312">
        <f t="shared" si="11"/>
        <v>800</v>
      </c>
      <c r="K19" s="84">
        <f t="shared" si="1"/>
        <v>158.4366</v>
      </c>
      <c r="L19" s="102" t="s">
        <v>420</v>
      </c>
      <c r="M19" s="108">
        <v>440.09</v>
      </c>
      <c r="N19" s="177">
        <f t="shared" si="8"/>
        <v>200</v>
      </c>
      <c r="O19" s="83">
        <f t="shared" si="15"/>
        <v>320.7817</v>
      </c>
      <c r="P19" s="274">
        <v>2</v>
      </c>
      <c r="Q19" s="278">
        <f t="shared" si="10"/>
        <v>641.5634</v>
      </c>
      <c r="R19" s="83">
        <f t="shared" si="12"/>
        <v>800</v>
      </c>
      <c r="S19" s="197">
        <f t="shared" si="13"/>
        <v>158.4366</v>
      </c>
      <c r="T19" s="82" t="str">
        <f t="shared" si="14"/>
        <v>No</v>
      </c>
      <c r="U19" s="60"/>
      <c r="V19" s="88"/>
      <c r="X19" s="263" t="s">
        <v>454</v>
      </c>
      <c r="Y19" s="264"/>
      <c r="Z19" s="267"/>
      <c r="AC19" s="363"/>
      <c r="AD19" s="363"/>
      <c r="AE19" s="363"/>
      <c r="AF19" s="364"/>
      <c r="AG19" s="364"/>
      <c r="AH19" s="364"/>
      <c r="AI19" s="364"/>
      <c r="AJ19" s="364"/>
      <c r="AK19" s="364"/>
      <c r="AL19" s="364"/>
      <c r="AM19" s="364"/>
    </row>
    <row r="20" spans="1:42" ht="14.25" customHeight="1" thickBot="1" x14ac:dyDescent="0.25">
      <c r="A20" s="464"/>
      <c r="B20" s="97" t="s">
        <v>419</v>
      </c>
      <c r="C20" s="96" t="s">
        <v>411</v>
      </c>
      <c r="D20" s="95">
        <v>530.30999999999995</v>
      </c>
      <c r="E20" s="271">
        <f t="shared" si="5"/>
        <v>200</v>
      </c>
      <c r="F20" s="95">
        <v>22.35</v>
      </c>
      <c r="G20" s="271">
        <v>2</v>
      </c>
      <c r="H20" s="95">
        <f t="shared" si="6"/>
        <v>44.7</v>
      </c>
      <c r="I20" s="84">
        <f t="shared" si="7"/>
        <v>1</v>
      </c>
      <c r="J20" s="312">
        <f t="shared" si="11"/>
        <v>200</v>
      </c>
      <c r="K20" s="84">
        <f t="shared" si="1"/>
        <v>155.30000000000001</v>
      </c>
      <c r="L20" s="91" t="s">
        <v>418</v>
      </c>
      <c r="M20" s="93">
        <v>541.49</v>
      </c>
      <c r="N20" s="177">
        <f t="shared" si="8"/>
        <v>150</v>
      </c>
      <c r="O20" s="83">
        <f t="shared" si="15"/>
        <v>22.35</v>
      </c>
      <c r="P20" s="274">
        <v>2</v>
      </c>
      <c r="Q20" s="278">
        <f t="shared" si="10"/>
        <v>44.7</v>
      </c>
      <c r="R20" s="83">
        <f t="shared" si="12"/>
        <v>150</v>
      </c>
      <c r="S20" s="197">
        <f t="shared" si="13"/>
        <v>105.3</v>
      </c>
      <c r="T20" s="82" t="str">
        <f t="shared" si="14"/>
        <v>No</v>
      </c>
      <c r="U20" s="60"/>
      <c r="V20" s="98"/>
      <c r="X20" s="90"/>
      <c r="Y20" s="20"/>
      <c r="Z20" s="100"/>
      <c r="AC20" s="364"/>
      <c r="AD20" s="364"/>
      <c r="AE20" s="363"/>
      <c r="AF20" s="363"/>
      <c r="AG20" s="363"/>
      <c r="AH20" s="363"/>
      <c r="AI20" s="364"/>
      <c r="AJ20" s="364"/>
      <c r="AK20" s="364"/>
      <c r="AL20" s="364"/>
      <c r="AM20" s="364"/>
    </row>
    <row r="21" spans="1:42" ht="13.5" thickBot="1" x14ac:dyDescent="0.25">
      <c r="A21" s="462" t="s">
        <v>413</v>
      </c>
      <c r="B21" s="87" t="s">
        <v>7</v>
      </c>
      <c r="C21" s="86" t="s">
        <v>48</v>
      </c>
      <c r="D21" s="85">
        <v>457.755</v>
      </c>
      <c r="E21" s="269">
        <f t="shared" si="5"/>
        <v>200</v>
      </c>
      <c r="F21" s="85">
        <v>200.1122</v>
      </c>
      <c r="G21" s="269">
        <v>2</v>
      </c>
      <c r="H21" s="85">
        <f t="shared" si="6"/>
        <v>400.2244</v>
      </c>
      <c r="I21" s="84">
        <f t="shared" si="7"/>
        <v>3</v>
      </c>
      <c r="J21" s="308">
        <f t="shared" si="11"/>
        <v>600</v>
      </c>
      <c r="K21" s="84">
        <f t="shared" si="1"/>
        <v>199.7756</v>
      </c>
      <c r="L21" s="101" t="s">
        <v>416</v>
      </c>
      <c r="M21" s="83">
        <v>733.18499999999995</v>
      </c>
      <c r="N21" s="177">
        <f t="shared" si="8"/>
        <v>150</v>
      </c>
      <c r="O21" s="83">
        <f t="shared" si="15"/>
        <v>200.1122</v>
      </c>
      <c r="P21" s="273">
        <v>2</v>
      </c>
      <c r="Q21" s="277">
        <f t="shared" si="10"/>
        <v>400.2244</v>
      </c>
      <c r="R21" s="83">
        <f t="shared" si="12"/>
        <v>450</v>
      </c>
      <c r="S21" s="197">
        <f t="shared" si="13"/>
        <v>49.775599999999997</v>
      </c>
      <c r="T21" s="82" t="str">
        <f t="shared" si="14"/>
        <v>No</v>
      </c>
      <c r="U21" s="207"/>
      <c r="V21" s="106"/>
      <c r="X21" s="138" t="s">
        <v>390</v>
      </c>
      <c r="Y21" s="137" t="s">
        <v>389</v>
      </c>
      <c r="Z21" s="136" t="s">
        <v>388</v>
      </c>
      <c r="AC21" s="363"/>
      <c r="AD21" s="363"/>
      <c r="AE21" s="363"/>
      <c r="AF21" s="363"/>
      <c r="AG21" s="363"/>
      <c r="AH21" s="363"/>
      <c r="AI21" s="364"/>
      <c r="AJ21" s="364"/>
      <c r="AK21" s="364"/>
      <c r="AL21" s="364"/>
      <c r="AM21" s="364"/>
    </row>
    <row r="22" spans="1:42" ht="14.25" customHeight="1" thickBot="1" x14ac:dyDescent="0.25">
      <c r="A22" s="464"/>
      <c r="B22" s="97" t="s">
        <v>415</v>
      </c>
      <c r="C22" s="96" t="s">
        <v>74</v>
      </c>
      <c r="D22" s="110">
        <v>632.29</v>
      </c>
      <c r="E22" s="271">
        <f t="shared" si="5"/>
        <v>150</v>
      </c>
      <c r="F22" s="110">
        <v>416.14780000000002</v>
      </c>
      <c r="G22" s="271">
        <v>2</v>
      </c>
      <c r="H22" s="95">
        <f t="shared" si="6"/>
        <v>832.29560000000004</v>
      </c>
      <c r="I22" s="84">
        <f t="shared" si="7"/>
        <v>7</v>
      </c>
      <c r="J22" s="312">
        <f t="shared" si="11"/>
        <v>1050</v>
      </c>
      <c r="K22" s="84">
        <f t="shared" si="1"/>
        <v>217.70439999999996</v>
      </c>
      <c r="L22" s="102" t="s">
        <v>361</v>
      </c>
      <c r="M22" s="108">
        <v>692.19500000000005</v>
      </c>
      <c r="N22" s="177">
        <f t="shared" si="8"/>
        <v>150</v>
      </c>
      <c r="O22" s="83">
        <f t="shared" si="15"/>
        <v>416.14780000000002</v>
      </c>
      <c r="P22" s="274">
        <v>2</v>
      </c>
      <c r="Q22" s="278">
        <f t="shared" si="10"/>
        <v>832.29560000000004</v>
      </c>
      <c r="R22" s="83">
        <f t="shared" si="12"/>
        <v>1050</v>
      </c>
      <c r="S22" s="197">
        <f t="shared" si="13"/>
        <v>217.70439999999996</v>
      </c>
      <c r="T22" s="82" t="str">
        <f t="shared" si="14"/>
        <v>No</v>
      </c>
      <c r="U22" s="206"/>
      <c r="V22" s="203"/>
      <c r="X22" s="164" t="s">
        <v>464</v>
      </c>
      <c r="Y22" s="163">
        <v>47</v>
      </c>
      <c r="Z22" s="100">
        <f>(Y22/J10)*100</f>
        <v>7.8333333333333339</v>
      </c>
      <c r="AC22" s="364"/>
      <c r="AD22" s="364"/>
      <c r="AE22" s="364"/>
      <c r="AF22" s="364"/>
      <c r="AG22" s="364"/>
      <c r="AH22" s="364"/>
      <c r="AI22" s="364"/>
      <c r="AJ22" s="364"/>
      <c r="AK22" s="364"/>
      <c r="AL22" s="521"/>
      <c r="AM22" s="521"/>
      <c r="AO22" s="521"/>
      <c r="AP22" s="521"/>
    </row>
    <row r="23" spans="1:42" ht="14.25" customHeight="1" thickBot="1" x14ac:dyDescent="0.25">
      <c r="A23" s="464"/>
      <c r="B23" s="97" t="s">
        <v>414</v>
      </c>
      <c r="C23" s="96" t="s">
        <v>413</v>
      </c>
      <c r="D23" s="110">
        <v>370.31</v>
      </c>
      <c r="E23" s="271">
        <f t="shared" si="5"/>
        <v>200</v>
      </c>
      <c r="F23" s="110">
        <v>24.103000000000002</v>
      </c>
      <c r="G23" s="271">
        <v>2</v>
      </c>
      <c r="H23" s="95">
        <f t="shared" si="6"/>
        <v>48.206000000000003</v>
      </c>
      <c r="I23" s="84">
        <f t="shared" si="7"/>
        <v>1</v>
      </c>
      <c r="J23" s="312">
        <f t="shared" si="11"/>
        <v>200</v>
      </c>
      <c r="K23" s="84">
        <f t="shared" si="1"/>
        <v>151.79399999999998</v>
      </c>
      <c r="L23" s="102" t="s">
        <v>412</v>
      </c>
      <c r="M23" s="108">
        <v>820.63</v>
      </c>
      <c r="N23" s="177">
        <f t="shared" si="8"/>
        <v>150</v>
      </c>
      <c r="O23" s="83">
        <f t="shared" si="15"/>
        <v>24.103000000000002</v>
      </c>
      <c r="P23" s="274">
        <v>2</v>
      </c>
      <c r="Q23" s="278">
        <f t="shared" si="10"/>
        <v>48.206000000000003</v>
      </c>
      <c r="R23" s="83">
        <f t="shared" si="12"/>
        <v>150</v>
      </c>
      <c r="S23" s="197">
        <f t="shared" si="13"/>
        <v>101.794</v>
      </c>
      <c r="T23" s="82" t="str">
        <f t="shared" si="14"/>
        <v>No</v>
      </c>
      <c r="U23" s="206"/>
      <c r="V23" s="203"/>
      <c r="X23" s="164" t="s">
        <v>12</v>
      </c>
      <c r="Y23" s="163">
        <v>37</v>
      </c>
      <c r="Z23" s="100">
        <f>(Y23/J19)*100</f>
        <v>4.625</v>
      </c>
      <c r="AC23" s="364"/>
      <c r="AD23" s="364"/>
      <c r="AE23" s="364"/>
      <c r="AF23" s="364"/>
      <c r="AG23" s="364"/>
      <c r="AH23" s="364"/>
      <c r="AI23" s="364"/>
      <c r="AJ23" s="364"/>
      <c r="AK23" s="364"/>
      <c r="AL23" s="363"/>
      <c r="AM23" s="363"/>
      <c r="AO23" s="338"/>
      <c r="AP23" s="338"/>
    </row>
    <row r="24" spans="1:42" ht="14.25" customHeight="1" thickBot="1" x14ac:dyDescent="0.25">
      <c r="A24" s="464"/>
      <c r="B24" s="97" t="s">
        <v>396</v>
      </c>
      <c r="C24" s="96" t="s">
        <v>411</v>
      </c>
      <c r="D24" s="95">
        <v>530.30999999999995</v>
      </c>
      <c r="E24" s="270">
        <f t="shared" si="5"/>
        <v>200</v>
      </c>
      <c r="F24" s="95">
        <v>22.35</v>
      </c>
      <c r="G24" s="270">
        <v>2</v>
      </c>
      <c r="H24" s="74">
        <f t="shared" si="6"/>
        <v>44.7</v>
      </c>
      <c r="I24" s="84">
        <f t="shared" si="7"/>
        <v>1</v>
      </c>
      <c r="J24" s="310">
        <f t="shared" si="11"/>
        <v>200</v>
      </c>
      <c r="K24" s="84">
        <f t="shared" si="1"/>
        <v>155.30000000000001</v>
      </c>
      <c r="L24" s="91" t="s">
        <v>410</v>
      </c>
      <c r="M24" s="93">
        <v>660.63</v>
      </c>
      <c r="N24" s="177">
        <f t="shared" si="8"/>
        <v>150</v>
      </c>
      <c r="O24" s="83">
        <f t="shared" si="15"/>
        <v>22.35</v>
      </c>
      <c r="P24" s="275">
        <v>2</v>
      </c>
      <c r="Q24" s="279">
        <f t="shared" si="10"/>
        <v>44.7</v>
      </c>
      <c r="R24" s="83">
        <f t="shared" si="12"/>
        <v>150</v>
      </c>
      <c r="S24" s="197">
        <f t="shared" si="13"/>
        <v>105.3</v>
      </c>
      <c r="T24" s="82" t="str">
        <f t="shared" si="14"/>
        <v>No</v>
      </c>
      <c r="U24" s="205"/>
      <c r="V24" s="105"/>
      <c r="X24" s="164" t="s">
        <v>20</v>
      </c>
      <c r="Y24" s="163">
        <v>96</v>
      </c>
      <c r="Z24" s="100">
        <f>(Y24/600)*100</f>
        <v>16</v>
      </c>
      <c r="AC24" s="364"/>
      <c r="AD24" s="364"/>
      <c r="AE24" s="364"/>
      <c r="AF24" s="364"/>
      <c r="AG24" s="364"/>
      <c r="AH24" s="364"/>
      <c r="AI24" s="364"/>
      <c r="AJ24" s="364"/>
      <c r="AK24" s="364"/>
      <c r="AL24" s="364"/>
      <c r="AM24" s="364"/>
      <c r="AO24" s="339"/>
      <c r="AP24" s="339"/>
    </row>
    <row r="25" spans="1:42" ht="13.5" thickBot="1" x14ac:dyDescent="0.25">
      <c r="A25" s="158" t="s">
        <v>409</v>
      </c>
      <c r="B25" s="87" t="s">
        <v>408</v>
      </c>
      <c r="C25" s="157"/>
      <c r="D25" s="85"/>
      <c r="E25" s="95">
        <f t="shared" si="5"/>
        <v>300</v>
      </c>
      <c r="F25" s="85"/>
      <c r="G25" s="95">
        <v>2</v>
      </c>
      <c r="H25" s="95">
        <f t="shared" si="6"/>
        <v>0</v>
      </c>
      <c r="I25" s="84">
        <f t="shared" si="7"/>
        <v>0</v>
      </c>
      <c r="J25" s="306"/>
      <c r="K25" s="84">
        <f t="shared" si="1"/>
        <v>0</v>
      </c>
      <c r="L25" s="83"/>
      <c r="M25" s="83"/>
      <c r="N25" s="177">
        <f t="shared" si="8"/>
        <v>300</v>
      </c>
      <c r="O25" s="82"/>
      <c r="P25" s="91">
        <v>2</v>
      </c>
      <c r="Q25" s="92">
        <f t="shared" si="10"/>
        <v>0</v>
      </c>
      <c r="R25" s="83"/>
      <c r="S25" s="201"/>
      <c r="T25" s="82"/>
      <c r="U25" s="202"/>
      <c r="V25" s="229"/>
      <c r="X25" s="164" t="s">
        <v>27</v>
      </c>
      <c r="Y25" s="163">
        <v>280</v>
      </c>
      <c r="Z25" s="100">
        <f>(Y25/J46)*100</f>
        <v>70</v>
      </c>
      <c r="AC25" s="364"/>
      <c r="AD25" s="364"/>
      <c r="AE25" s="364"/>
      <c r="AF25" s="364"/>
      <c r="AG25" s="364"/>
      <c r="AH25" s="364"/>
      <c r="AI25" s="364"/>
      <c r="AJ25" s="364"/>
      <c r="AK25" s="364"/>
      <c r="AL25" s="342"/>
      <c r="AM25" s="342"/>
      <c r="AO25" s="342"/>
      <c r="AP25" s="342"/>
    </row>
    <row r="26" spans="1:42" ht="13.5" thickBot="1" x14ac:dyDescent="0.25">
      <c r="A26" s="480" t="s">
        <v>407</v>
      </c>
      <c r="B26" s="155" t="s">
        <v>14</v>
      </c>
      <c r="C26" s="86" t="s">
        <v>406</v>
      </c>
      <c r="D26" s="85">
        <v>391.72</v>
      </c>
      <c r="E26" s="269">
        <f t="shared" si="5"/>
        <v>200</v>
      </c>
      <c r="F26" s="85">
        <v>664.51419999999996</v>
      </c>
      <c r="G26" s="269">
        <v>2</v>
      </c>
      <c r="H26" s="85">
        <f t="shared" si="6"/>
        <v>1329.0283999999999</v>
      </c>
      <c r="I26" s="84">
        <f t="shared" si="7"/>
        <v>8</v>
      </c>
      <c r="J26" s="308">
        <f t="shared" ref="J26:J56" si="16">I26*E26</f>
        <v>1600</v>
      </c>
      <c r="K26" s="84">
        <f t="shared" si="1"/>
        <v>270.97160000000008</v>
      </c>
      <c r="L26" s="101" t="s">
        <v>405</v>
      </c>
      <c r="M26" s="83">
        <v>799.22</v>
      </c>
      <c r="N26" s="177">
        <f t="shared" si="8"/>
        <v>150</v>
      </c>
      <c r="O26" s="83">
        <f>F26</f>
        <v>664.51419999999996</v>
      </c>
      <c r="P26" s="273">
        <v>2</v>
      </c>
      <c r="Q26" s="277">
        <f t="shared" si="10"/>
        <v>1329.0283999999999</v>
      </c>
      <c r="R26" s="83">
        <f t="shared" ref="R26:R56" si="17">N26*I26</f>
        <v>1200</v>
      </c>
      <c r="S26" s="201">
        <f t="shared" ref="S26:S56" si="18">R26-Q26</f>
        <v>-129.02839999999992</v>
      </c>
      <c r="T26" s="214" t="str">
        <f t="shared" ref="T26:T57" si="19">IF(S26&gt;=0,"No","Yes")</f>
        <v>Yes</v>
      </c>
      <c r="U26" s="228" t="s">
        <v>474</v>
      </c>
      <c r="V26" s="227" t="s">
        <v>475</v>
      </c>
      <c r="X26" s="164" t="s">
        <v>327</v>
      </c>
      <c r="Y26" s="163">
        <v>951</v>
      </c>
      <c r="Z26" s="100">
        <f>(Y26/600)*100</f>
        <v>158.5</v>
      </c>
      <c r="AC26" s="364"/>
      <c r="AD26" s="364"/>
      <c r="AE26" s="364"/>
      <c r="AF26" s="364"/>
      <c r="AG26" s="364"/>
      <c r="AH26" s="364"/>
      <c r="AI26" s="364"/>
      <c r="AJ26" s="364"/>
      <c r="AK26" s="364"/>
      <c r="AL26" s="364"/>
      <c r="AM26" s="364"/>
      <c r="AO26" s="339"/>
      <c r="AP26" s="339"/>
    </row>
    <row r="27" spans="1:42" ht="14.25" customHeight="1" thickBot="1" x14ac:dyDescent="0.25">
      <c r="A27" s="481"/>
      <c r="B27" s="76" t="s">
        <v>360</v>
      </c>
      <c r="C27" s="75" t="s">
        <v>55</v>
      </c>
      <c r="D27" s="152">
        <v>566.26</v>
      </c>
      <c r="E27" s="271">
        <f t="shared" si="5"/>
        <v>150</v>
      </c>
      <c r="F27" s="152">
        <v>424.66829999999999</v>
      </c>
      <c r="G27" s="271">
        <v>2</v>
      </c>
      <c r="H27" s="95">
        <f t="shared" si="6"/>
        <v>849.33659999999998</v>
      </c>
      <c r="I27" s="84">
        <f t="shared" si="7"/>
        <v>7</v>
      </c>
      <c r="J27" s="312">
        <f t="shared" si="16"/>
        <v>1050</v>
      </c>
      <c r="K27" s="84">
        <f t="shared" si="1"/>
        <v>200.66340000000002</v>
      </c>
      <c r="L27" s="272" t="s">
        <v>404</v>
      </c>
      <c r="M27" s="150">
        <v>973.76</v>
      </c>
      <c r="N27" s="177">
        <f t="shared" si="8"/>
        <v>150</v>
      </c>
      <c r="O27" s="83">
        <f t="shared" ref="O27:O56" si="20">F27</f>
        <v>424.66829999999999</v>
      </c>
      <c r="P27" s="274">
        <v>2</v>
      </c>
      <c r="Q27" s="278">
        <f t="shared" si="10"/>
        <v>849.33659999999998</v>
      </c>
      <c r="R27" s="83">
        <f t="shared" si="17"/>
        <v>1050</v>
      </c>
      <c r="S27" s="201">
        <f t="shared" si="18"/>
        <v>200.66340000000002</v>
      </c>
      <c r="T27" s="214" t="str">
        <f t="shared" si="19"/>
        <v>No</v>
      </c>
      <c r="U27" s="226" t="s">
        <v>473</v>
      </c>
      <c r="V27" s="225" t="s">
        <v>476</v>
      </c>
      <c r="X27" s="164" t="s">
        <v>19</v>
      </c>
      <c r="Y27" s="163">
        <v>43</v>
      </c>
      <c r="Z27" s="100">
        <f>(Y27/1000)*100</f>
        <v>4.3</v>
      </c>
      <c r="AC27" s="364"/>
      <c r="AD27" s="364"/>
      <c r="AE27" s="364"/>
      <c r="AF27" s="364"/>
      <c r="AG27" s="364"/>
      <c r="AH27" s="364"/>
      <c r="AI27" s="364"/>
      <c r="AJ27" s="364"/>
      <c r="AK27" s="364"/>
      <c r="AL27" s="364"/>
      <c r="AM27" s="364"/>
      <c r="AO27" s="339"/>
      <c r="AP27" s="339"/>
    </row>
    <row r="28" spans="1:42" ht="13.5" thickBot="1" x14ac:dyDescent="0.25">
      <c r="A28" s="464" t="s">
        <v>403</v>
      </c>
      <c r="B28" s="63" t="s">
        <v>6</v>
      </c>
      <c r="C28" s="116" t="s">
        <v>47</v>
      </c>
      <c r="D28" s="95">
        <v>341.46499999999997</v>
      </c>
      <c r="E28" s="269">
        <f t="shared" si="5"/>
        <v>200</v>
      </c>
      <c r="F28" s="95">
        <v>414.50749999999999</v>
      </c>
      <c r="G28" s="269">
        <v>2</v>
      </c>
      <c r="H28" s="85">
        <f t="shared" si="6"/>
        <v>829.01499999999999</v>
      </c>
      <c r="I28" s="84">
        <f t="shared" si="7"/>
        <v>5</v>
      </c>
      <c r="J28" s="308">
        <f t="shared" si="16"/>
        <v>1000</v>
      </c>
      <c r="K28" s="84">
        <f t="shared" si="1"/>
        <v>170.98500000000001</v>
      </c>
      <c r="L28" s="91" t="s">
        <v>402</v>
      </c>
      <c r="M28" s="93">
        <v>849.47500000000002</v>
      </c>
      <c r="N28" s="177">
        <f t="shared" si="8"/>
        <v>150</v>
      </c>
      <c r="O28" s="83">
        <f t="shared" si="20"/>
        <v>414.50749999999999</v>
      </c>
      <c r="P28" s="273">
        <v>2</v>
      </c>
      <c r="Q28" s="277">
        <f t="shared" si="10"/>
        <v>829.01499999999999</v>
      </c>
      <c r="R28" s="83">
        <f t="shared" si="17"/>
        <v>750</v>
      </c>
      <c r="S28" s="201">
        <f t="shared" si="18"/>
        <v>-79.014999999999986</v>
      </c>
      <c r="T28" s="214" t="str">
        <f t="shared" si="19"/>
        <v>Yes</v>
      </c>
      <c r="U28" s="228" t="s">
        <v>462</v>
      </c>
      <c r="V28" s="265" t="s">
        <v>477</v>
      </c>
      <c r="X28" s="164" t="s">
        <v>28</v>
      </c>
      <c r="Y28" s="163">
        <v>359</v>
      </c>
      <c r="Z28" s="220">
        <f>(Y28/150)*100</f>
        <v>239.33333333333334</v>
      </c>
      <c r="AC28" s="364"/>
      <c r="AD28" s="364"/>
      <c r="AE28" s="364"/>
      <c r="AF28" s="364"/>
      <c r="AG28" s="364"/>
      <c r="AH28" s="364"/>
      <c r="AI28" s="364"/>
      <c r="AJ28" s="364"/>
      <c r="AK28" s="364"/>
      <c r="AL28" s="364"/>
      <c r="AM28" s="364"/>
      <c r="AO28" s="339"/>
      <c r="AP28" s="339"/>
    </row>
    <row r="29" spans="1:42" ht="14.25" customHeight="1" thickBot="1" x14ac:dyDescent="0.25">
      <c r="A29" s="464"/>
      <c r="B29" s="63" t="s">
        <v>401</v>
      </c>
      <c r="C29" s="116" t="s">
        <v>386</v>
      </c>
      <c r="D29" s="95">
        <v>894.93</v>
      </c>
      <c r="E29" s="271">
        <f t="shared" si="5"/>
        <v>150</v>
      </c>
      <c r="F29" s="95">
        <v>185.4342</v>
      </c>
      <c r="G29" s="271">
        <v>2</v>
      </c>
      <c r="H29" s="95">
        <f t="shared" si="6"/>
        <v>370.86840000000001</v>
      </c>
      <c r="I29" s="84">
        <f t="shared" si="7"/>
        <v>3</v>
      </c>
      <c r="J29" s="312">
        <f t="shared" si="16"/>
        <v>450</v>
      </c>
      <c r="K29" s="84">
        <f t="shared" si="1"/>
        <v>79.131599999999992</v>
      </c>
      <c r="L29" s="91" t="s">
        <v>385</v>
      </c>
      <c r="M29" s="93">
        <v>975.03499999999997</v>
      </c>
      <c r="N29" s="177">
        <f t="shared" si="8"/>
        <v>150</v>
      </c>
      <c r="O29" s="83">
        <f t="shared" si="20"/>
        <v>185.4342</v>
      </c>
      <c r="P29" s="274">
        <v>2</v>
      </c>
      <c r="Q29" s="278">
        <f t="shared" si="10"/>
        <v>370.86840000000001</v>
      </c>
      <c r="R29" s="83">
        <f t="shared" si="17"/>
        <v>450</v>
      </c>
      <c r="S29" s="201">
        <f t="shared" si="18"/>
        <v>79.131599999999992</v>
      </c>
      <c r="T29" s="214" t="str">
        <f t="shared" si="19"/>
        <v>No</v>
      </c>
      <c r="U29" s="282"/>
      <c r="V29" s="283"/>
      <c r="X29" s="164" t="s">
        <v>30</v>
      </c>
      <c r="Y29" s="163">
        <v>358</v>
      </c>
      <c r="Z29" s="219">
        <f>(Y29/200)*100</f>
        <v>179</v>
      </c>
      <c r="AC29" s="364"/>
      <c r="AD29" s="364"/>
      <c r="AE29" s="364"/>
      <c r="AF29" s="364"/>
      <c r="AG29" s="364"/>
      <c r="AH29" s="364"/>
      <c r="AI29" s="364"/>
      <c r="AJ29" s="364"/>
      <c r="AK29" s="364"/>
      <c r="AL29" s="364"/>
      <c r="AM29" s="364"/>
      <c r="AO29" s="339"/>
      <c r="AP29" s="339"/>
    </row>
    <row r="30" spans="1:42" ht="14.25" customHeight="1" thickBot="1" x14ac:dyDescent="0.25">
      <c r="A30" s="464"/>
      <c r="B30" s="97" t="s">
        <v>400</v>
      </c>
      <c r="C30" s="96" t="s">
        <v>378</v>
      </c>
      <c r="D30" s="110">
        <v>839.23</v>
      </c>
      <c r="E30" s="271">
        <f t="shared" si="5"/>
        <v>150</v>
      </c>
      <c r="F30" s="110">
        <v>213.84829999999999</v>
      </c>
      <c r="G30" s="271">
        <v>2</v>
      </c>
      <c r="H30" s="95">
        <f t="shared" si="6"/>
        <v>427.69659999999999</v>
      </c>
      <c r="I30" s="84">
        <f t="shared" si="7"/>
        <v>4</v>
      </c>
      <c r="J30" s="312">
        <f t="shared" si="16"/>
        <v>600</v>
      </c>
      <c r="K30" s="84">
        <f t="shared" si="1"/>
        <v>172.30340000000001</v>
      </c>
      <c r="L30" s="102" t="s">
        <v>399</v>
      </c>
      <c r="M30" s="108">
        <v>1347.24</v>
      </c>
      <c r="N30" s="177">
        <f t="shared" si="8"/>
        <v>100</v>
      </c>
      <c r="O30" s="83">
        <f t="shared" si="20"/>
        <v>213.84829999999999</v>
      </c>
      <c r="P30" s="274">
        <v>2</v>
      </c>
      <c r="Q30" s="278">
        <f t="shared" si="10"/>
        <v>427.69659999999999</v>
      </c>
      <c r="R30" s="83">
        <f t="shared" si="17"/>
        <v>400</v>
      </c>
      <c r="S30" s="201">
        <f t="shared" si="18"/>
        <v>-27.696599999999989</v>
      </c>
      <c r="T30" s="214" t="str">
        <f t="shared" si="19"/>
        <v>Yes</v>
      </c>
      <c r="U30" s="224" t="s">
        <v>478</v>
      </c>
      <c r="V30" s="223" t="s">
        <v>479</v>
      </c>
      <c r="X30" s="164" t="s">
        <v>31</v>
      </c>
      <c r="Y30" s="163">
        <v>790</v>
      </c>
      <c r="Z30" s="100">
        <f>Y30/200 * 100</f>
        <v>395</v>
      </c>
      <c r="AC30" s="364"/>
      <c r="AD30" s="364"/>
      <c r="AE30" s="364"/>
      <c r="AF30" s="364"/>
      <c r="AG30" s="364"/>
      <c r="AH30" s="364"/>
      <c r="AI30" s="364"/>
      <c r="AJ30" s="364"/>
      <c r="AK30" s="364"/>
      <c r="AL30" s="364"/>
      <c r="AM30" s="364"/>
      <c r="AO30" s="339"/>
      <c r="AP30" s="339"/>
    </row>
    <row r="31" spans="1:42" ht="14.25" customHeight="1" thickBot="1" x14ac:dyDescent="0.25">
      <c r="A31" s="464"/>
      <c r="B31" s="97" t="s">
        <v>398</v>
      </c>
      <c r="C31" s="96" t="s">
        <v>52</v>
      </c>
      <c r="D31" s="95">
        <v>428.91</v>
      </c>
      <c r="E31" s="271">
        <f t="shared" si="5"/>
        <v>200</v>
      </c>
      <c r="F31" s="95">
        <v>320.7817</v>
      </c>
      <c r="G31" s="271">
        <v>2</v>
      </c>
      <c r="H31" s="95">
        <f t="shared" si="6"/>
        <v>641.5634</v>
      </c>
      <c r="I31" s="84">
        <f t="shared" si="7"/>
        <v>4</v>
      </c>
      <c r="J31" s="312">
        <f t="shared" si="16"/>
        <v>800</v>
      </c>
      <c r="K31" s="84">
        <f t="shared" si="1"/>
        <v>158.4366</v>
      </c>
      <c r="L31" s="91" t="s">
        <v>397</v>
      </c>
      <c r="M31" s="93">
        <v>762.03</v>
      </c>
      <c r="N31" s="177">
        <f t="shared" si="8"/>
        <v>150</v>
      </c>
      <c r="O31" s="83">
        <f t="shared" si="20"/>
        <v>320.7817</v>
      </c>
      <c r="P31" s="274">
        <v>2</v>
      </c>
      <c r="Q31" s="278">
        <f t="shared" si="10"/>
        <v>641.5634</v>
      </c>
      <c r="R31" s="83">
        <f t="shared" si="17"/>
        <v>600</v>
      </c>
      <c r="S31" s="201">
        <f t="shared" si="18"/>
        <v>-41.563400000000001</v>
      </c>
      <c r="T31" s="214" t="str">
        <f t="shared" si="19"/>
        <v>Yes</v>
      </c>
      <c r="U31" s="224"/>
      <c r="V31" s="223"/>
      <c r="X31" s="164" t="s">
        <v>6</v>
      </c>
      <c r="Y31" s="163">
        <v>24</v>
      </c>
      <c r="Z31" s="100"/>
      <c r="AA31" s="20"/>
      <c r="AB31" s="17"/>
      <c r="AC31" s="364"/>
      <c r="AD31" s="364"/>
      <c r="AE31" s="364"/>
      <c r="AF31" s="364"/>
      <c r="AG31" s="364"/>
      <c r="AH31" s="364"/>
      <c r="AI31" s="364"/>
      <c r="AJ31" s="364"/>
      <c r="AK31" s="364"/>
      <c r="AL31" s="364"/>
      <c r="AM31" s="364"/>
      <c r="AO31" s="339"/>
      <c r="AP31" s="339"/>
    </row>
    <row r="32" spans="1:42" ht="14.25" customHeight="1" thickBot="1" x14ac:dyDescent="0.25">
      <c r="A32" s="464"/>
      <c r="B32" s="97" t="s">
        <v>395</v>
      </c>
      <c r="C32" s="96" t="s">
        <v>56</v>
      </c>
      <c r="D32" s="95">
        <v>268.91000000000003</v>
      </c>
      <c r="E32" s="271">
        <f t="shared" si="5"/>
        <v>250</v>
      </c>
      <c r="F32" s="95">
        <v>277.57420000000002</v>
      </c>
      <c r="G32" s="271">
        <v>2</v>
      </c>
      <c r="H32" s="95">
        <f t="shared" si="6"/>
        <v>555.14840000000004</v>
      </c>
      <c r="I32" s="84">
        <f t="shared" si="7"/>
        <v>3</v>
      </c>
      <c r="J32" s="312">
        <f t="shared" si="16"/>
        <v>750</v>
      </c>
      <c r="K32" s="84">
        <f t="shared" si="1"/>
        <v>194.85159999999996</v>
      </c>
      <c r="L32" s="91" t="s">
        <v>394</v>
      </c>
      <c r="M32" s="93">
        <v>922.03</v>
      </c>
      <c r="N32" s="177">
        <f t="shared" si="8"/>
        <v>150</v>
      </c>
      <c r="O32" s="83">
        <f t="shared" si="20"/>
        <v>277.57420000000002</v>
      </c>
      <c r="P32" s="274">
        <v>2</v>
      </c>
      <c r="Q32" s="278">
        <f t="shared" si="10"/>
        <v>555.14840000000004</v>
      </c>
      <c r="R32" s="83">
        <f t="shared" si="17"/>
        <v>450</v>
      </c>
      <c r="S32" s="201">
        <f t="shared" si="18"/>
        <v>-105.14840000000004</v>
      </c>
      <c r="T32" s="214" t="str">
        <f t="shared" si="19"/>
        <v>Yes</v>
      </c>
      <c r="U32" s="284"/>
      <c r="V32" s="285"/>
      <c r="X32" s="164" t="s">
        <v>22</v>
      </c>
      <c r="Y32" s="163">
        <v>106</v>
      </c>
      <c r="Z32" s="100"/>
      <c r="AC32" s="364"/>
      <c r="AD32" s="364"/>
      <c r="AE32" s="364"/>
      <c r="AF32" s="364"/>
      <c r="AG32" s="364"/>
      <c r="AH32" s="364"/>
      <c r="AI32" s="364"/>
      <c r="AJ32" s="364"/>
      <c r="AK32" s="364"/>
      <c r="AL32" s="364"/>
      <c r="AM32" s="364"/>
      <c r="AO32" s="339"/>
      <c r="AP32" s="339"/>
    </row>
    <row r="33" spans="1:42" ht="13.5" thickBot="1" x14ac:dyDescent="0.25">
      <c r="A33" s="462" t="s">
        <v>382</v>
      </c>
      <c r="B33" s="87" t="s">
        <v>393</v>
      </c>
      <c r="C33" s="86" t="s">
        <v>392</v>
      </c>
      <c r="D33" s="85">
        <v>774.56</v>
      </c>
      <c r="E33" s="269">
        <f t="shared" si="5"/>
        <v>150</v>
      </c>
      <c r="F33" s="85">
        <v>593.39</v>
      </c>
      <c r="G33" s="269">
        <v>2</v>
      </c>
      <c r="H33" s="85">
        <f t="shared" si="6"/>
        <v>1186.78</v>
      </c>
      <c r="I33" s="84">
        <f t="shared" si="7"/>
        <v>10</v>
      </c>
      <c r="J33" s="308">
        <f t="shared" si="16"/>
        <v>1500</v>
      </c>
      <c r="K33" s="84">
        <f t="shared" si="1"/>
        <v>313.22000000000003</v>
      </c>
      <c r="L33" s="101" t="s">
        <v>391</v>
      </c>
      <c r="M33" s="83">
        <v>778.62</v>
      </c>
      <c r="N33" s="177">
        <f t="shared" si="8"/>
        <v>150</v>
      </c>
      <c r="O33" s="83">
        <f t="shared" si="20"/>
        <v>593.39</v>
      </c>
      <c r="P33" s="273">
        <v>2</v>
      </c>
      <c r="Q33" s="277">
        <f t="shared" si="10"/>
        <v>1186.78</v>
      </c>
      <c r="R33" s="83">
        <f t="shared" si="17"/>
        <v>1500</v>
      </c>
      <c r="S33" s="201">
        <f t="shared" si="18"/>
        <v>313.22000000000003</v>
      </c>
      <c r="T33" s="214" t="str">
        <f t="shared" si="19"/>
        <v>No</v>
      </c>
      <c r="U33" s="207"/>
      <c r="V33" s="106"/>
      <c r="X33" s="164" t="s">
        <v>24</v>
      </c>
      <c r="Y33" s="163">
        <v>130</v>
      </c>
      <c r="Z33" s="100"/>
      <c r="AC33" s="364"/>
      <c r="AD33" s="364"/>
      <c r="AE33" s="364"/>
      <c r="AF33" s="364"/>
      <c r="AG33" s="364"/>
      <c r="AH33" s="364"/>
      <c r="AI33" s="364"/>
      <c r="AJ33" s="364"/>
      <c r="AK33" s="364"/>
      <c r="AL33" s="364"/>
      <c r="AM33" s="364"/>
      <c r="AO33" s="339"/>
      <c r="AP33" s="339"/>
    </row>
    <row r="34" spans="1:42" ht="14.25" customHeight="1" thickBot="1" x14ac:dyDescent="0.25">
      <c r="A34" s="464"/>
      <c r="B34" s="97" t="s">
        <v>387</v>
      </c>
      <c r="C34" s="96" t="s">
        <v>386</v>
      </c>
      <c r="D34" s="110">
        <v>894.93</v>
      </c>
      <c r="E34" s="271">
        <f t="shared" si="5"/>
        <v>150</v>
      </c>
      <c r="F34" s="110">
        <v>185.4342</v>
      </c>
      <c r="G34" s="271">
        <v>2</v>
      </c>
      <c r="H34" s="95">
        <f t="shared" si="6"/>
        <v>370.86840000000001</v>
      </c>
      <c r="I34" s="84">
        <f t="shared" si="7"/>
        <v>3</v>
      </c>
      <c r="J34" s="312">
        <f t="shared" si="16"/>
        <v>450</v>
      </c>
      <c r="K34" s="84">
        <f t="shared" si="1"/>
        <v>79.131599999999992</v>
      </c>
      <c r="L34" s="102" t="s">
        <v>385</v>
      </c>
      <c r="M34" s="108">
        <v>975.03499999999997</v>
      </c>
      <c r="N34" s="177">
        <f t="shared" si="8"/>
        <v>150</v>
      </c>
      <c r="O34" s="83">
        <f t="shared" si="20"/>
        <v>185.4342</v>
      </c>
      <c r="P34" s="274">
        <v>2</v>
      </c>
      <c r="Q34" s="278">
        <f t="shared" si="10"/>
        <v>370.86840000000001</v>
      </c>
      <c r="R34" s="83">
        <f t="shared" si="17"/>
        <v>450</v>
      </c>
      <c r="S34" s="201">
        <f t="shared" si="18"/>
        <v>79.131599999999992</v>
      </c>
      <c r="T34" s="214" t="str">
        <f t="shared" si="19"/>
        <v>No</v>
      </c>
      <c r="U34" s="205"/>
      <c r="V34" s="105"/>
      <c r="X34" s="164" t="s">
        <v>10</v>
      </c>
      <c r="Y34" s="163">
        <v>161</v>
      </c>
      <c r="Z34" s="100"/>
      <c r="AC34" s="364"/>
      <c r="AD34" s="364"/>
      <c r="AE34" s="364"/>
      <c r="AF34" s="364"/>
      <c r="AG34" s="364"/>
      <c r="AH34" s="364"/>
      <c r="AI34" s="364"/>
      <c r="AJ34" s="364"/>
      <c r="AK34" s="364"/>
      <c r="AL34" s="364"/>
      <c r="AM34" s="364"/>
      <c r="AO34" s="339"/>
      <c r="AP34" s="339"/>
    </row>
    <row r="35" spans="1:42" ht="14.25" customHeight="1" thickBot="1" x14ac:dyDescent="0.25">
      <c r="A35" s="464"/>
      <c r="B35" s="97" t="s">
        <v>383</v>
      </c>
      <c r="C35" s="96" t="s">
        <v>382</v>
      </c>
      <c r="D35" s="95">
        <v>553.46500000000003</v>
      </c>
      <c r="E35" s="271">
        <f t="shared" si="5"/>
        <v>150</v>
      </c>
      <c r="F35" s="95">
        <v>491.47570000000002</v>
      </c>
      <c r="G35" s="271">
        <v>2</v>
      </c>
      <c r="H35" s="95">
        <f t="shared" si="6"/>
        <v>982.95140000000004</v>
      </c>
      <c r="I35" s="84">
        <f t="shared" si="7"/>
        <v>8</v>
      </c>
      <c r="J35" s="312">
        <f t="shared" si="16"/>
        <v>1200</v>
      </c>
      <c r="K35" s="84">
        <f t="shared" ref="K35:K56" si="21">J35-H35</f>
        <v>217.04859999999996</v>
      </c>
      <c r="L35" s="91" t="s">
        <v>381</v>
      </c>
      <c r="M35" s="93">
        <v>660.12</v>
      </c>
      <c r="N35" s="177">
        <f t="shared" si="8"/>
        <v>150</v>
      </c>
      <c r="O35" s="83">
        <f t="shared" si="20"/>
        <v>491.47570000000002</v>
      </c>
      <c r="P35" s="274">
        <v>2</v>
      </c>
      <c r="Q35" s="278">
        <f t="shared" si="10"/>
        <v>982.95140000000004</v>
      </c>
      <c r="R35" s="83">
        <f t="shared" si="17"/>
        <v>1200</v>
      </c>
      <c r="S35" s="201">
        <f t="shared" si="18"/>
        <v>217.04859999999996</v>
      </c>
      <c r="T35" s="214" t="str">
        <f t="shared" si="19"/>
        <v>No</v>
      </c>
      <c r="U35" s="218"/>
      <c r="V35" s="134"/>
      <c r="X35" s="164" t="s">
        <v>13</v>
      </c>
      <c r="Y35" s="163">
        <v>388</v>
      </c>
      <c r="Z35" s="100"/>
      <c r="AC35" s="364"/>
      <c r="AD35" s="364"/>
      <c r="AE35" s="364"/>
      <c r="AF35" s="364"/>
      <c r="AG35" s="364"/>
      <c r="AH35" s="364"/>
      <c r="AI35" s="364"/>
      <c r="AJ35" s="364"/>
      <c r="AK35" s="364"/>
      <c r="AL35" s="364"/>
      <c r="AM35" s="364"/>
      <c r="AO35" s="339"/>
      <c r="AP35" s="339"/>
    </row>
    <row r="36" spans="1:42" ht="13.5" thickBot="1" x14ac:dyDescent="0.25">
      <c r="A36" s="462" t="s">
        <v>375</v>
      </c>
      <c r="B36" s="87" t="s">
        <v>379</v>
      </c>
      <c r="C36" s="86" t="s">
        <v>378</v>
      </c>
      <c r="D36" s="85">
        <v>839.23</v>
      </c>
      <c r="E36" s="269">
        <f t="shared" si="5"/>
        <v>150</v>
      </c>
      <c r="F36" s="85">
        <v>213.84829999999999</v>
      </c>
      <c r="G36" s="269">
        <v>2</v>
      </c>
      <c r="H36" s="85">
        <f t="shared" si="6"/>
        <v>427.69659999999999</v>
      </c>
      <c r="I36" s="84">
        <f t="shared" si="7"/>
        <v>4</v>
      </c>
      <c r="J36" s="308">
        <f t="shared" si="16"/>
        <v>600</v>
      </c>
      <c r="K36" s="84">
        <f t="shared" si="21"/>
        <v>172.30340000000001</v>
      </c>
      <c r="L36" s="101" t="s">
        <v>377</v>
      </c>
      <c r="M36" s="83">
        <v>844.89</v>
      </c>
      <c r="N36" s="177">
        <f t="shared" si="8"/>
        <v>150</v>
      </c>
      <c r="O36" s="83">
        <f t="shared" si="20"/>
        <v>213.84829999999999</v>
      </c>
      <c r="P36" s="273">
        <v>2</v>
      </c>
      <c r="Q36" s="277">
        <f t="shared" si="10"/>
        <v>427.69659999999999</v>
      </c>
      <c r="R36" s="83">
        <f t="shared" si="17"/>
        <v>600</v>
      </c>
      <c r="S36" s="201">
        <f t="shared" si="18"/>
        <v>172.30340000000001</v>
      </c>
      <c r="T36" s="214" t="str">
        <f t="shared" si="19"/>
        <v>No</v>
      </c>
      <c r="U36" s="202"/>
      <c r="V36" s="77"/>
      <c r="X36" s="164" t="s">
        <v>465</v>
      </c>
      <c r="Y36" s="163">
        <v>747</v>
      </c>
      <c r="Z36" s="100"/>
      <c r="AA36" s="20"/>
      <c r="AC36" s="364"/>
      <c r="AD36" s="364"/>
      <c r="AE36" s="364"/>
      <c r="AF36" s="364"/>
      <c r="AG36" s="364"/>
      <c r="AH36" s="364"/>
      <c r="AI36" s="364"/>
      <c r="AJ36" s="364"/>
      <c r="AK36" s="364"/>
      <c r="AL36" s="364"/>
      <c r="AM36" s="364"/>
      <c r="AO36" s="339"/>
      <c r="AP36" s="339"/>
    </row>
    <row r="37" spans="1:42" ht="14.25" customHeight="1" thickBot="1" x14ac:dyDescent="0.25">
      <c r="A37" s="464"/>
      <c r="B37" s="97" t="s">
        <v>376</v>
      </c>
      <c r="C37" s="96" t="s">
        <v>375</v>
      </c>
      <c r="D37" s="95">
        <v>497.76499999999999</v>
      </c>
      <c r="E37" s="270">
        <f t="shared" si="5"/>
        <v>200</v>
      </c>
      <c r="F37" s="95">
        <v>1151.328</v>
      </c>
      <c r="G37" s="270">
        <v>2</v>
      </c>
      <c r="H37" s="74">
        <f t="shared" si="6"/>
        <v>2302.6559999999999</v>
      </c>
      <c r="I37" s="84">
        <f t="shared" si="7"/>
        <v>14</v>
      </c>
      <c r="J37" s="310">
        <f t="shared" si="16"/>
        <v>2800</v>
      </c>
      <c r="K37" s="84">
        <f t="shared" si="21"/>
        <v>497.34400000000005</v>
      </c>
      <c r="L37" s="91" t="s">
        <v>374</v>
      </c>
      <c r="M37" s="93">
        <v>503.42500000000001</v>
      </c>
      <c r="N37" s="177">
        <f t="shared" si="8"/>
        <v>200</v>
      </c>
      <c r="O37" s="83">
        <f t="shared" si="20"/>
        <v>1151.328</v>
      </c>
      <c r="P37" s="275">
        <v>2</v>
      </c>
      <c r="Q37" s="279">
        <f t="shared" si="10"/>
        <v>2302.6559999999999</v>
      </c>
      <c r="R37" s="83">
        <f t="shared" si="17"/>
        <v>2800</v>
      </c>
      <c r="S37" s="201">
        <f t="shared" si="18"/>
        <v>497.34400000000005</v>
      </c>
      <c r="T37" s="214" t="str">
        <f t="shared" si="19"/>
        <v>No</v>
      </c>
      <c r="U37" s="200"/>
      <c r="V37" s="66"/>
      <c r="X37" s="254" t="s">
        <v>466</v>
      </c>
      <c r="Y37" s="253">
        <v>240</v>
      </c>
      <c r="Z37" s="89"/>
      <c r="AC37" s="364"/>
      <c r="AD37" s="364"/>
      <c r="AE37" s="364"/>
      <c r="AF37" s="364"/>
      <c r="AG37" s="364"/>
      <c r="AH37" s="364"/>
      <c r="AI37" s="364"/>
      <c r="AJ37" s="364"/>
      <c r="AK37" s="364"/>
      <c r="AL37" s="364"/>
      <c r="AM37" s="364"/>
    </row>
    <row r="38" spans="1:42" ht="13.5" thickBot="1" x14ac:dyDescent="0.25">
      <c r="A38" s="114" t="s">
        <v>372</v>
      </c>
      <c r="B38" s="87" t="s">
        <v>373</v>
      </c>
      <c r="C38" s="86" t="s">
        <v>372</v>
      </c>
      <c r="D38" s="85">
        <v>285.27999999999997</v>
      </c>
      <c r="E38" s="95">
        <f t="shared" si="5"/>
        <v>250</v>
      </c>
      <c r="F38" s="85">
        <v>779.52329999999995</v>
      </c>
      <c r="G38" s="95">
        <v>2</v>
      </c>
      <c r="H38" s="95">
        <f t="shared" si="6"/>
        <v>1559.0465999999999</v>
      </c>
      <c r="I38" s="84">
        <f t="shared" si="7"/>
        <v>8</v>
      </c>
      <c r="J38" s="268">
        <f t="shared" si="16"/>
        <v>2000</v>
      </c>
      <c r="K38" s="84">
        <f t="shared" si="21"/>
        <v>440.9534000000001</v>
      </c>
      <c r="L38" s="83" t="s">
        <v>371</v>
      </c>
      <c r="M38" s="83">
        <v>539.80499999999995</v>
      </c>
      <c r="N38" s="177">
        <f t="shared" si="8"/>
        <v>150</v>
      </c>
      <c r="O38" s="83">
        <f t="shared" si="20"/>
        <v>779.52329999999995</v>
      </c>
      <c r="P38" s="91">
        <v>2</v>
      </c>
      <c r="Q38" s="92">
        <f t="shared" si="10"/>
        <v>1559.0465999999999</v>
      </c>
      <c r="R38" s="83">
        <f t="shared" si="17"/>
        <v>1200</v>
      </c>
      <c r="S38" s="201">
        <f t="shared" si="18"/>
        <v>-359.0465999999999</v>
      </c>
      <c r="T38" s="214" t="str">
        <f t="shared" si="19"/>
        <v>Yes</v>
      </c>
      <c r="U38" s="216" t="s">
        <v>463</v>
      </c>
      <c r="V38" s="215" t="s">
        <v>544</v>
      </c>
      <c r="X38" s="5" t="s">
        <v>2</v>
      </c>
      <c r="Y38" s="5">
        <v>59</v>
      </c>
      <c r="AC38" s="364"/>
      <c r="AD38" s="364"/>
      <c r="AE38" s="364"/>
      <c r="AF38" s="364"/>
      <c r="AG38" s="364"/>
      <c r="AH38" s="364"/>
      <c r="AI38" s="364"/>
      <c r="AJ38" s="364"/>
      <c r="AK38" s="364"/>
      <c r="AL38" s="364"/>
      <c r="AM38" s="364"/>
    </row>
    <row r="39" spans="1:42" ht="13.5" thickBot="1" x14ac:dyDescent="0.25">
      <c r="A39" s="462" t="s">
        <v>60</v>
      </c>
      <c r="B39" s="87" t="s">
        <v>368</v>
      </c>
      <c r="C39" s="86" t="s">
        <v>367</v>
      </c>
      <c r="D39" s="85">
        <v>239.47</v>
      </c>
      <c r="E39" s="269">
        <f t="shared" si="5"/>
        <v>250</v>
      </c>
      <c r="F39" s="85">
        <v>886.15449999999998</v>
      </c>
      <c r="G39" s="269">
        <v>2</v>
      </c>
      <c r="H39" s="85">
        <f t="shared" si="6"/>
        <v>1772.309</v>
      </c>
      <c r="I39" s="84">
        <f t="shared" si="7"/>
        <v>9</v>
      </c>
      <c r="J39" s="308">
        <f t="shared" si="16"/>
        <v>2250</v>
      </c>
      <c r="K39" s="84">
        <f t="shared" si="21"/>
        <v>477.69100000000003</v>
      </c>
      <c r="L39" s="101" t="s">
        <v>366</v>
      </c>
      <c r="M39" s="83">
        <v>585.61500000000001</v>
      </c>
      <c r="N39" s="177">
        <f t="shared" si="8"/>
        <v>150</v>
      </c>
      <c r="O39" s="83">
        <f t="shared" si="20"/>
        <v>886.15449999999998</v>
      </c>
      <c r="P39" s="273">
        <v>2</v>
      </c>
      <c r="Q39" s="277">
        <f t="shared" si="10"/>
        <v>1772.309</v>
      </c>
      <c r="R39" s="83">
        <f t="shared" si="17"/>
        <v>1350</v>
      </c>
      <c r="S39" s="201">
        <f t="shared" si="18"/>
        <v>-422.30899999999997</v>
      </c>
      <c r="T39" s="214" t="str">
        <f t="shared" si="19"/>
        <v>Yes</v>
      </c>
      <c r="U39" s="213" t="s">
        <v>453</v>
      </c>
      <c r="V39" s="212" t="s">
        <v>480</v>
      </c>
      <c r="AC39" s="364"/>
      <c r="AD39" s="364"/>
      <c r="AE39" s="364"/>
      <c r="AF39" s="364"/>
      <c r="AG39" s="364"/>
      <c r="AH39" s="364"/>
      <c r="AI39" s="364"/>
      <c r="AJ39" s="364"/>
      <c r="AK39" s="364"/>
      <c r="AL39" s="364"/>
      <c r="AM39" s="364"/>
    </row>
    <row r="40" spans="1:42" ht="14.25" customHeight="1" thickBot="1" x14ac:dyDescent="0.25">
      <c r="A40" s="463"/>
      <c r="B40" s="76" t="s">
        <v>364</v>
      </c>
      <c r="C40" s="75" t="s">
        <v>61</v>
      </c>
      <c r="D40" s="74">
        <v>381.34</v>
      </c>
      <c r="E40" s="271">
        <f t="shared" si="5"/>
        <v>200</v>
      </c>
      <c r="F40" s="74">
        <v>233.80699999999999</v>
      </c>
      <c r="G40" s="271">
        <v>2</v>
      </c>
      <c r="H40" s="95">
        <f t="shared" si="6"/>
        <v>467.61399999999998</v>
      </c>
      <c r="I40" s="84">
        <f t="shared" si="7"/>
        <v>3</v>
      </c>
      <c r="J40" s="312">
        <f t="shared" si="16"/>
        <v>600</v>
      </c>
      <c r="K40" s="84">
        <f t="shared" si="21"/>
        <v>132.38600000000002</v>
      </c>
      <c r="L40" s="70" t="s">
        <v>328</v>
      </c>
      <c r="M40" s="72">
        <v>673.16499999999996</v>
      </c>
      <c r="N40" s="177">
        <f t="shared" si="8"/>
        <v>150</v>
      </c>
      <c r="O40" s="83">
        <f t="shared" si="20"/>
        <v>233.80699999999999</v>
      </c>
      <c r="P40" s="274">
        <v>2</v>
      </c>
      <c r="Q40" s="278">
        <f t="shared" si="10"/>
        <v>467.61399999999998</v>
      </c>
      <c r="R40" s="83">
        <f t="shared" si="17"/>
        <v>450</v>
      </c>
      <c r="S40" s="201">
        <f t="shared" si="18"/>
        <v>-17.613999999999976</v>
      </c>
      <c r="T40" s="214" t="str">
        <f t="shared" si="19"/>
        <v>Yes</v>
      </c>
      <c r="U40" s="211" t="s">
        <v>481</v>
      </c>
      <c r="V40" s="210" t="s">
        <v>482</v>
      </c>
      <c r="X40" s="5" t="s">
        <v>26</v>
      </c>
      <c r="Y40" s="5">
        <v>17.5</v>
      </c>
      <c r="AC40" s="364"/>
      <c r="AD40" s="364"/>
      <c r="AE40" s="364"/>
      <c r="AF40" s="364"/>
      <c r="AG40" s="364"/>
      <c r="AH40" s="364"/>
      <c r="AI40" s="364"/>
      <c r="AJ40" s="364"/>
      <c r="AK40" s="364"/>
      <c r="AL40" s="364"/>
      <c r="AM40" s="364"/>
    </row>
    <row r="41" spans="1:42" ht="13.5" thickBot="1" x14ac:dyDescent="0.25">
      <c r="A41" s="464" t="s">
        <v>363</v>
      </c>
      <c r="B41" s="63" t="s">
        <v>362</v>
      </c>
      <c r="C41" s="116" t="s">
        <v>74</v>
      </c>
      <c r="D41" s="95">
        <v>632.29499999999996</v>
      </c>
      <c r="E41" s="269">
        <f t="shared" si="5"/>
        <v>150</v>
      </c>
      <c r="F41" s="95">
        <v>416.14780000000002</v>
      </c>
      <c r="G41" s="269">
        <v>2</v>
      </c>
      <c r="H41" s="85">
        <f t="shared" si="6"/>
        <v>832.29560000000004</v>
      </c>
      <c r="I41" s="84">
        <f t="shared" si="7"/>
        <v>7</v>
      </c>
      <c r="J41" s="308">
        <f t="shared" si="16"/>
        <v>1050</v>
      </c>
      <c r="K41" s="84">
        <f t="shared" si="21"/>
        <v>217.70439999999996</v>
      </c>
      <c r="L41" s="91" t="s">
        <v>361</v>
      </c>
      <c r="M41" s="93">
        <v>692.19500000000005</v>
      </c>
      <c r="N41" s="177">
        <f t="shared" si="8"/>
        <v>150</v>
      </c>
      <c r="O41" s="83">
        <f t="shared" si="20"/>
        <v>416.14780000000002</v>
      </c>
      <c r="P41" s="273">
        <v>2</v>
      </c>
      <c r="Q41" s="277">
        <f t="shared" si="10"/>
        <v>832.29560000000004</v>
      </c>
      <c r="R41" s="83">
        <f t="shared" si="17"/>
        <v>1050</v>
      </c>
      <c r="S41" s="201">
        <f t="shared" si="18"/>
        <v>217.70439999999996</v>
      </c>
      <c r="T41" s="214" t="str">
        <f t="shared" si="19"/>
        <v>No</v>
      </c>
      <c r="U41" s="522" t="s">
        <v>351</v>
      </c>
      <c r="V41" s="523"/>
      <c r="X41" s="5" t="s">
        <v>29</v>
      </c>
      <c r="Y41" s="5">
        <v>268</v>
      </c>
      <c r="AC41" s="364"/>
      <c r="AD41" s="364"/>
      <c r="AE41" s="364"/>
      <c r="AF41" s="364"/>
      <c r="AG41" s="364"/>
      <c r="AH41" s="364"/>
      <c r="AI41" s="364"/>
      <c r="AJ41" s="364"/>
      <c r="AK41" s="364"/>
      <c r="AL41" s="364"/>
      <c r="AM41" s="364"/>
    </row>
    <row r="42" spans="1:42" ht="14.25" customHeight="1" thickBot="1" x14ac:dyDescent="0.25">
      <c r="A42" s="464"/>
      <c r="B42" s="97" t="s">
        <v>360</v>
      </c>
      <c r="C42" s="96" t="s">
        <v>55</v>
      </c>
      <c r="D42" s="110">
        <v>566.26</v>
      </c>
      <c r="E42" s="271">
        <f t="shared" si="5"/>
        <v>150</v>
      </c>
      <c r="F42" s="110">
        <v>424.66829999999999</v>
      </c>
      <c r="G42" s="271">
        <v>2</v>
      </c>
      <c r="H42" s="95">
        <f t="shared" si="6"/>
        <v>849.33659999999998</v>
      </c>
      <c r="I42" s="84">
        <f t="shared" si="7"/>
        <v>7</v>
      </c>
      <c r="J42" s="312">
        <f t="shared" si="16"/>
        <v>1050</v>
      </c>
      <c r="K42" s="84">
        <f t="shared" si="21"/>
        <v>200.66340000000002</v>
      </c>
      <c r="L42" s="102" t="s">
        <v>359</v>
      </c>
      <c r="M42" s="108">
        <v>1033.6600000000001</v>
      </c>
      <c r="N42" s="177">
        <f t="shared" si="8"/>
        <v>150</v>
      </c>
      <c r="O42" s="83">
        <f t="shared" si="20"/>
        <v>424.66829999999999</v>
      </c>
      <c r="P42" s="274">
        <v>2</v>
      </c>
      <c r="Q42" s="278">
        <f t="shared" si="10"/>
        <v>849.33659999999998</v>
      </c>
      <c r="R42" s="83">
        <f t="shared" si="17"/>
        <v>1050</v>
      </c>
      <c r="S42" s="201">
        <f t="shared" si="18"/>
        <v>200.66340000000002</v>
      </c>
      <c r="T42" s="214" t="str">
        <f t="shared" si="19"/>
        <v>No</v>
      </c>
      <c r="U42" s="524"/>
      <c r="V42" s="525"/>
      <c r="X42" s="127" t="s">
        <v>369</v>
      </c>
      <c r="Y42" s="262">
        <f>SUM(Y22:Y41)</f>
        <v>5101.5</v>
      </c>
      <c r="AC42" s="18"/>
      <c r="AD42" s="18"/>
      <c r="AE42" s="364"/>
      <c r="AF42" s="18"/>
      <c r="AG42" s="364"/>
      <c r="AH42" s="364"/>
      <c r="AI42" s="340"/>
      <c r="AJ42" s="364"/>
      <c r="AK42" s="364"/>
      <c r="AL42" s="364"/>
      <c r="AM42" s="364"/>
    </row>
    <row r="43" spans="1:42" ht="14.25" customHeight="1" thickBot="1" x14ac:dyDescent="0.25">
      <c r="A43" s="464"/>
      <c r="B43" s="97" t="s">
        <v>358</v>
      </c>
      <c r="C43" s="96" t="s">
        <v>62</v>
      </c>
      <c r="D43" s="95">
        <v>174.54</v>
      </c>
      <c r="E43" s="270">
        <f t="shared" si="5"/>
        <v>250</v>
      </c>
      <c r="F43" s="95">
        <v>80.336669999999998</v>
      </c>
      <c r="G43" s="270">
        <v>2</v>
      </c>
      <c r="H43" s="74">
        <f t="shared" si="6"/>
        <v>160.67334</v>
      </c>
      <c r="I43" s="84">
        <f t="shared" si="7"/>
        <v>1</v>
      </c>
      <c r="J43" s="310">
        <f t="shared" si="16"/>
        <v>250</v>
      </c>
      <c r="K43" s="84">
        <f t="shared" si="21"/>
        <v>89.326660000000004</v>
      </c>
      <c r="L43" s="91" t="s">
        <v>357</v>
      </c>
      <c r="M43" s="93">
        <v>811.21</v>
      </c>
      <c r="N43" s="177">
        <f t="shared" si="8"/>
        <v>150</v>
      </c>
      <c r="O43" s="83">
        <f t="shared" si="20"/>
        <v>80.336669999999998</v>
      </c>
      <c r="P43" s="275">
        <v>2</v>
      </c>
      <c r="Q43" s="279">
        <f t="shared" si="10"/>
        <v>160.67334</v>
      </c>
      <c r="R43" s="83">
        <f t="shared" si="17"/>
        <v>150</v>
      </c>
      <c r="S43" s="201">
        <f t="shared" si="18"/>
        <v>-10.673339999999996</v>
      </c>
      <c r="T43" s="214" t="str">
        <f t="shared" si="19"/>
        <v>Yes</v>
      </c>
      <c r="U43" s="526"/>
      <c r="V43" s="527"/>
      <c r="X43" s="17" t="s">
        <v>365</v>
      </c>
      <c r="Y43" s="17">
        <f>Y42/9100.11497</f>
        <v>0.56059731298098092</v>
      </c>
      <c r="AC43" s="18"/>
      <c r="AD43" s="18"/>
      <c r="AE43" s="364"/>
      <c r="AF43" s="18"/>
      <c r="AG43" s="364"/>
      <c r="AH43" s="364"/>
      <c r="AI43" s="340"/>
      <c r="AJ43" s="364"/>
      <c r="AK43" s="364"/>
      <c r="AL43" s="364"/>
      <c r="AM43" s="364"/>
    </row>
    <row r="44" spans="1:42" ht="13.5" thickBot="1" x14ac:dyDescent="0.25">
      <c r="A44" s="114" t="s">
        <v>355</v>
      </c>
      <c r="B44" s="87" t="s">
        <v>356</v>
      </c>
      <c r="C44" s="86" t="s">
        <v>355</v>
      </c>
      <c r="D44" s="85">
        <v>517.28</v>
      </c>
      <c r="E44" s="95">
        <f t="shared" si="5"/>
        <v>200</v>
      </c>
      <c r="F44" s="85">
        <v>67.241829999999993</v>
      </c>
      <c r="G44" s="95">
        <v>2</v>
      </c>
      <c r="H44" s="95">
        <f t="shared" si="6"/>
        <v>134.48365999999999</v>
      </c>
      <c r="I44" s="84">
        <f t="shared" si="7"/>
        <v>1</v>
      </c>
      <c r="J44" s="268">
        <f t="shared" si="16"/>
        <v>200</v>
      </c>
      <c r="K44" s="84">
        <f t="shared" si="21"/>
        <v>65.516340000000014</v>
      </c>
      <c r="L44" s="83" t="s">
        <v>354</v>
      </c>
      <c r="M44" s="83">
        <v>607.995</v>
      </c>
      <c r="N44" s="177">
        <f t="shared" si="8"/>
        <v>150</v>
      </c>
      <c r="O44" s="83">
        <f t="shared" si="20"/>
        <v>67.241829999999993</v>
      </c>
      <c r="P44" s="91">
        <v>2</v>
      </c>
      <c r="Q44" s="92">
        <f t="shared" si="10"/>
        <v>134.48365999999999</v>
      </c>
      <c r="R44" s="83">
        <f t="shared" si="17"/>
        <v>150</v>
      </c>
      <c r="S44" s="201">
        <f t="shared" si="18"/>
        <v>15.516340000000014</v>
      </c>
      <c r="T44" s="214" t="str">
        <f t="shared" si="19"/>
        <v>No</v>
      </c>
      <c r="U44" s="209"/>
      <c r="V44" s="208"/>
      <c r="AC44" s="343"/>
      <c r="AD44" s="343"/>
      <c r="AE44" s="343"/>
      <c r="AF44" s="343"/>
      <c r="AG44" s="343"/>
      <c r="AH44" s="343"/>
      <c r="AI44" s="343"/>
      <c r="AJ44" s="343"/>
      <c r="AK44" s="343"/>
      <c r="AL44" s="343"/>
      <c r="AM44" s="343"/>
    </row>
    <row r="45" spans="1:42" ht="13.5" thickBot="1" x14ac:dyDescent="0.25">
      <c r="A45" s="462" t="s">
        <v>349</v>
      </c>
      <c r="B45" s="87" t="s">
        <v>353</v>
      </c>
      <c r="C45" s="86" t="s">
        <v>342</v>
      </c>
      <c r="D45" s="85">
        <v>592.98500000000001</v>
      </c>
      <c r="E45" s="269">
        <f t="shared" si="5"/>
        <v>150</v>
      </c>
      <c r="F45" s="85">
        <v>175.91919999999999</v>
      </c>
      <c r="G45" s="269">
        <v>2</v>
      </c>
      <c r="H45" s="85">
        <f t="shared" si="6"/>
        <v>351.83839999999998</v>
      </c>
      <c r="I45" s="84">
        <f t="shared" si="7"/>
        <v>3</v>
      </c>
      <c r="J45" s="308">
        <f t="shared" si="16"/>
        <v>450</v>
      </c>
      <c r="K45" s="84">
        <f t="shared" si="21"/>
        <v>98.161600000000021</v>
      </c>
      <c r="L45" s="101" t="s">
        <v>352</v>
      </c>
      <c r="M45" s="83">
        <v>1051.23</v>
      </c>
      <c r="N45" s="177">
        <f t="shared" si="8"/>
        <v>150</v>
      </c>
      <c r="O45" s="83">
        <f t="shared" si="20"/>
        <v>175.91919999999999</v>
      </c>
      <c r="P45" s="273">
        <v>2</v>
      </c>
      <c r="Q45" s="277">
        <f t="shared" si="10"/>
        <v>351.83839999999998</v>
      </c>
      <c r="R45" s="83">
        <f t="shared" si="17"/>
        <v>450</v>
      </c>
      <c r="S45" s="201">
        <f t="shared" si="18"/>
        <v>98.161600000000021</v>
      </c>
      <c r="T45" s="214" t="str">
        <f t="shared" si="19"/>
        <v>No</v>
      </c>
      <c r="U45" s="207"/>
      <c r="V45" s="106"/>
      <c r="AC45" s="343"/>
      <c r="AD45" s="343"/>
      <c r="AE45" s="343"/>
      <c r="AF45" s="343"/>
      <c r="AG45" s="343"/>
      <c r="AH45" s="343"/>
      <c r="AI45" s="343"/>
      <c r="AJ45" s="343"/>
      <c r="AK45" s="343"/>
      <c r="AL45" s="521"/>
      <c r="AM45" s="521"/>
    </row>
    <row r="46" spans="1:42" ht="14.25" customHeight="1" thickBot="1" x14ac:dyDescent="0.25">
      <c r="A46" s="464"/>
      <c r="B46" s="97" t="s">
        <v>350</v>
      </c>
      <c r="C46" s="96" t="s">
        <v>349</v>
      </c>
      <c r="D46" s="110">
        <v>374.84</v>
      </c>
      <c r="E46" s="271">
        <f t="shared" si="5"/>
        <v>200</v>
      </c>
      <c r="F46" s="110">
        <v>115.1143</v>
      </c>
      <c r="G46" s="271">
        <v>2</v>
      </c>
      <c r="H46" s="95">
        <f t="shared" si="6"/>
        <v>230.2286</v>
      </c>
      <c r="I46" s="84">
        <f t="shared" si="7"/>
        <v>2</v>
      </c>
      <c r="J46" s="312">
        <f t="shared" si="16"/>
        <v>400</v>
      </c>
      <c r="K46" s="84">
        <f t="shared" si="21"/>
        <v>169.7714</v>
      </c>
      <c r="L46" s="102" t="s">
        <v>348</v>
      </c>
      <c r="M46" s="108">
        <v>838.745</v>
      </c>
      <c r="N46" s="177">
        <f t="shared" si="8"/>
        <v>150</v>
      </c>
      <c r="O46" s="83">
        <f t="shared" si="20"/>
        <v>115.1143</v>
      </c>
      <c r="P46" s="274">
        <v>2</v>
      </c>
      <c r="Q46" s="278">
        <f t="shared" si="10"/>
        <v>230.2286</v>
      </c>
      <c r="R46" s="83">
        <f t="shared" si="17"/>
        <v>300</v>
      </c>
      <c r="S46" s="201">
        <f t="shared" si="18"/>
        <v>69.7714</v>
      </c>
      <c r="T46" s="214" t="str">
        <f t="shared" si="19"/>
        <v>No</v>
      </c>
      <c r="U46" s="206"/>
      <c r="V46" s="203"/>
      <c r="AC46" s="343"/>
      <c r="AD46" s="343"/>
      <c r="AE46" s="343"/>
      <c r="AF46" s="343"/>
      <c r="AG46" s="343"/>
      <c r="AH46" s="343"/>
      <c r="AI46" s="343"/>
      <c r="AJ46" s="343"/>
      <c r="AK46" s="343"/>
      <c r="AL46" s="344"/>
      <c r="AM46" s="344"/>
    </row>
    <row r="47" spans="1:42" ht="14.25" customHeight="1" thickBot="1" x14ac:dyDescent="0.25">
      <c r="A47" s="464"/>
      <c r="B47" s="97" t="s">
        <v>347</v>
      </c>
      <c r="C47" s="96" t="s">
        <v>335</v>
      </c>
      <c r="D47" s="110">
        <v>675.17499999999995</v>
      </c>
      <c r="E47" s="271">
        <f t="shared" si="5"/>
        <v>150</v>
      </c>
      <c r="F47" s="110">
        <v>87.5685</v>
      </c>
      <c r="G47" s="271">
        <v>2</v>
      </c>
      <c r="H47" s="95">
        <f t="shared" si="6"/>
        <v>175.137</v>
      </c>
      <c r="I47" s="84">
        <f t="shared" si="7"/>
        <v>2</v>
      </c>
      <c r="J47" s="312">
        <f t="shared" si="16"/>
        <v>300</v>
      </c>
      <c r="K47" s="84">
        <f t="shared" si="21"/>
        <v>124.863</v>
      </c>
      <c r="L47" s="102" t="s">
        <v>346</v>
      </c>
      <c r="M47" s="108">
        <v>792.93499999999995</v>
      </c>
      <c r="N47" s="177">
        <f t="shared" si="8"/>
        <v>150</v>
      </c>
      <c r="O47" s="83">
        <f t="shared" si="20"/>
        <v>87.5685</v>
      </c>
      <c r="P47" s="274">
        <v>2</v>
      </c>
      <c r="Q47" s="278">
        <f t="shared" si="10"/>
        <v>175.137</v>
      </c>
      <c r="R47" s="83">
        <f t="shared" si="17"/>
        <v>300</v>
      </c>
      <c r="S47" s="201">
        <f t="shared" si="18"/>
        <v>124.863</v>
      </c>
      <c r="T47" s="214" t="str">
        <f t="shared" si="19"/>
        <v>No</v>
      </c>
      <c r="U47" s="206"/>
      <c r="V47" s="203"/>
      <c r="X47" s="491" t="s">
        <v>597</v>
      </c>
      <c r="Y47" s="492"/>
      <c r="Z47" s="492"/>
      <c r="AA47" s="492"/>
      <c r="AB47" s="492"/>
      <c r="AC47" s="493"/>
      <c r="AD47" s="161"/>
      <c r="AI47" s="459"/>
      <c r="AJ47" s="459"/>
      <c r="AK47" s="459"/>
      <c r="AL47" s="459"/>
      <c r="AM47" s="343"/>
    </row>
    <row r="48" spans="1:42" ht="14.25" customHeight="1" thickBot="1" x14ac:dyDescent="0.25">
      <c r="A48" s="464"/>
      <c r="B48" s="97" t="s">
        <v>339</v>
      </c>
      <c r="C48" s="96" t="s">
        <v>338</v>
      </c>
      <c r="D48" s="95">
        <v>768.38499999999999</v>
      </c>
      <c r="E48" s="271">
        <f t="shared" si="5"/>
        <v>150</v>
      </c>
      <c r="F48" s="95">
        <v>46.164000000000001</v>
      </c>
      <c r="G48" s="271">
        <v>2</v>
      </c>
      <c r="H48" s="95">
        <f t="shared" si="6"/>
        <v>92.328000000000003</v>
      </c>
      <c r="I48" s="84">
        <f t="shared" si="7"/>
        <v>1</v>
      </c>
      <c r="J48" s="312">
        <f t="shared" si="16"/>
        <v>150</v>
      </c>
      <c r="K48" s="84">
        <f t="shared" si="21"/>
        <v>57.671999999999997</v>
      </c>
      <c r="L48" s="91" t="s">
        <v>345</v>
      </c>
      <c r="M48" s="93">
        <v>934.80499999999995</v>
      </c>
      <c r="N48" s="177">
        <f t="shared" si="8"/>
        <v>150</v>
      </c>
      <c r="O48" s="83">
        <f t="shared" si="20"/>
        <v>46.164000000000001</v>
      </c>
      <c r="P48" s="274">
        <v>2</v>
      </c>
      <c r="Q48" s="278">
        <f t="shared" si="10"/>
        <v>92.328000000000003</v>
      </c>
      <c r="R48" s="83">
        <f t="shared" si="17"/>
        <v>150</v>
      </c>
      <c r="S48" s="201">
        <f t="shared" si="18"/>
        <v>57.671999999999997</v>
      </c>
      <c r="T48" s="214" t="str">
        <f t="shared" si="19"/>
        <v>No</v>
      </c>
      <c r="U48" s="205"/>
      <c r="V48" s="105"/>
      <c r="X48" s="346" t="s">
        <v>528</v>
      </c>
      <c r="Y48" s="348" t="s">
        <v>529</v>
      </c>
      <c r="Z48" s="348" t="s">
        <v>530</v>
      </c>
      <c r="AA48" s="348" t="s">
        <v>531</v>
      </c>
      <c r="AB48" s="348" t="s">
        <v>532</v>
      </c>
      <c r="AC48" s="349" t="s">
        <v>582</v>
      </c>
      <c r="AD48" s="328" t="s">
        <v>417</v>
      </c>
      <c r="AI48" s="459"/>
      <c r="AJ48" s="459"/>
      <c r="AK48" s="459"/>
      <c r="AL48" s="342"/>
      <c r="AM48" s="342"/>
    </row>
    <row r="49" spans="1:39" ht="13.5" thickBot="1" x14ac:dyDescent="0.25">
      <c r="A49" s="462" t="s">
        <v>344</v>
      </c>
      <c r="B49" s="87" t="s">
        <v>343</v>
      </c>
      <c r="C49" s="86" t="s">
        <v>342</v>
      </c>
      <c r="D49" s="85">
        <v>592.98500000000001</v>
      </c>
      <c r="E49" s="269">
        <f t="shared" si="5"/>
        <v>150</v>
      </c>
      <c r="F49" s="85">
        <v>175.91919999999999</v>
      </c>
      <c r="G49" s="269">
        <v>2</v>
      </c>
      <c r="H49" s="85">
        <f t="shared" si="6"/>
        <v>351.83839999999998</v>
      </c>
      <c r="I49" s="84">
        <f t="shared" si="7"/>
        <v>3</v>
      </c>
      <c r="J49" s="308">
        <f t="shared" si="16"/>
        <v>450</v>
      </c>
      <c r="K49" s="84">
        <f t="shared" si="21"/>
        <v>98.161600000000021</v>
      </c>
      <c r="L49" s="101" t="s">
        <v>341</v>
      </c>
      <c r="M49" s="83">
        <v>992.44500000000005</v>
      </c>
      <c r="N49" s="177">
        <f t="shared" si="8"/>
        <v>150</v>
      </c>
      <c r="O49" s="83">
        <f t="shared" si="20"/>
        <v>175.91919999999999</v>
      </c>
      <c r="P49" s="273">
        <v>2</v>
      </c>
      <c r="Q49" s="277">
        <f t="shared" si="10"/>
        <v>351.83839999999998</v>
      </c>
      <c r="R49" s="83">
        <f t="shared" si="17"/>
        <v>450</v>
      </c>
      <c r="S49" s="201">
        <f t="shared" si="18"/>
        <v>98.161600000000021</v>
      </c>
      <c r="T49" s="214" t="str">
        <f t="shared" si="19"/>
        <v>No</v>
      </c>
      <c r="U49" s="198"/>
      <c r="V49" s="106"/>
      <c r="X49" s="60" t="s">
        <v>84</v>
      </c>
      <c r="Y49" s="350">
        <v>1</v>
      </c>
      <c r="Z49" s="350">
        <v>0</v>
      </c>
      <c r="AA49" s="351">
        <v>0</v>
      </c>
      <c r="AB49" s="351">
        <v>0</v>
      </c>
      <c r="AC49" s="352">
        <v>0</v>
      </c>
      <c r="AD49" s="353">
        <f>SUM(Y49:AC49)</f>
        <v>1</v>
      </c>
      <c r="AI49" s="459"/>
      <c r="AJ49" s="459"/>
      <c r="AK49" s="459"/>
      <c r="AL49" s="459"/>
      <c r="AM49" s="343"/>
    </row>
    <row r="50" spans="1:39" ht="14.25" customHeight="1" thickBot="1" x14ac:dyDescent="0.25">
      <c r="A50" s="464"/>
      <c r="B50" s="97" t="s">
        <v>339</v>
      </c>
      <c r="C50" s="96" t="s">
        <v>338</v>
      </c>
      <c r="D50" s="95">
        <v>768.38499999999999</v>
      </c>
      <c r="E50" s="271">
        <f t="shared" si="5"/>
        <v>150</v>
      </c>
      <c r="F50" s="95">
        <v>46.164000000000001</v>
      </c>
      <c r="G50" s="271">
        <v>2</v>
      </c>
      <c r="H50" s="95">
        <f t="shared" si="6"/>
        <v>92.328000000000003</v>
      </c>
      <c r="I50" s="84">
        <f t="shared" si="7"/>
        <v>1</v>
      </c>
      <c r="J50" s="312">
        <f t="shared" si="16"/>
        <v>150</v>
      </c>
      <c r="K50" s="84">
        <f t="shared" si="21"/>
        <v>57.671999999999997</v>
      </c>
      <c r="L50" s="91" t="s">
        <v>337</v>
      </c>
      <c r="M50" s="93">
        <v>817.04499999999996</v>
      </c>
      <c r="N50" s="177">
        <f t="shared" si="8"/>
        <v>150</v>
      </c>
      <c r="O50" s="83">
        <f t="shared" si="20"/>
        <v>46.164000000000001</v>
      </c>
      <c r="P50" s="274">
        <v>2</v>
      </c>
      <c r="Q50" s="278">
        <f t="shared" si="10"/>
        <v>92.328000000000003</v>
      </c>
      <c r="R50" s="83">
        <f t="shared" si="17"/>
        <v>150</v>
      </c>
      <c r="S50" s="201">
        <f t="shared" si="18"/>
        <v>57.671999999999997</v>
      </c>
      <c r="T50" s="214" t="str">
        <f t="shared" si="19"/>
        <v>No</v>
      </c>
      <c r="U50" s="204"/>
      <c r="V50" s="203"/>
      <c r="X50" s="60" t="s">
        <v>85</v>
      </c>
      <c r="Y50" s="350">
        <v>2</v>
      </c>
      <c r="Z50" s="350">
        <v>0</v>
      </c>
      <c r="AA50" s="350">
        <v>0</v>
      </c>
      <c r="AB50" s="350">
        <v>0</v>
      </c>
      <c r="AC50" s="352">
        <v>0</v>
      </c>
      <c r="AD50" s="60">
        <f t="shared" ref="AD50:AD60" si="22">SUM(Y50:AC50)</f>
        <v>2</v>
      </c>
      <c r="AI50" s="459"/>
      <c r="AJ50" s="459"/>
      <c r="AK50" s="459"/>
      <c r="AL50" s="459"/>
      <c r="AM50" s="343"/>
    </row>
    <row r="51" spans="1:39" ht="13.5" thickBot="1" x14ac:dyDescent="0.25">
      <c r="A51" s="462" t="s">
        <v>340</v>
      </c>
      <c r="B51" s="87" t="s">
        <v>339</v>
      </c>
      <c r="C51" s="86" t="s">
        <v>338</v>
      </c>
      <c r="D51" s="85">
        <v>768.38499999999999</v>
      </c>
      <c r="E51" s="269">
        <f t="shared" si="5"/>
        <v>150</v>
      </c>
      <c r="F51" s="85">
        <v>46.164000000000001</v>
      </c>
      <c r="G51" s="269">
        <v>2</v>
      </c>
      <c r="H51" s="85">
        <f t="shared" si="6"/>
        <v>92.328000000000003</v>
      </c>
      <c r="I51" s="84">
        <f t="shared" si="7"/>
        <v>1</v>
      </c>
      <c r="J51" s="308">
        <f t="shared" si="16"/>
        <v>150</v>
      </c>
      <c r="K51" s="84">
        <f t="shared" si="21"/>
        <v>57.671999999999997</v>
      </c>
      <c r="L51" s="101" t="s">
        <v>337</v>
      </c>
      <c r="M51" s="83">
        <v>817.04499999999996</v>
      </c>
      <c r="N51" s="177">
        <f t="shared" si="8"/>
        <v>150</v>
      </c>
      <c r="O51" s="83">
        <f t="shared" si="20"/>
        <v>46.164000000000001</v>
      </c>
      <c r="P51" s="273">
        <v>2</v>
      </c>
      <c r="Q51" s="277">
        <f t="shared" si="10"/>
        <v>92.328000000000003</v>
      </c>
      <c r="R51" s="83">
        <f t="shared" si="17"/>
        <v>150</v>
      </c>
      <c r="S51" s="201">
        <f t="shared" si="18"/>
        <v>57.671999999999997</v>
      </c>
      <c r="T51" s="214" t="str">
        <f t="shared" si="19"/>
        <v>No</v>
      </c>
      <c r="U51" s="202"/>
      <c r="V51" s="77"/>
      <c r="X51" s="60" t="s">
        <v>86</v>
      </c>
      <c r="Y51" s="350">
        <v>0</v>
      </c>
      <c r="Z51" s="350">
        <v>1</v>
      </c>
      <c r="AA51" s="350">
        <v>1</v>
      </c>
      <c r="AB51" s="350">
        <v>0</v>
      </c>
      <c r="AC51" s="352">
        <v>0</v>
      </c>
      <c r="AD51" s="60">
        <f t="shared" si="22"/>
        <v>2</v>
      </c>
      <c r="AF51" s="457" t="s">
        <v>534</v>
      </c>
      <c r="AG51" s="457" t="s">
        <v>535</v>
      </c>
      <c r="AH51" s="355" t="s">
        <v>536</v>
      </c>
      <c r="AI51" s="459"/>
      <c r="AJ51" s="459"/>
      <c r="AM51" s="343"/>
    </row>
    <row r="52" spans="1:39" ht="14.25" customHeight="1" thickBot="1" x14ac:dyDescent="0.25">
      <c r="A52" s="464"/>
      <c r="B52" s="97" t="s">
        <v>30</v>
      </c>
      <c r="C52" s="96" t="s">
        <v>326</v>
      </c>
      <c r="D52" s="95">
        <v>317.27</v>
      </c>
      <c r="E52" s="271">
        <f t="shared" si="5"/>
        <v>200</v>
      </c>
      <c r="F52" s="95">
        <v>136.87530000000001</v>
      </c>
      <c r="G52" s="271">
        <v>2</v>
      </c>
      <c r="H52" s="95">
        <f t="shared" si="6"/>
        <v>273.75060000000002</v>
      </c>
      <c r="I52" s="84">
        <f t="shared" si="7"/>
        <v>2</v>
      </c>
      <c r="J52" s="312">
        <f t="shared" si="16"/>
        <v>400</v>
      </c>
      <c r="K52" s="84">
        <f t="shared" si="21"/>
        <v>126.24939999999998</v>
      </c>
      <c r="L52" s="91" t="s">
        <v>325</v>
      </c>
      <c r="M52" s="93">
        <v>518.48</v>
      </c>
      <c r="N52" s="177">
        <f t="shared" si="8"/>
        <v>200</v>
      </c>
      <c r="O52" s="83">
        <f t="shared" si="20"/>
        <v>136.87530000000001</v>
      </c>
      <c r="P52" s="274">
        <v>2</v>
      </c>
      <c r="Q52" s="278">
        <f t="shared" si="10"/>
        <v>273.75060000000002</v>
      </c>
      <c r="R52" s="83">
        <f t="shared" si="17"/>
        <v>400</v>
      </c>
      <c r="S52" s="201">
        <f t="shared" si="18"/>
        <v>126.24939999999998</v>
      </c>
      <c r="T52" s="214" t="str">
        <f t="shared" si="19"/>
        <v>No</v>
      </c>
      <c r="U52" s="200"/>
      <c r="V52" s="66"/>
      <c r="X52" s="60" t="s">
        <v>87</v>
      </c>
      <c r="Y52" s="350">
        <v>0</v>
      </c>
      <c r="Z52" s="350">
        <v>1</v>
      </c>
      <c r="AA52" s="350">
        <v>3</v>
      </c>
      <c r="AB52" s="350">
        <v>0</v>
      </c>
      <c r="AC52" s="352">
        <v>0</v>
      </c>
      <c r="AD52" s="60">
        <f t="shared" si="22"/>
        <v>4</v>
      </c>
      <c r="AF52" s="61" t="s">
        <v>529</v>
      </c>
      <c r="AG52" s="61">
        <v>100</v>
      </c>
      <c r="AH52" s="454">
        <v>15</v>
      </c>
      <c r="AI52" s="459"/>
      <c r="AJ52" s="459"/>
      <c r="AM52" s="343"/>
    </row>
    <row r="53" spans="1:39" ht="13.5" thickBot="1" x14ac:dyDescent="0.25">
      <c r="A53" s="462" t="s">
        <v>336</v>
      </c>
      <c r="B53" s="87" t="s">
        <v>28</v>
      </c>
      <c r="C53" s="86" t="s">
        <v>335</v>
      </c>
      <c r="D53" s="85">
        <v>675.17499999999995</v>
      </c>
      <c r="E53" s="269">
        <f t="shared" si="5"/>
        <v>150</v>
      </c>
      <c r="F53" s="85">
        <v>87.5685</v>
      </c>
      <c r="G53" s="269">
        <v>2</v>
      </c>
      <c r="H53" s="85">
        <f t="shared" si="6"/>
        <v>175.137</v>
      </c>
      <c r="I53" s="84">
        <f t="shared" si="7"/>
        <v>2</v>
      </c>
      <c r="J53" s="308">
        <f t="shared" si="16"/>
        <v>300</v>
      </c>
      <c r="K53" s="84">
        <f t="shared" si="21"/>
        <v>124.863</v>
      </c>
      <c r="L53" s="101" t="s">
        <v>334</v>
      </c>
      <c r="M53" s="83">
        <v>792.93499999999995</v>
      </c>
      <c r="N53" s="177">
        <f t="shared" si="8"/>
        <v>150</v>
      </c>
      <c r="O53" s="83">
        <f t="shared" si="20"/>
        <v>87.5685</v>
      </c>
      <c r="P53" s="273">
        <v>2</v>
      </c>
      <c r="Q53" s="277">
        <f t="shared" si="10"/>
        <v>175.137</v>
      </c>
      <c r="R53" s="83">
        <f t="shared" si="17"/>
        <v>300</v>
      </c>
      <c r="S53" s="201">
        <f t="shared" si="18"/>
        <v>124.863</v>
      </c>
      <c r="T53" s="214" t="str">
        <f t="shared" si="19"/>
        <v>No</v>
      </c>
      <c r="U53" s="60"/>
      <c r="V53" s="100"/>
      <c r="X53" s="60" t="s">
        <v>88</v>
      </c>
      <c r="Y53" s="350">
        <v>1</v>
      </c>
      <c r="Z53" s="350">
        <v>3</v>
      </c>
      <c r="AA53" s="350">
        <v>4</v>
      </c>
      <c r="AB53" s="350">
        <v>0</v>
      </c>
      <c r="AC53" s="352">
        <v>0</v>
      </c>
      <c r="AD53" s="60">
        <f t="shared" si="22"/>
        <v>8</v>
      </c>
      <c r="AE53" s="343"/>
      <c r="AF53" s="356" t="s">
        <v>530</v>
      </c>
      <c r="AG53" s="356">
        <v>150</v>
      </c>
      <c r="AH53" s="455">
        <v>16.3689</v>
      </c>
      <c r="AI53" s="459"/>
      <c r="AJ53" s="459"/>
      <c r="AL53" s="459"/>
      <c r="AM53" s="343"/>
    </row>
    <row r="54" spans="1:39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270">
        <f t="shared" si="5"/>
        <v>200</v>
      </c>
      <c r="F54" s="95">
        <v>33.29833</v>
      </c>
      <c r="G54" s="271">
        <v>2</v>
      </c>
      <c r="H54" s="95">
        <f t="shared" si="6"/>
        <v>66.59666</v>
      </c>
      <c r="I54" s="84">
        <f t="shared" si="7"/>
        <v>1</v>
      </c>
      <c r="J54" s="310">
        <f t="shared" si="16"/>
        <v>200</v>
      </c>
      <c r="K54" s="84">
        <f t="shared" si="21"/>
        <v>133.40334000000001</v>
      </c>
      <c r="L54" s="91" t="s">
        <v>331</v>
      </c>
      <c r="M54" s="93">
        <v>524.75</v>
      </c>
      <c r="N54" s="177">
        <f t="shared" si="8"/>
        <v>200</v>
      </c>
      <c r="O54" s="83">
        <f t="shared" si="20"/>
        <v>33.29833</v>
      </c>
      <c r="P54" s="274">
        <v>2</v>
      </c>
      <c r="Q54" s="278">
        <f t="shared" si="10"/>
        <v>66.59666</v>
      </c>
      <c r="R54" s="83">
        <f t="shared" si="17"/>
        <v>200</v>
      </c>
      <c r="S54" s="201">
        <f t="shared" si="18"/>
        <v>133.40334000000001</v>
      </c>
      <c r="T54" s="214" t="str">
        <f t="shared" si="19"/>
        <v>No</v>
      </c>
      <c r="U54" s="60"/>
      <c r="V54" s="100"/>
      <c r="X54" s="60" t="s">
        <v>89</v>
      </c>
      <c r="Y54" s="350">
        <v>0</v>
      </c>
      <c r="Z54" s="350">
        <v>1</v>
      </c>
      <c r="AA54" s="350">
        <v>0</v>
      </c>
      <c r="AB54" s="350">
        <v>0</v>
      </c>
      <c r="AC54" s="352">
        <v>0</v>
      </c>
      <c r="AD54" s="60">
        <f t="shared" si="22"/>
        <v>1</v>
      </c>
      <c r="AE54" s="344"/>
      <c r="AF54" s="356" t="s">
        <v>531</v>
      </c>
      <c r="AG54" s="356">
        <v>200</v>
      </c>
      <c r="AH54" s="455">
        <v>16.746700000000001</v>
      </c>
      <c r="AI54" s="459"/>
      <c r="AJ54" s="459"/>
      <c r="AL54" s="459"/>
      <c r="AM54" s="343"/>
    </row>
    <row r="55" spans="1:39" ht="13.5" thickBot="1" x14ac:dyDescent="0.25">
      <c r="A55" s="462" t="s">
        <v>330</v>
      </c>
      <c r="B55" s="87" t="s">
        <v>329</v>
      </c>
      <c r="C55" s="86" t="s">
        <v>61</v>
      </c>
      <c r="D55" s="85">
        <v>381.34</v>
      </c>
      <c r="E55" s="269">
        <f t="shared" si="5"/>
        <v>200</v>
      </c>
      <c r="F55" s="85">
        <v>233.80699999999999</v>
      </c>
      <c r="G55" s="269">
        <v>2</v>
      </c>
      <c r="H55" s="85">
        <f t="shared" si="6"/>
        <v>467.61399999999998</v>
      </c>
      <c r="I55" s="84">
        <f t="shared" si="7"/>
        <v>3</v>
      </c>
      <c r="J55" s="308">
        <f t="shared" si="16"/>
        <v>600</v>
      </c>
      <c r="K55" s="84">
        <f t="shared" si="21"/>
        <v>132.38600000000002</v>
      </c>
      <c r="L55" s="101" t="s">
        <v>328</v>
      </c>
      <c r="M55" s="83">
        <v>673.16499999999996</v>
      </c>
      <c r="N55" s="177">
        <f t="shared" si="8"/>
        <v>150</v>
      </c>
      <c r="O55" s="83">
        <f t="shared" si="20"/>
        <v>233.80699999999999</v>
      </c>
      <c r="P55" s="273">
        <v>2</v>
      </c>
      <c r="Q55" s="277">
        <f t="shared" si="10"/>
        <v>467.61399999999998</v>
      </c>
      <c r="R55" s="83">
        <f t="shared" si="17"/>
        <v>450</v>
      </c>
      <c r="S55" s="201">
        <f t="shared" si="18"/>
        <v>-17.613999999999976</v>
      </c>
      <c r="T55" s="214" t="str">
        <f t="shared" si="19"/>
        <v>Yes</v>
      </c>
      <c r="U55" s="198" t="s">
        <v>484</v>
      </c>
      <c r="V55" s="106" t="s">
        <v>483</v>
      </c>
      <c r="X55" s="60" t="s">
        <v>90</v>
      </c>
      <c r="Y55" s="350">
        <v>1</v>
      </c>
      <c r="Z55" s="350">
        <v>1</v>
      </c>
      <c r="AA55" s="350">
        <v>0</v>
      </c>
      <c r="AB55" s="350">
        <v>0</v>
      </c>
      <c r="AC55" s="352">
        <v>0</v>
      </c>
      <c r="AD55" s="60">
        <f t="shared" si="22"/>
        <v>2</v>
      </c>
      <c r="AE55" s="344"/>
      <c r="AF55" s="356" t="s">
        <v>532</v>
      </c>
      <c r="AG55" s="356">
        <v>250</v>
      </c>
      <c r="AH55" s="455">
        <v>16.886600000000001</v>
      </c>
      <c r="AI55" s="459"/>
      <c r="AJ55" s="459"/>
      <c r="AL55" s="459"/>
      <c r="AM55" s="343"/>
    </row>
    <row r="56" spans="1:39" ht="14.25" customHeight="1" thickBot="1" x14ac:dyDescent="0.25">
      <c r="A56" s="463"/>
      <c r="B56" s="76" t="s">
        <v>30</v>
      </c>
      <c r="C56" s="75" t="s">
        <v>326</v>
      </c>
      <c r="D56" s="74">
        <v>317.27</v>
      </c>
      <c r="E56" s="270">
        <f t="shared" si="5"/>
        <v>200</v>
      </c>
      <c r="F56" s="74">
        <v>136.87530000000001</v>
      </c>
      <c r="G56" s="270">
        <v>2</v>
      </c>
      <c r="H56" s="74">
        <f t="shared" si="6"/>
        <v>273.75060000000002</v>
      </c>
      <c r="I56" s="84">
        <f t="shared" si="7"/>
        <v>2</v>
      </c>
      <c r="J56" s="310">
        <f t="shared" si="16"/>
        <v>400</v>
      </c>
      <c r="K56" s="84">
        <f t="shared" si="21"/>
        <v>126.24939999999998</v>
      </c>
      <c r="L56" s="70" t="s">
        <v>325</v>
      </c>
      <c r="M56" s="72">
        <v>518.48</v>
      </c>
      <c r="N56" s="177">
        <f t="shared" si="8"/>
        <v>200</v>
      </c>
      <c r="O56" s="83">
        <f t="shared" si="20"/>
        <v>136.87530000000001</v>
      </c>
      <c r="P56" s="275">
        <v>2</v>
      </c>
      <c r="Q56" s="279">
        <f t="shared" si="10"/>
        <v>273.75060000000002</v>
      </c>
      <c r="R56" s="83">
        <f t="shared" si="17"/>
        <v>400</v>
      </c>
      <c r="S56" s="201">
        <f t="shared" si="18"/>
        <v>126.24939999999998</v>
      </c>
      <c r="T56" s="214" t="str">
        <f t="shared" si="19"/>
        <v>No</v>
      </c>
      <c r="U56" s="196"/>
      <c r="V56" s="195"/>
      <c r="X56" s="60" t="s">
        <v>91</v>
      </c>
      <c r="Y56" s="350">
        <v>1</v>
      </c>
      <c r="Z56" s="350">
        <v>6</v>
      </c>
      <c r="AA56" s="352">
        <v>2</v>
      </c>
      <c r="AB56" s="352">
        <v>0</v>
      </c>
      <c r="AC56" s="352">
        <v>0</v>
      </c>
      <c r="AD56" s="60">
        <f t="shared" si="22"/>
        <v>9</v>
      </c>
      <c r="AE56" s="343"/>
      <c r="AF56" s="357" t="s">
        <v>582</v>
      </c>
      <c r="AG56" s="357">
        <v>300</v>
      </c>
      <c r="AH56" s="456">
        <v>17</v>
      </c>
      <c r="AI56" s="459"/>
      <c r="AJ56" s="459"/>
      <c r="AL56" s="459"/>
      <c r="AM56" s="343"/>
    </row>
    <row r="57" spans="1:39" x14ac:dyDescent="0.2">
      <c r="A57" s="20"/>
      <c r="B57" s="64"/>
      <c r="C57" s="20"/>
      <c r="D57" s="20"/>
      <c r="E57" s="304"/>
      <c r="F57" s="64"/>
      <c r="G57" s="64"/>
      <c r="H57" s="64"/>
      <c r="I57" s="304" t="s">
        <v>417</v>
      </c>
      <c r="J57" s="20">
        <f>SUM(J3:J56)</f>
        <v>36600</v>
      </c>
      <c r="K57" s="20"/>
      <c r="L57" s="20"/>
      <c r="M57" s="20"/>
      <c r="N57" s="304"/>
      <c r="O57" s="20"/>
      <c r="P57" s="20"/>
      <c r="Q57" s="20"/>
      <c r="R57" s="304"/>
      <c r="T57" s="20" t="str">
        <f t="shared" si="19"/>
        <v>No</v>
      </c>
      <c r="U57" s="11"/>
      <c r="V57" s="20"/>
      <c r="X57" s="60" t="s">
        <v>92</v>
      </c>
      <c r="Y57" s="352"/>
      <c r="Z57" s="352">
        <v>0</v>
      </c>
      <c r="AA57" s="352">
        <v>2</v>
      </c>
      <c r="AB57" s="352">
        <v>0</v>
      </c>
      <c r="AC57" s="352">
        <v>0</v>
      </c>
      <c r="AD57" s="60">
        <f t="shared" si="22"/>
        <v>2</v>
      </c>
      <c r="AE57" s="343"/>
      <c r="AF57" s="459"/>
      <c r="AG57" s="459"/>
      <c r="AI57" s="459"/>
      <c r="AJ57" s="459"/>
      <c r="AL57" s="459"/>
      <c r="AM57" s="343"/>
    </row>
    <row r="58" spans="1:39" x14ac:dyDescent="0.2">
      <c r="A58" s="20"/>
      <c r="B58" s="64"/>
      <c r="C58" s="20"/>
      <c r="D58" s="20"/>
      <c r="E58" s="304"/>
      <c r="F58" s="64"/>
      <c r="G58" s="64"/>
      <c r="H58" s="64"/>
      <c r="I58" s="304"/>
      <c r="J58" s="20"/>
      <c r="K58" s="20"/>
      <c r="L58" s="20"/>
      <c r="M58" s="20"/>
      <c r="N58" s="304"/>
      <c r="O58" s="20"/>
      <c r="P58" s="20"/>
      <c r="Q58" s="20"/>
      <c r="R58" s="304"/>
      <c r="T58" s="20"/>
      <c r="U58" s="11"/>
      <c r="V58" s="20"/>
      <c r="X58" s="60" t="s">
        <v>93</v>
      </c>
      <c r="Y58" s="352">
        <v>1</v>
      </c>
      <c r="Z58" s="350">
        <v>0</v>
      </c>
      <c r="AA58" s="352">
        <v>3</v>
      </c>
      <c r="AB58" s="352">
        <v>0</v>
      </c>
      <c r="AC58" s="352">
        <v>0</v>
      </c>
      <c r="AD58" s="60">
        <f t="shared" si="22"/>
        <v>4</v>
      </c>
      <c r="AE58" s="343"/>
      <c r="AF58" s="459"/>
      <c r="AG58" s="459"/>
      <c r="AI58" s="459"/>
      <c r="AJ58" s="459"/>
      <c r="AK58" s="341"/>
      <c r="AL58" s="459"/>
      <c r="AM58" s="343"/>
    </row>
    <row r="59" spans="1:39" x14ac:dyDescent="0.2">
      <c r="A59" s="20"/>
      <c r="B59" s="64"/>
      <c r="C59" s="20"/>
      <c r="D59" s="20"/>
      <c r="E59" s="304"/>
      <c r="F59" s="64"/>
      <c r="G59" s="64"/>
      <c r="H59" s="64"/>
      <c r="I59" s="304"/>
      <c r="J59" s="20"/>
      <c r="K59" s="20"/>
      <c r="L59" s="20"/>
      <c r="M59" s="20"/>
      <c r="N59" s="304"/>
      <c r="O59" s="20"/>
      <c r="P59" s="20"/>
      <c r="Q59" s="20"/>
      <c r="R59" s="304"/>
      <c r="T59" s="20"/>
      <c r="U59" s="11"/>
      <c r="V59" s="20"/>
      <c r="X59" s="60" t="s">
        <v>94</v>
      </c>
      <c r="Y59" s="352">
        <v>1</v>
      </c>
      <c r="Z59" s="350">
        <v>3</v>
      </c>
      <c r="AA59" s="352">
        <v>3</v>
      </c>
      <c r="AB59" s="352">
        <v>0</v>
      </c>
      <c r="AC59" s="352">
        <v>0</v>
      </c>
      <c r="AD59" s="60">
        <f t="shared" si="22"/>
        <v>7</v>
      </c>
      <c r="AE59" s="18"/>
      <c r="AF59" s="18"/>
      <c r="AG59" s="459"/>
      <c r="AI59" s="459"/>
      <c r="AJ59" s="459"/>
      <c r="AL59" s="459"/>
      <c r="AM59" s="343"/>
    </row>
    <row r="60" spans="1:39" x14ac:dyDescent="0.2">
      <c r="A60" s="20"/>
      <c r="B60" s="64"/>
      <c r="C60" s="20"/>
      <c r="D60" s="20"/>
      <c r="E60" s="304"/>
      <c r="F60" s="64"/>
      <c r="G60" s="64"/>
      <c r="H60" s="64"/>
      <c r="I60" s="304"/>
      <c r="J60" s="20"/>
      <c r="K60" s="20"/>
      <c r="L60" s="20"/>
      <c r="M60" s="20"/>
      <c r="N60" s="304"/>
      <c r="O60" s="20"/>
      <c r="P60" s="20"/>
      <c r="Q60" s="20"/>
      <c r="R60" s="304"/>
      <c r="T60" s="20"/>
      <c r="U60" s="11"/>
      <c r="V60" s="20"/>
      <c r="X60" s="358" t="s">
        <v>508</v>
      </c>
      <c r="Y60" s="359">
        <v>0</v>
      </c>
      <c r="Z60" s="359">
        <v>2</v>
      </c>
      <c r="AA60" s="359">
        <v>0</v>
      </c>
      <c r="AB60" s="359">
        <v>0</v>
      </c>
      <c r="AC60" s="359">
        <v>0</v>
      </c>
      <c r="AD60" s="358">
        <f t="shared" si="22"/>
        <v>2</v>
      </c>
      <c r="AE60" s="343"/>
      <c r="AF60" s="491" t="s">
        <v>599</v>
      </c>
      <c r="AG60" s="492"/>
      <c r="AH60" s="492"/>
      <c r="AI60" s="492"/>
      <c r="AJ60" s="492"/>
      <c r="AK60" s="493"/>
      <c r="AL60" s="161"/>
      <c r="AM60" s="343"/>
    </row>
    <row r="61" spans="1:39" x14ac:dyDescent="0.2">
      <c r="A61" s="20"/>
      <c r="B61" s="64"/>
      <c r="C61" s="20"/>
      <c r="D61" s="20"/>
      <c r="E61" s="304"/>
      <c r="F61" s="64"/>
      <c r="G61" s="64"/>
      <c r="H61" s="64"/>
      <c r="I61" s="304"/>
      <c r="J61" s="20"/>
      <c r="K61" s="20"/>
      <c r="L61" s="20"/>
      <c r="M61" s="20"/>
      <c r="N61" s="304"/>
      <c r="O61" s="20"/>
      <c r="P61" s="20"/>
      <c r="Q61" s="20"/>
      <c r="R61" s="304"/>
      <c r="T61" s="20"/>
      <c r="U61" s="11"/>
      <c r="V61" s="20"/>
      <c r="X61" s="328" t="s">
        <v>537</v>
      </c>
      <c r="Y61" s="360">
        <f t="shared" ref="Y61:AD61" si="23">SUM(Y49:Y60)</f>
        <v>8</v>
      </c>
      <c r="Z61" s="360">
        <f t="shared" si="23"/>
        <v>18</v>
      </c>
      <c r="AA61" s="360">
        <f t="shared" si="23"/>
        <v>18</v>
      </c>
      <c r="AB61" s="360">
        <f t="shared" si="23"/>
        <v>0</v>
      </c>
      <c r="AC61" s="360">
        <f t="shared" si="23"/>
        <v>0</v>
      </c>
      <c r="AD61" s="361">
        <f t="shared" si="23"/>
        <v>44</v>
      </c>
      <c r="AE61" s="343"/>
      <c r="AF61" s="346" t="s">
        <v>528</v>
      </c>
      <c r="AG61" s="348" t="s">
        <v>529</v>
      </c>
      <c r="AH61" s="348" t="s">
        <v>530</v>
      </c>
      <c r="AI61" s="348" t="s">
        <v>531</v>
      </c>
      <c r="AJ61" s="348" t="s">
        <v>532</v>
      </c>
      <c r="AK61" s="349" t="s">
        <v>582</v>
      </c>
      <c r="AL61" s="328" t="s">
        <v>417</v>
      </c>
      <c r="AM61" s="343"/>
    </row>
    <row r="62" spans="1:39" x14ac:dyDescent="0.2">
      <c r="A62" s="20"/>
      <c r="B62" s="65"/>
      <c r="C62" s="20"/>
      <c r="D62" s="20"/>
      <c r="E62" s="304"/>
      <c r="F62" s="64"/>
      <c r="G62" s="64"/>
      <c r="H62" s="64"/>
      <c r="I62" s="304"/>
      <c r="J62" s="20"/>
      <c r="K62" s="20"/>
      <c r="L62" s="20"/>
      <c r="M62" s="20"/>
      <c r="N62" s="304"/>
      <c r="O62" s="20"/>
      <c r="P62" s="20"/>
      <c r="Q62" s="20"/>
      <c r="R62" s="304"/>
      <c r="T62" s="20"/>
      <c r="U62" s="11"/>
      <c r="V62" s="20"/>
      <c r="X62" s="328" t="s">
        <v>536</v>
      </c>
      <c r="Y62" s="362">
        <f>PRODUCT(Y61*AH52)</f>
        <v>120</v>
      </c>
      <c r="Z62" s="452">
        <f>PRODUCT(Z61*AH53)</f>
        <v>294.64019999999999</v>
      </c>
      <c r="AA62" s="452">
        <f>PRODUCT(AA61*AH54)</f>
        <v>301.44060000000002</v>
      </c>
      <c r="AB62" s="452">
        <f>PRODUCT(AB61*AH55)</f>
        <v>0</v>
      </c>
      <c r="AC62" s="452">
        <f>PRODUCT(AC61*AH56)</f>
        <v>0</v>
      </c>
      <c r="AD62" s="453">
        <f>SUM(Y62:AC62)</f>
        <v>716.08079999999995</v>
      </c>
      <c r="AE62" s="343"/>
      <c r="AF62" s="60" t="s">
        <v>84</v>
      </c>
      <c r="AG62" s="352">
        <f>Y49+Y69</f>
        <v>1</v>
      </c>
      <c r="AH62" s="352">
        <f t="shared" ref="AH62:AK73" si="24">Z49+Z69</f>
        <v>10</v>
      </c>
      <c r="AI62" s="352">
        <f t="shared" si="24"/>
        <v>3</v>
      </c>
      <c r="AJ62" s="352">
        <f t="shared" si="24"/>
        <v>2</v>
      </c>
      <c r="AK62" s="352">
        <f t="shared" si="24"/>
        <v>0</v>
      </c>
      <c r="AL62" s="353">
        <f>SUM(AG62:AK62)</f>
        <v>16</v>
      </c>
      <c r="AM62" s="343"/>
    </row>
    <row r="63" spans="1:39" x14ac:dyDescent="0.2">
      <c r="A63" s="20"/>
      <c r="B63" s="65"/>
      <c r="C63" s="20"/>
      <c r="D63" s="20"/>
      <c r="E63" s="304"/>
      <c r="F63" s="64"/>
      <c r="G63" s="64"/>
      <c r="H63" s="64"/>
      <c r="I63" s="304"/>
      <c r="J63" s="20"/>
      <c r="K63" s="20"/>
      <c r="L63" s="20"/>
      <c r="M63" s="20"/>
      <c r="N63" s="304"/>
      <c r="O63" s="20"/>
      <c r="P63" s="20"/>
      <c r="Q63" s="20"/>
      <c r="R63" s="304"/>
      <c r="T63" s="20"/>
      <c r="U63" s="11"/>
      <c r="V63" s="20"/>
      <c r="X63" s="328" t="s">
        <v>535</v>
      </c>
      <c r="Y63" s="362">
        <f>Y61*AG52</f>
        <v>800</v>
      </c>
      <c r="Z63" s="362">
        <f>Z61*AG53</f>
        <v>2700</v>
      </c>
      <c r="AA63" s="362">
        <f>AA61*AG54</f>
        <v>3600</v>
      </c>
      <c r="AB63" s="362">
        <f>AB61*AG55</f>
        <v>0</v>
      </c>
      <c r="AC63" s="362">
        <f>AC61*AG56</f>
        <v>0</v>
      </c>
      <c r="AD63" s="328">
        <f>SUM(Y63:AC63)</f>
        <v>7100</v>
      </c>
      <c r="AE63" s="343"/>
      <c r="AF63" s="60" t="s">
        <v>85</v>
      </c>
      <c r="AG63" s="352">
        <f t="shared" ref="AG63:AG73" si="25">Y50+Y70</f>
        <v>2</v>
      </c>
      <c r="AH63" s="352">
        <f t="shared" si="24"/>
        <v>14</v>
      </c>
      <c r="AI63" s="352">
        <f t="shared" si="24"/>
        <v>8</v>
      </c>
      <c r="AJ63" s="352">
        <f t="shared" si="24"/>
        <v>0</v>
      </c>
      <c r="AK63" s="352">
        <f t="shared" si="24"/>
        <v>5</v>
      </c>
      <c r="AL63" s="60">
        <f t="shared" ref="AL63:AL73" si="26">SUM(AG63:AK63)</f>
        <v>29</v>
      </c>
      <c r="AM63" s="343"/>
    </row>
    <row r="64" spans="1:39" x14ac:dyDescent="0.2">
      <c r="A64" s="20"/>
      <c r="B64" s="65"/>
      <c r="C64" s="20"/>
      <c r="D64" s="20"/>
      <c r="E64" s="304"/>
      <c r="F64" s="64"/>
      <c r="G64" s="64"/>
      <c r="H64" s="64"/>
      <c r="I64" s="304"/>
      <c r="J64" s="20"/>
      <c r="K64" s="20"/>
      <c r="L64" s="20"/>
      <c r="M64" s="20"/>
      <c r="N64" s="304"/>
      <c r="O64" s="20"/>
      <c r="P64" s="20"/>
      <c r="Q64" s="20"/>
      <c r="R64" s="304"/>
      <c r="T64" s="20"/>
      <c r="U64" s="11"/>
      <c r="V64" s="20"/>
      <c r="AC64" s="343"/>
      <c r="AD64" s="343"/>
      <c r="AE64" s="343"/>
      <c r="AF64" s="60" t="s">
        <v>86</v>
      </c>
      <c r="AG64" s="352">
        <f t="shared" si="25"/>
        <v>0</v>
      </c>
      <c r="AH64" s="352">
        <f t="shared" si="24"/>
        <v>1</v>
      </c>
      <c r="AI64" s="352">
        <f t="shared" si="24"/>
        <v>6</v>
      </c>
      <c r="AJ64" s="352">
        <f t="shared" si="24"/>
        <v>0</v>
      </c>
      <c r="AK64" s="352">
        <f t="shared" si="24"/>
        <v>3</v>
      </c>
      <c r="AL64" s="60">
        <f t="shared" si="26"/>
        <v>10</v>
      </c>
      <c r="AM64" s="343"/>
    </row>
    <row r="65" spans="1:39" x14ac:dyDescent="0.2">
      <c r="A65" s="20"/>
      <c r="B65" s="64"/>
      <c r="C65" s="20"/>
      <c r="D65" s="20"/>
      <c r="E65" s="304"/>
      <c r="I65" s="304"/>
      <c r="N65" s="304"/>
      <c r="O65" s="20"/>
      <c r="P65" s="20"/>
      <c r="Q65" s="20"/>
      <c r="R65" s="304"/>
      <c r="T65" s="20"/>
      <c r="U65" s="11"/>
      <c r="V65" s="20"/>
      <c r="AC65" s="343"/>
      <c r="AD65" s="343"/>
      <c r="AE65" s="343"/>
      <c r="AF65" s="60" t="s">
        <v>87</v>
      </c>
      <c r="AG65" s="352">
        <f t="shared" si="25"/>
        <v>0</v>
      </c>
      <c r="AH65" s="352">
        <f t="shared" si="24"/>
        <v>26</v>
      </c>
      <c r="AI65" s="352">
        <f t="shared" si="24"/>
        <v>37</v>
      </c>
      <c r="AJ65" s="352">
        <f t="shared" si="24"/>
        <v>20</v>
      </c>
      <c r="AK65" s="352">
        <f t="shared" si="24"/>
        <v>0</v>
      </c>
      <c r="AL65" s="60">
        <f t="shared" si="26"/>
        <v>83</v>
      </c>
      <c r="AM65" s="343"/>
    </row>
    <row r="66" spans="1:39" x14ac:dyDescent="0.2">
      <c r="A66" s="20"/>
      <c r="B66" s="64"/>
      <c r="C66" s="20"/>
      <c r="D66" s="20"/>
      <c r="E66" s="304"/>
      <c r="I66" s="304"/>
      <c r="N66" s="304"/>
      <c r="O66" s="20"/>
      <c r="P66" s="20"/>
      <c r="Q66" s="20"/>
      <c r="R66" s="304"/>
      <c r="T66" s="20"/>
      <c r="U66" s="11"/>
      <c r="V66" s="20"/>
      <c r="AC66" s="343"/>
      <c r="AD66" s="343"/>
      <c r="AE66" s="343"/>
      <c r="AF66" s="60" t="s">
        <v>88</v>
      </c>
      <c r="AG66" s="352">
        <f t="shared" si="25"/>
        <v>1</v>
      </c>
      <c r="AH66" s="352">
        <f t="shared" si="24"/>
        <v>3</v>
      </c>
      <c r="AI66" s="352">
        <f t="shared" si="24"/>
        <v>20</v>
      </c>
      <c r="AJ66" s="352">
        <f t="shared" si="24"/>
        <v>1</v>
      </c>
      <c r="AK66" s="352">
        <f t="shared" si="24"/>
        <v>0</v>
      </c>
      <c r="AL66" s="60">
        <f t="shared" si="26"/>
        <v>25</v>
      </c>
      <c r="AM66" s="343"/>
    </row>
    <row r="67" spans="1:39" x14ac:dyDescent="0.2">
      <c r="A67" s="20"/>
      <c r="B67" s="64"/>
      <c r="C67" s="20"/>
      <c r="D67" s="20"/>
      <c r="E67" s="304"/>
      <c r="I67" s="304"/>
      <c r="N67" s="304"/>
      <c r="O67" s="20"/>
      <c r="P67" s="20"/>
      <c r="Q67" s="20"/>
      <c r="R67" s="304"/>
      <c r="T67" s="20"/>
      <c r="U67" s="11"/>
      <c r="V67" s="20"/>
      <c r="X67" s="491" t="s">
        <v>598</v>
      </c>
      <c r="Y67" s="492"/>
      <c r="Z67" s="492"/>
      <c r="AA67" s="492"/>
      <c r="AB67" s="492"/>
      <c r="AC67" s="493"/>
      <c r="AD67" s="161"/>
      <c r="AE67" s="343"/>
      <c r="AF67" s="60" t="s">
        <v>89</v>
      </c>
      <c r="AG67" s="352">
        <f t="shared" si="25"/>
        <v>0</v>
      </c>
      <c r="AH67" s="352">
        <f t="shared" si="24"/>
        <v>17</v>
      </c>
      <c r="AI67" s="352">
        <f t="shared" si="24"/>
        <v>1</v>
      </c>
      <c r="AJ67" s="352">
        <f t="shared" si="24"/>
        <v>1</v>
      </c>
      <c r="AK67" s="352">
        <f t="shared" si="24"/>
        <v>0</v>
      </c>
      <c r="AL67" s="60">
        <f t="shared" si="26"/>
        <v>19</v>
      </c>
      <c r="AM67" s="343"/>
    </row>
    <row r="68" spans="1:39" x14ac:dyDescent="0.2">
      <c r="A68" s="20"/>
      <c r="B68" s="64"/>
      <c r="C68" s="20"/>
      <c r="D68" s="20"/>
      <c r="E68" s="304"/>
      <c r="F68" s="64"/>
      <c r="G68" s="64"/>
      <c r="H68" s="64"/>
      <c r="I68" s="304"/>
      <c r="J68" s="20"/>
      <c r="K68" s="20"/>
      <c r="L68" s="20"/>
      <c r="M68" s="20"/>
      <c r="N68" s="304"/>
      <c r="O68" s="20"/>
      <c r="P68" s="20"/>
      <c r="Q68" s="20"/>
      <c r="R68" s="304"/>
      <c r="T68" s="20"/>
      <c r="U68" s="11"/>
      <c r="V68" s="20"/>
      <c r="X68" s="346" t="s">
        <v>528</v>
      </c>
      <c r="Y68" s="348" t="s">
        <v>529</v>
      </c>
      <c r="Z68" s="348" t="s">
        <v>530</v>
      </c>
      <c r="AA68" s="348" t="s">
        <v>531</v>
      </c>
      <c r="AB68" s="348" t="s">
        <v>532</v>
      </c>
      <c r="AC68" s="349" t="s">
        <v>582</v>
      </c>
      <c r="AD68" s="328" t="s">
        <v>417</v>
      </c>
      <c r="AE68" s="343"/>
      <c r="AF68" s="60" t="s">
        <v>90</v>
      </c>
      <c r="AG68" s="352">
        <f t="shared" si="25"/>
        <v>1</v>
      </c>
      <c r="AH68" s="352">
        <f t="shared" si="24"/>
        <v>1</v>
      </c>
      <c r="AI68" s="352">
        <f t="shared" si="24"/>
        <v>1</v>
      </c>
      <c r="AJ68" s="352">
        <f t="shared" si="24"/>
        <v>3</v>
      </c>
      <c r="AK68" s="352">
        <f t="shared" si="24"/>
        <v>2</v>
      </c>
      <c r="AL68" s="60">
        <f t="shared" si="26"/>
        <v>8</v>
      </c>
      <c r="AM68" s="343"/>
    </row>
    <row r="69" spans="1:39" x14ac:dyDescent="0.2">
      <c r="B69" s="64"/>
      <c r="C69" s="20"/>
      <c r="D69" s="20"/>
      <c r="E69" s="304"/>
      <c r="F69" s="64"/>
      <c r="G69" s="64"/>
      <c r="H69" s="64"/>
      <c r="I69" s="304"/>
      <c r="J69" s="20"/>
      <c r="K69" s="20"/>
      <c r="L69" s="20"/>
      <c r="M69" s="20"/>
      <c r="N69" s="304"/>
      <c r="O69" s="20"/>
      <c r="P69" s="20"/>
      <c r="Q69" s="20"/>
      <c r="R69" s="304"/>
      <c r="T69" s="20"/>
      <c r="U69" s="11"/>
      <c r="V69" s="20"/>
      <c r="X69" s="60" t="s">
        <v>84</v>
      </c>
      <c r="Y69" s="352">
        <v>0</v>
      </c>
      <c r="Z69" s="352">
        <f>10</f>
        <v>10</v>
      </c>
      <c r="AA69" s="450">
        <f>2+1</f>
        <v>3</v>
      </c>
      <c r="AB69" s="450">
        <f>2</f>
        <v>2</v>
      </c>
      <c r="AC69" s="352">
        <v>0</v>
      </c>
      <c r="AD69" s="353">
        <f>SUM(Y69:AC69)</f>
        <v>15</v>
      </c>
      <c r="AE69" s="343"/>
      <c r="AF69" s="60" t="s">
        <v>91</v>
      </c>
      <c r="AG69" s="352">
        <f t="shared" si="25"/>
        <v>1</v>
      </c>
      <c r="AH69" s="352">
        <f t="shared" si="24"/>
        <v>25</v>
      </c>
      <c r="AI69" s="352">
        <f t="shared" si="24"/>
        <v>5</v>
      </c>
      <c r="AJ69" s="352">
        <f t="shared" si="24"/>
        <v>2</v>
      </c>
      <c r="AK69" s="352">
        <f t="shared" si="24"/>
        <v>0</v>
      </c>
      <c r="AL69" s="60">
        <f t="shared" si="26"/>
        <v>33</v>
      </c>
      <c r="AM69" s="343"/>
    </row>
    <row r="70" spans="1:39" x14ac:dyDescent="0.2">
      <c r="B70" s="64"/>
      <c r="C70" s="20"/>
      <c r="D70" s="20"/>
      <c r="E70" s="304"/>
      <c r="F70" s="64"/>
      <c r="G70" s="64"/>
      <c r="H70" s="64"/>
      <c r="I70" s="304"/>
      <c r="J70" s="20"/>
      <c r="K70" s="20"/>
      <c r="L70" s="20"/>
      <c r="M70" s="20"/>
      <c r="N70" s="304"/>
      <c r="O70" s="20"/>
      <c r="P70" s="20"/>
      <c r="Q70" s="20"/>
      <c r="R70" s="304"/>
      <c r="T70" s="20"/>
      <c r="U70" s="11"/>
      <c r="V70" s="20"/>
      <c r="X70" s="60" t="s">
        <v>85</v>
      </c>
      <c r="Y70" s="352">
        <v>0</v>
      </c>
      <c r="Z70" s="352">
        <f>7+3+4</f>
        <v>14</v>
      </c>
      <c r="AA70" s="352">
        <f>5+3</f>
        <v>8</v>
      </c>
      <c r="AB70" s="352">
        <v>0</v>
      </c>
      <c r="AC70" s="352">
        <f>3+2</f>
        <v>5</v>
      </c>
      <c r="AD70" s="60">
        <f t="shared" ref="AD70:AD80" si="27">SUM(Y70:AC70)</f>
        <v>27</v>
      </c>
      <c r="AE70" s="343"/>
      <c r="AF70" s="60" t="s">
        <v>92</v>
      </c>
      <c r="AG70" s="352">
        <f t="shared" si="25"/>
        <v>0</v>
      </c>
      <c r="AH70" s="352">
        <f t="shared" si="24"/>
        <v>7</v>
      </c>
      <c r="AI70" s="352">
        <f t="shared" si="24"/>
        <v>18</v>
      </c>
      <c r="AJ70" s="352">
        <f t="shared" si="24"/>
        <v>0</v>
      </c>
      <c r="AK70" s="352">
        <f t="shared" si="24"/>
        <v>0</v>
      </c>
      <c r="AL70" s="60">
        <f t="shared" si="26"/>
        <v>25</v>
      </c>
      <c r="AM70" s="343"/>
    </row>
    <row r="71" spans="1:39" x14ac:dyDescent="0.2">
      <c r="B71" s="64"/>
      <c r="C71" s="20"/>
      <c r="D71" s="20"/>
      <c r="E71" s="304"/>
      <c r="F71" s="64"/>
      <c r="G71" s="64"/>
      <c r="H71" s="64"/>
      <c r="I71" s="304"/>
      <c r="J71" s="20"/>
      <c r="K71" s="20"/>
      <c r="L71" s="20"/>
      <c r="M71" s="20"/>
      <c r="N71" s="304"/>
      <c r="O71" s="20"/>
      <c r="P71" s="20"/>
      <c r="Q71" s="20"/>
      <c r="R71" s="304"/>
      <c r="T71" s="20"/>
      <c r="U71" s="11"/>
      <c r="V71" s="20"/>
      <c r="X71" s="60" t="s">
        <v>86</v>
      </c>
      <c r="Y71" s="352">
        <v>0</v>
      </c>
      <c r="Z71" s="352">
        <v>0</v>
      </c>
      <c r="AA71" s="350">
        <f>4+1</f>
        <v>5</v>
      </c>
      <c r="AB71" s="352">
        <v>0</v>
      </c>
      <c r="AC71" s="352">
        <f>3</f>
        <v>3</v>
      </c>
      <c r="AD71" s="60">
        <f t="shared" si="27"/>
        <v>8</v>
      </c>
      <c r="AE71" s="343"/>
      <c r="AF71" s="60" t="s">
        <v>93</v>
      </c>
      <c r="AG71" s="352">
        <f t="shared" si="25"/>
        <v>1</v>
      </c>
      <c r="AH71" s="352">
        <f t="shared" si="24"/>
        <v>0</v>
      </c>
      <c r="AI71" s="352">
        <f t="shared" si="24"/>
        <v>6</v>
      </c>
      <c r="AJ71" s="352">
        <f t="shared" si="24"/>
        <v>8</v>
      </c>
      <c r="AK71" s="352">
        <f t="shared" si="24"/>
        <v>0</v>
      </c>
      <c r="AL71" s="60">
        <f t="shared" si="26"/>
        <v>15</v>
      </c>
      <c r="AM71" s="343"/>
    </row>
    <row r="72" spans="1:39" x14ac:dyDescent="0.2">
      <c r="B72" s="64"/>
      <c r="C72" s="20"/>
      <c r="D72" s="20"/>
      <c r="E72" s="304"/>
      <c r="F72" s="64"/>
      <c r="G72" s="64"/>
      <c r="H72" s="64"/>
      <c r="I72" s="304"/>
      <c r="J72" s="20"/>
      <c r="K72" s="20"/>
      <c r="L72" s="20"/>
      <c r="M72" s="20"/>
      <c r="N72" s="304"/>
      <c r="O72" s="20"/>
      <c r="P72" s="20"/>
      <c r="Q72" s="20"/>
      <c r="R72" s="304"/>
      <c r="T72" s="20"/>
      <c r="U72" s="11"/>
      <c r="V72" s="20"/>
      <c r="X72" s="60" t="s">
        <v>87</v>
      </c>
      <c r="Y72" s="352">
        <v>0</v>
      </c>
      <c r="Z72" s="451">
        <f>10+7+8</f>
        <v>25</v>
      </c>
      <c r="AA72" s="352">
        <f>5+4+8+14+3</f>
        <v>34</v>
      </c>
      <c r="AB72" s="352">
        <f>3+8+9</f>
        <v>20</v>
      </c>
      <c r="AC72" s="352">
        <v>0</v>
      </c>
      <c r="AD72" s="60">
        <f t="shared" si="27"/>
        <v>79</v>
      </c>
      <c r="AF72" s="60" t="s">
        <v>94</v>
      </c>
      <c r="AG72" s="352">
        <f t="shared" si="25"/>
        <v>1</v>
      </c>
      <c r="AH72" s="352">
        <f t="shared" si="24"/>
        <v>5</v>
      </c>
      <c r="AI72" s="352">
        <f t="shared" si="24"/>
        <v>6</v>
      </c>
      <c r="AJ72" s="352">
        <f t="shared" si="24"/>
        <v>9</v>
      </c>
      <c r="AK72" s="352">
        <f t="shared" si="24"/>
        <v>0</v>
      </c>
      <c r="AL72" s="60">
        <f t="shared" si="26"/>
        <v>21</v>
      </c>
    </row>
    <row r="73" spans="1:39" x14ac:dyDescent="0.2">
      <c r="B73" s="64"/>
      <c r="C73" s="20"/>
      <c r="D73" s="20"/>
      <c r="E73" s="304"/>
      <c r="F73" s="64"/>
      <c r="G73" s="64"/>
      <c r="H73" s="64"/>
      <c r="I73" s="304"/>
      <c r="J73" s="20"/>
      <c r="K73" s="20"/>
      <c r="L73" s="20"/>
      <c r="M73" s="20"/>
      <c r="N73" s="304"/>
      <c r="O73" s="20"/>
      <c r="P73" s="20"/>
      <c r="Q73" s="20"/>
      <c r="R73" s="304"/>
      <c r="T73" s="20"/>
      <c r="U73" s="11"/>
      <c r="V73" s="20"/>
      <c r="X73" s="60" t="s">
        <v>88</v>
      </c>
      <c r="Y73" s="352">
        <v>0</v>
      </c>
      <c r="Z73" s="352">
        <v>0</v>
      </c>
      <c r="AA73" s="352">
        <f>2+3+1+8+1+1</f>
        <v>16</v>
      </c>
      <c r="AB73" s="352">
        <f>1</f>
        <v>1</v>
      </c>
      <c r="AC73" s="352">
        <v>0</v>
      </c>
      <c r="AD73" s="60">
        <f t="shared" si="27"/>
        <v>17</v>
      </c>
      <c r="AF73" s="358" t="s">
        <v>508</v>
      </c>
      <c r="AG73" s="352">
        <f t="shared" si="25"/>
        <v>0</v>
      </c>
      <c r="AH73" s="352">
        <f t="shared" si="24"/>
        <v>3</v>
      </c>
      <c r="AI73" s="352">
        <f t="shared" si="24"/>
        <v>3</v>
      </c>
      <c r="AJ73" s="352">
        <f t="shared" si="24"/>
        <v>0</v>
      </c>
      <c r="AK73" s="352">
        <f t="shared" si="24"/>
        <v>0</v>
      </c>
      <c r="AL73" s="358">
        <f t="shared" si="26"/>
        <v>6</v>
      </c>
    </row>
    <row r="74" spans="1:39" x14ac:dyDescent="0.2">
      <c r="B74" s="64"/>
      <c r="C74" s="20"/>
      <c r="D74" s="20"/>
      <c r="E74" s="304"/>
      <c r="F74" s="64"/>
      <c r="G74" s="64"/>
      <c r="H74" s="64"/>
      <c r="I74" s="304"/>
      <c r="J74" s="20"/>
      <c r="K74" s="20"/>
      <c r="L74" s="20"/>
      <c r="M74" s="20"/>
      <c r="N74" s="304"/>
      <c r="O74" s="20"/>
      <c r="P74" s="20"/>
      <c r="Q74" s="20"/>
      <c r="R74" s="304"/>
      <c r="T74" s="20"/>
      <c r="U74" s="11"/>
      <c r="V74" s="20"/>
      <c r="X74" s="60" t="s">
        <v>89</v>
      </c>
      <c r="Y74" s="352">
        <v>0</v>
      </c>
      <c r="Z74" s="352">
        <f>7+7+2</f>
        <v>16</v>
      </c>
      <c r="AA74" s="352">
        <f>1</f>
        <v>1</v>
      </c>
      <c r="AB74" s="352">
        <f>1</f>
        <v>1</v>
      </c>
      <c r="AC74" s="352">
        <v>0</v>
      </c>
      <c r="AD74" s="60">
        <f t="shared" si="27"/>
        <v>18</v>
      </c>
      <c r="AF74" s="328" t="s">
        <v>537</v>
      </c>
      <c r="AG74" s="360">
        <f t="shared" ref="AG74:AL74" si="28">SUM(AG62:AG73)</f>
        <v>8</v>
      </c>
      <c r="AH74" s="360">
        <f t="shared" si="28"/>
        <v>112</v>
      </c>
      <c r="AI74" s="360">
        <f t="shared" si="28"/>
        <v>114</v>
      </c>
      <c r="AJ74" s="360">
        <f t="shared" si="28"/>
        <v>46</v>
      </c>
      <c r="AK74" s="360">
        <f t="shared" si="28"/>
        <v>10</v>
      </c>
      <c r="AL74" s="361">
        <f t="shared" si="28"/>
        <v>290</v>
      </c>
    </row>
    <row r="75" spans="1:39" x14ac:dyDescent="0.2">
      <c r="B75" s="64"/>
      <c r="C75" s="20"/>
      <c r="D75" s="20"/>
      <c r="E75" s="304"/>
      <c r="F75" s="64"/>
      <c r="G75" s="64"/>
      <c r="H75" s="64"/>
      <c r="I75" s="304"/>
      <c r="J75" s="20"/>
      <c r="K75" s="20"/>
      <c r="L75" s="20"/>
      <c r="M75" s="20"/>
      <c r="N75" s="304"/>
      <c r="O75" s="20"/>
      <c r="P75" s="20"/>
      <c r="Q75" s="20"/>
      <c r="R75" s="304"/>
      <c r="T75" s="20"/>
      <c r="U75" s="11"/>
      <c r="V75" s="20"/>
      <c r="X75" s="60" t="s">
        <v>90</v>
      </c>
      <c r="Y75" s="352">
        <v>0</v>
      </c>
      <c r="Z75" s="350">
        <v>0</v>
      </c>
      <c r="AA75" s="350">
        <f>1</f>
        <v>1</v>
      </c>
      <c r="AB75" s="352">
        <f>3</f>
        <v>3</v>
      </c>
      <c r="AC75" s="352">
        <f>2</f>
        <v>2</v>
      </c>
      <c r="AD75" s="60">
        <f t="shared" si="27"/>
        <v>6</v>
      </c>
      <c r="AF75" s="328" t="s">
        <v>536</v>
      </c>
      <c r="AG75" s="362">
        <f>PRODUCT(AG74*AH52)</f>
        <v>120</v>
      </c>
      <c r="AH75" s="452">
        <f>PRODUCT(AH74*AH53)</f>
        <v>1833.3168000000001</v>
      </c>
      <c r="AI75" s="452">
        <f>PRODUCT(AI74*AH54)</f>
        <v>1909.1238000000001</v>
      </c>
      <c r="AJ75" s="452">
        <f>PRODUCT(AJ74*AH55)</f>
        <v>776.78360000000009</v>
      </c>
      <c r="AK75" s="452">
        <f>PRODUCT(AK74*AH56)</f>
        <v>170</v>
      </c>
      <c r="AL75" s="453">
        <f>SUM(AG75:AK75)</f>
        <v>4809.2241999999997</v>
      </c>
    </row>
    <row r="76" spans="1:39" x14ac:dyDescent="0.2">
      <c r="B76" s="64"/>
      <c r="C76" s="20"/>
      <c r="D76" s="20"/>
      <c r="E76" s="304"/>
      <c r="F76" s="64"/>
      <c r="G76" s="64"/>
      <c r="H76" s="64"/>
      <c r="I76" s="304"/>
      <c r="J76" s="20"/>
      <c r="K76" s="20"/>
      <c r="L76" s="20"/>
      <c r="M76" s="20"/>
      <c r="N76" s="304"/>
      <c r="O76" s="20"/>
      <c r="P76" s="20"/>
      <c r="Q76" s="20"/>
      <c r="R76" s="304"/>
      <c r="T76" s="20"/>
      <c r="U76" s="11"/>
      <c r="V76" s="20"/>
      <c r="X76" s="60" t="s">
        <v>91</v>
      </c>
      <c r="Y76" s="352">
        <v>0</v>
      </c>
      <c r="Z76" s="350">
        <f>3+8+2+3+2+1</f>
        <v>19</v>
      </c>
      <c r="AA76" s="352">
        <f>1+2</f>
        <v>3</v>
      </c>
      <c r="AB76" s="352">
        <f>2</f>
        <v>2</v>
      </c>
      <c r="AC76" s="352">
        <v>0</v>
      </c>
      <c r="AD76" s="60">
        <f t="shared" si="27"/>
        <v>24</v>
      </c>
      <c r="AF76" s="328" t="s">
        <v>583</v>
      </c>
      <c r="AG76" s="362">
        <f>AG74*AG52</f>
        <v>800</v>
      </c>
      <c r="AH76" s="362">
        <f>AH74*AG53</f>
        <v>16800</v>
      </c>
      <c r="AI76" s="362">
        <f>AI74*AG54</f>
        <v>22800</v>
      </c>
      <c r="AJ76" s="362">
        <f>AJ74*AG55</f>
        <v>11500</v>
      </c>
      <c r="AK76" s="362">
        <f>AK74*AG56</f>
        <v>3000</v>
      </c>
      <c r="AL76" s="328">
        <f>SUM(AG76:AK76)</f>
        <v>54900</v>
      </c>
    </row>
    <row r="77" spans="1:39" x14ac:dyDescent="0.2">
      <c r="B77" s="64"/>
      <c r="C77" s="20"/>
      <c r="D77" s="20"/>
      <c r="E77" s="304"/>
      <c r="F77" s="64"/>
      <c r="G77" s="64"/>
      <c r="H77" s="64"/>
      <c r="I77" s="304"/>
      <c r="J77" s="20"/>
      <c r="K77" s="20"/>
      <c r="L77" s="20"/>
      <c r="M77" s="20"/>
      <c r="N77" s="304"/>
      <c r="O77" s="20"/>
      <c r="P77" s="20"/>
      <c r="Q77" s="20"/>
      <c r="R77" s="304"/>
      <c r="T77" s="20"/>
      <c r="U77" s="11"/>
      <c r="V77" s="20"/>
      <c r="X77" s="60" t="s">
        <v>92</v>
      </c>
      <c r="Y77" s="352">
        <v>0</v>
      </c>
      <c r="Z77" s="350">
        <f>4+3</f>
        <v>7</v>
      </c>
      <c r="AA77" s="352">
        <f>14+2</f>
        <v>16</v>
      </c>
      <c r="AB77" s="352">
        <v>0</v>
      </c>
      <c r="AC77" s="352">
        <v>0</v>
      </c>
      <c r="AD77" s="60">
        <f t="shared" si="27"/>
        <v>23</v>
      </c>
      <c r="AG77" s="459"/>
      <c r="AH77" s="350"/>
      <c r="AI77" s="350"/>
      <c r="AJ77" s="352"/>
      <c r="AK77" s="352"/>
      <c r="AL77" s="352"/>
    </row>
    <row r="78" spans="1:39" x14ac:dyDescent="0.2">
      <c r="B78" s="64"/>
      <c r="C78" s="20"/>
      <c r="D78" s="20"/>
      <c r="E78" s="304"/>
      <c r="F78" s="64"/>
      <c r="G78" s="64"/>
      <c r="H78" s="64"/>
      <c r="I78" s="304"/>
      <c r="J78" s="20"/>
      <c r="K78" s="20"/>
      <c r="L78" s="20"/>
      <c r="M78" s="20"/>
      <c r="N78" s="304"/>
      <c r="O78" s="20"/>
      <c r="P78" s="20"/>
      <c r="Q78" s="20"/>
      <c r="R78" s="304"/>
      <c r="T78" s="20"/>
      <c r="U78" s="11"/>
      <c r="V78" s="20"/>
      <c r="X78" s="60" t="s">
        <v>93</v>
      </c>
      <c r="Y78" s="352">
        <v>0</v>
      </c>
      <c r="Z78" s="350">
        <v>0</v>
      </c>
      <c r="AA78" s="352">
        <f>2+1</f>
        <v>3</v>
      </c>
      <c r="AB78" s="352">
        <f>8</f>
        <v>8</v>
      </c>
      <c r="AC78" s="352">
        <v>0</v>
      </c>
      <c r="AD78" s="60">
        <f t="shared" si="27"/>
        <v>11</v>
      </c>
      <c r="AG78" s="459"/>
      <c r="AH78" s="352"/>
      <c r="AI78" s="352"/>
      <c r="AJ78" s="352"/>
      <c r="AK78" s="352"/>
      <c r="AL78" s="352"/>
    </row>
    <row r="79" spans="1:39" ht="15" x14ac:dyDescent="0.25">
      <c r="B79" s="64"/>
      <c r="C79" s="20"/>
      <c r="D79" s="20"/>
      <c r="E79" s="304"/>
      <c r="F79" s="64"/>
      <c r="G79" s="64"/>
      <c r="H79" s="64"/>
      <c r="I79" s="304"/>
      <c r="J79" s="20"/>
      <c r="K79" s="20"/>
      <c r="L79" s="20"/>
      <c r="M79" s="20"/>
      <c r="N79" s="304"/>
      <c r="O79" s="20"/>
      <c r="P79" s="20"/>
      <c r="Q79" s="20"/>
      <c r="R79" s="304"/>
      <c r="T79" s="20"/>
      <c r="U79" s="11"/>
      <c r="V79" s="20"/>
      <c r="X79" s="60" t="s">
        <v>94</v>
      </c>
      <c r="Y79" s="352">
        <v>0</v>
      </c>
      <c r="Z79" s="451">
        <f>2</f>
        <v>2</v>
      </c>
      <c r="AA79" s="352">
        <f>2+1</f>
        <v>3</v>
      </c>
      <c r="AB79" s="352">
        <f>9</f>
        <v>9</v>
      </c>
      <c r="AC79" s="352"/>
      <c r="AD79" s="60">
        <f t="shared" si="27"/>
        <v>14</v>
      </c>
      <c r="AF79" s="438">
        <f>AD61+AD81</f>
        <v>290</v>
      </c>
      <c r="AG79" s="459"/>
      <c r="AH79" s="352"/>
      <c r="AI79" s="350"/>
      <c r="AJ79" s="352"/>
      <c r="AK79" s="352"/>
      <c r="AL79" s="352"/>
    </row>
    <row r="80" spans="1:39" ht="15" x14ac:dyDescent="0.25">
      <c r="B80" s="64"/>
      <c r="C80" s="20"/>
      <c r="D80" s="20"/>
      <c r="E80" s="304"/>
      <c r="F80" s="64"/>
      <c r="G80" s="64"/>
      <c r="H80" s="64"/>
      <c r="I80" s="304"/>
      <c r="J80" s="20"/>
      <c r="K80" s="20"/>
      <c r="L80" s="20"/>
      <c r="M80" s="20"/>
      <c r="N80" s="304"/>
      <c r="O80" s="20"/>
      <c r="P80" s="20"/>
      <c r="Q80" s="20"/>
      <c r="R80" s="304"/>
      <c r="T80" s="20"/>
      <c r="U80" s="11"/>
      <c r="V80" s="20"/>
      <c r="X80" s="358" t="s">
        <v>508</v>
      </c>
      <c r="Y80" s="352">
        <v>0</v>
      </c>
      <c r="Z80" s="359">
        <f>1</f>
        <v>1</v>
      </c>
      <c r="AA80" s="359">
        <f>3</f>
        <v>3</v>
      </c>
      <c r="AB80" s="359">
        <v>0</v>
      </c>
      <c r="AC80" s="352">
        <v>0</v>
      </c>
      <c r="AD80" s="358">
        <f t="shared" si="27"/>
        <v>4</v>
      </c>
      <c r="AF80" s="550">
        <f>AD62+AD82</f>
        <v>4809.2242000000006</v>
      </c>
      <c r="AG80" s="459"/>
      <c r="AH80" s="352"/>
      <c r="AI80" s="350"/>
      <c r="AJ80" s="352"/>
      <c r="AK80" s="352"/>
      <c r="AL80" s="352"/>
    </row>
    <row r="81" spans="2:38" x14ac:dyDescent="0.2">
      <c r="B81" s="64"/>
      <c r="C81" s="20"/>
      <c r="D81" s="20"/>
      <c r="E81" s="304"/>
      <c r="F81" s="64"/>
      <c r="G81" s="64"/>
      <c r="H81" s="64"/>
      <c r="I81" s="304"/>
      <c r="J81" s="20"/>
      <c r="K81" s="20"/>
      <c r="L81" s="20"/>
      <c r="M81" s="20"/>
      <c r="N81" s="304"/>
      <c r="O81" s="20"/>
      <c r="P81" s="20"/>
      <c r="Q81" s="20"/>
      <c r="R81" s="304"/>
      <c r="T81" s="20"/>
      <c r="U81" s="11"/>
      <c r="V81" s="20"/>
      <c r="X81" s="328" t="s">
        <v>537</v>
      </c>
      <c r="Y81" s="360">
        <f t="shared" ref="Y81:AD81" si="29">SUM(Y69:Y80)</f>
        <v>0</v>
      </c>
      <c r="Z81" s="360">
        <f t="shared" si="29"/>
        <v>94</v>
      </c>
      <c r="AA81" s="360">
        <f t="shared" si="29"/>
        <v>96</v>
      </c>
      <c r="AB81" s="360">
        <f t="shared" si="29"/>
        <v>46</v>
      </c>
      <c r="AC81" s="360">
        <f t="shared" si="29"/>
        <v>10</v>
      </c>
      <c r="AD81" s="361">
        <f t="shared" si="29"/>
        <v>246</v>
      </c>
      <c r="AF81" s="352">
        <f>AD63+AD83</f>
        <v>54900</v>
      </c>
      <c r="AG81" s="459"/>
      <c r="AH81" s="352"/>
      <c r="AI81" s="352"/>
      <c r="AJ81" s="352"/>
      <c r="AK81" s="352"/>
      <c r="AL81" s="352"/>
    </row>
    <row r="82" spans="2:38" x14ac:dyDescent="0.2">
      <c r="B82" s="64"/>
      <c r="C82" s="20"/>
      <c r="D82" s="20"/>
      <c r="E82" s="304"/>
      <c r="F82" s="64"/>
      <c r="G82" s="64"/>
      <c r="H82" s="64"/>
      <c r="I82" s="304"/>
      <c r="J82" s="20"/>
      <c r="K82" s="20"/>
      <c r="L82" s="20"/>
      <c r="M82" s="20"/>
      <c r="N82" s="304"/>
      <c r="O82" s="20"/>
      <c r="P82" s="20"/>
      <c r="Q82" s="20"/>
      <c r="R82" s="304"/>
      <c r="T82" s="20"/>
      <c r="U82" s="11"/>
      <c r="V82" s="20"/>
      <c r="X82" s="328" t="s">
        <v>536</v>
      </c>
      <c r="Y82" s="452">
        <f>PRODUCT(Y81*AH52)</f>
        <v>0</v>
      </c>
      <c r="Z82" s="452">
        <f>PRODUCT(Z81*AH53)</f>
        <v>1538.6766</v>
      </c>
      <c r="AA82" s="452">
        <f>PRODUCT(AA81*AH54)</f>
        <v>1607.6831999999999</v>
      </c>
      <c r="AB82" s="452">
        <f>PRODUCT(AB81*AH55)</f>
        <v>776.78360000000009</v>
      </c>
      <c r="AC82" s="452">
        <f>PRODUCT(AC81*AH56)</f>
        <v>170</v>
      </c>
      <c r="AD82" s="453">
        <f>SUM(Y82:AC82)</f>
        <v>4093.1434000000004</v>
      </c>
    </row>
    <row r="83" spans="2:38" x14ac:dyDescent="0.2">
      <c r="B83" s="64"/>
      <c r="C83" s="20"/>
      <c r="D83" s="20"/>
      <c r="E83" s="304"/>
      <c r="F83" s="64"/>
      <c r="G83" s="64"/>
      <c r="H83" s="64"/>
      <c r="I83" s="304"/>
      <c r="J83" s="20"/>
      <c r="K83" s="20"/>
      <c r="L83" s="20"/>
      <c r="M83" s="20"/>
      <c r="N83" s="304"/>
      <c r="O83" s="20"/>
      <c r="P83" s="20"/>
      <c r="Q83" s="20"/>
      <c r="R83" s="304"/>
      <c r="T83" s="20"/>
      <c r="U83" s="11"/>
      <c r="V83" s="20"/>
      <c r="X83" s="328" t="s">
        <v>583</v>
      </c>
      <c r="Y83" s="362">
        <f>Y81*AG52</f>
        <v>0</v>
      </c>
      <c r="Z83" s="362">
        <f>Z81*AG53</f>
        <v>14100</v>
      </c>
      <c r="AA83" s="362">
        <f>AA81*AG54</f>
        <v>19200</v>
      </c>
      <c r="AB83" s="362">
        <f>AB81*AG55</f>
        <v>11500</v>
      </c>
      <c r="AC83" s="362">
        <f>AC81*AG56</f>
        <v>3000</v>
      </c>
      <c r="AD83" s="328">
        <f>SUM(Y83:AC83)</f>
        <v>47800</v>
      </c>
    </row>
    <row r="84" spans="2:38" x14ac:dyDescent="0.2">
      <c r="B84" s="64"/>
      <c r="C84" s="20"/>
      <c r="D84" s="20"/>
      <c r="E84" s="304"/>
      <c r="F84" s="64"/>
      <c r="G84" s="64"/>
      <c r="H84" s="64"/>
      <c r="I84" s="304"/>
      <c r="J84" s="20"/>
      <c r="K84" s="20"/>
      <c r="L84" s="20"/>
      <c r="M84" s="20"/>
      <c r="N84" s="304"/>
      <c r="O84" s="20"/>
      <c r="P84" s="20"/>
      <c r="Q84" s="20"/>
      <c r="R84" s="304"/>
      <c r="T84" s="20"/>
      <c r="U84" s="11"/>
      <c r="V84" s="20"/>
    </row>
    <row r="85" spans="2:38" x14ac:dyDescent="0.2">
      <c r="B85" s="64"/>
      <c r="C85" s="20"/>
      <c r="D85" s="20"/>
      <c r="E85" s="304"/>
      <c r="F85" s="64"/>
      <c r="G85" s="64"/>
      <c r="H85" s="64"/>
      <c r="I85" s="304"/>
      <c r="J85" s="20"/>
      <c r="K85" s="20"/>
      <c r="L85" s="20"/>
      <c r="M85" s="20"/>
      <c r="N85" s="304"/>
      <c r="O85" s="20"/>
      <c r="P85" s="20"/>
      <c r="Q85" s="20"/>
      <c r="R85" s="304"/>
      <c r="T85" s="20"/>
      <c r="U85" s="11"/>
      <c r="V85" s="20"/>
    </row>
    <row r="86" spans="2:38" x14ac:dyDescent="0.2">
      <c r="B86" s="64"/>
      <c r="C86" s="20"/>
      <c r="D86" s="20"/>
      <c r="E86" s="304"/>
      <c r="F86" s="64"/>
      <c r="G86" s="64"/>
      <c r="H86" s="64"/>
      <c r="I86" s="304"/>
      <c r="J86" s="20"/>
      <c r="K86" s="20"/>
      <c r="L86" s="20"/>
      <c r="M86" s="20"/>
      <c r="N86" s="304"/>
      <c r="O86" s="20"/>
      <c r="P86" s="20"/>
      <c r="Q86" s="20"/>
      <c r="R86" s="304"/>
      <c r="T86" s="20"/>
      <c r="U86" s="11"/>
      <c r="V86" s="20"/>
    </row>
    <row r="87" spans="2:38" x14ac:dyDescent="0.2">
      <c r="B87" s="64"/>
      <c r="C87" s="20"/>
      <c r="D87" s="20"/>
      <c r="E87" s="304"/>
      <c r="F87" s="64"/>
      <c r="G87" s="64"/>
      <c r="H87" s="64"/>
      <c r="I87" s="304"/>
      <c r="J87" s="20"/>
      <c r="K87" s="20"/>
      <c r="L87" s="20"/>
      <c r="M87" s="20"/>
      <c r="N87" s="304"/>
      <c r="O87" s="20"/>
      <c r="P87" s="20"/>
      <c r="Q87" s="20"/>
      <c r="R87" s="304"/>
      <c r="T87" s="20"/>
      <c r="U87" s="11"/>
      <c r="V87" s="20"/>
    </row>
    <row r="88" spans="2:38" x14ac:dyDescent="0.2">
      <c r="B88" s="64"/>
      <c r="C88" s="20"/>
      <c r="D88" s="20"/>
      <c r="E88" s="304"/>
      <c r="F88" s="64"/>
      <c r="G88" s="64"/>
      <c r="H88" s="64"/>
      <c r="I88" s="304"/>
      <c r="J88" s="20"/>
      <c r="K88" s="20"/>
      <c r="L88" s="20"/>
      <c r="M88" s="20"/>
      <c r="N88" s="304"/>
      <c r="O88" s="20"/>
      <c r="P88" s="20"/>
      <c r="Q88" s="20"/>
      <c r="R88" s="304"/>
      <c r="T88" s="20"/>
      <c r="U88" s="11"/>
      <c r="V88" s="20"/>
    </row>
    <row r="89" spans="2:38" x14ac:dyDescent="0.2">
      <c r="B89" s="64"/>
      <c r="C89" s="20"/>
      <c r="D89" s="20"/>
      <c r="E89" s="304"/>
      <c r="F89" s="64"/>
      <c r="G89" s="64"/>
      <c r="H89" s="64"/>
      <c r="I89" s="304"/>
      <c r="J89" s="20"/>
      <c r="K89" s="20"/>
      <c r="L89" s="20"/>
      <c r="M89" s="20"/>
      <c r="N89" s="304"/>
      <c r="O89" s="20"/>
      <c r="P89" s="20"/>
      <c r="Q89" s="20"/>
      <c r="R89" s="304"/>
      <c r="T89" s="20"/>
      <c r="U89" s="11"/>
      <c r="V89" s="20"/>
    </row>
    <row r="90" spans="2:38" x14ac:dyDescent="0.2">
      <c r="B90" s="64"/>
      <c r="C90" s="20"/>
      <c r="D90" s="20"/>
      <c r="E90" s="304"/>
      <c r="F90" s="64"/>
      <c r="G90" s="64"/>
      <c r="H90" s="64"/>
      <c r="I90" s="304"/>
      <c r="J90" s="20"/>
      <c r="K90" s="20"/>
      <c r="L90" s="20"/>
      <c r="M90" s="20"/>
      <c r="N90" s="304"/>
      <c r="O90" s="20"/>
      <c r="P90" s="20"/>
      <c r="Q90" s="20"/>
      <c r="R90" s="304"/>
      <c r="T90" s="20"/>
      <c r="U90" s="11"/>
      <c r="V90" s="20"/>
    </row>
    <row r="91" spans="2:38" x14ac:dyDescent="0.2">
      <c r="B91" s="64"/>
      <c r="C91" s="20"/>
      <c r="D91" s="20"/>
      <c r="E91" s="304"/>
      <c r="F91" s="64"/>
      <c r="G91" s="64"/>
      <c r="H91" s="64"/>
      <c r="I91" s="304"/>
      <c r="J91" s="20"/>
      <c r="K91" s="20"/>
      <c r="L91" s="20"/>
      <c r="M91" s="20"/>
      <c r="N91" s="304"/>
      <c r="O91" s="20"/>
      <c r="P91" s="20"/>
      <c r="Q91" s="20"/>
      <c r="R91" s="304"/>
      <c r="T91" s="20"/>
      <c r="U91" s="11"/>
      <c r="V91" s="20"/>
    </row>
    <row r="92" spans="2:38" x14ac:dyDescent="0.2">
      <c r="B92" s="64"/>
      <c r="C92" s="20"/>
      <c r="D92" s="20"/>
      <c r="E92" s="304"/>
      <c r="F92" s="64"/>
      <c r="G92" s="64"/>
      <c r="H92" s="64"/>
      <c r="I92" s="304"/>
      <c r="J92" s="20"/>
      <c r="K92" s="20"/>
      <c r="L92" s="20"/>
      <c r="M92" s="20"/>
      <c r="N92" s="304"/>
      <c r="O92" s="20"/>
      <c r="P92" s="20"/>
      <c r="Q92" s="20"/>
      <c r="R92" s="304"/>
      <c r="T92" s="20"/>
      <c r="U92" s="11"/>
      <c r="V92" s="20"/>
    </row>
    <row r="93" spans="2:38" x14ac:dyDescent="0.2">
      <c r="B93" s="64"/>
      <c r="C93" s="20"/>
      <c r="D93" s="20"/>
      <c r="E93" s="304"/>
      <c r="F93" s="64"/>
      <c r="G93" s="64"/>
      <c r="H93" s="64"/>
      <c r="I93" s="304"/>
      <c r="J93" s="20"/>
      <c r="K93" s="20"/>
      <c r="L93" s="20"/>
      <c r="M93" s="20"/>
      <c r="N93" s="304"/>
      <c r="O93" s="20"/>
      <c r="P93" s="20"/>
      <c r="Q93" s="20"/>
      <c r="R93" s="304"/>
      <c r="T93" s="20"/>
      <c r="U93" s="11"/>
      <c r="V93" s="20"/>
    </row>
    <row r="94" spans="2:38" x14ac:dyDescent="0.2">
      <c r="B94" s="64"/>
      <c r="C94" s="20"/>
      <c r="D94" s="20"/>
      <c r="E94" s="304"/>
      <c r="F94" s="64"/>
      <c r="G94" s="64"/>
      <c r="H94" s="64"/>
      <c r="I94" s="304"/>
      <c r="J94" s="20"/>
      <c r="K94" s="20"/>
      <c r="L94" s="20"/>
      <c r="M94" s="20"/>
      <c r="N94" s="304"/>
      <c r="O94" s="20"/>
      <c r="P94" s="20"/>
      <c r="Q94" s="20"/>
      <c r="R94" s="304"/>
      <c r="T94" s="20"/>
      <c r="U94" s="11"/>
      <c r="V94" s="20"/>
    </row>
    <row r="95" spans="2:38" x14ac:dyDescent="0.2">
      <c r="B95" s="64"/>
      <c r="C95" s="20"/>
      <c r="D95" s="20"/>
      <c r="E95" s="304"/>
      <c r="F95" s="64"/>
      <c r="G95" s="64"/>
      <c r="H95" s="64"/>
      <c r="I95" s="304"/>
      <c r="J95" s="20"/>
      <c r="K95" s="20"/>
      <c r="L95" s="20"/>
      <c r="M95" s="20"/>
      <c r="N95" s="304"/>
      <c r="O95" s="20"/>
      <c r="P95" s="20"/>
      <c r="Q95" s="20"/>
      <c r="R95" s="304"/>
      <c r="T95" s="20"/>
      <c r="U95" s="11"/>
      <c r="V95" s="20"/>
    </row>
    <row r="96" spans="2:38" x14ac:dyDescent="0.2">
      <c r="B96" s="64"/>
      <c r="C96" s="20"/>
      <c r="D96" s="20"/>
      <c r="E96" s="304"/>
      <c r="F96" s="64"/>
      <c r="G96" s="64"/>
      <c r="H96" s="64"/>
      <c r="I96" s="304"/>
      <c r="J96" s="20"/>
      <c r="K96" s="20"/>
      <c r="L96" s="20"/>
      <c r="M96" s="20"/>
      <c r="N96" s="304"/>
      <c r="O96" s="20"/>
      <c r="P96" s="20"/>
      <c r="Q96" s="20"/>
      <c r="R96" s="304"/>
      <c r="T96" s="20"/>
      <c r="U96" s="11"/>
      <c r="V96" s="20"/>
    </row>
    <row r="97" spans="2:22" x14ac:dyDescent="0.2">
      <c r="B97" s="64"/>
      <c r="C97" s="20"/>
      <c r="D97" s="20"/>
      <c r="E97" s="304"/>
      <c r="F97" s="64"/>
      <c r="G97" s="64"/>
      <c r="H97" s="64"/>
      <c r="I97" s="304"/>
      <c r="J97" s="20"/>
      <c r="K97" s="20"/>
      <c r="L97" s="20"/>
      <c r="M97" s="20"/>
      <c r="N97" s="304"/>
      <c r="O97" s="20"/>
      <c r="P97" s="20"/>
      <c r="Q97" s="20"/>
      <c r="R97" s="304"/>
      <c r="T97" s="20"/>
      <c r="U97" s="11"/>
      <c r="V97" s="20"/>
    </row>
    <row r="98" spans="2:22" x14ac:dyDescent="0.2">
      <c r="B98" s="64"/>
      <c r="C98" s="20"/>
      <c r="D98" s="20"/>
      <c r="E98" s="304"/>
      <c r="F98" s="64"/>
      <c r="G98" s="64"/>
      <c r="H98" s="64"/>
      <c r="I98" s="304"/>
      <c r="J98" s="20"/>
      <c r="K98" s="20"/>
      <c r="L98" s="20"/>
      <c r="M98" s="20"/>
      <c r="N98" s="304"/>
      <c r="O98" s="20"/>
      <c r="P98" s="20"/>
      <c r="Q98" s="20"/>
      <c r="R98" s="304"/>
      <c r="T98" s="20"/>
      <c r="U98" s="11"/>
      <c r="V98" s="20"/>
    </row>
    <row r="99" spans="2:22" x14ac:dyDescent="0.2">
      <c r="B99" s="64"/>
      <c r="C99" s="20"/>
      <c r="D99" s="20"/>
      <c r="E99" s="304"/>
      <c r="F99" s="64"/>
      <c r="G99" s="64"/>
      <c r="H99" s="64"/>
      <c r="I99" s="304"/>
      <c r="J99" s="20"/>
      <c r="K99" s="20"/>
      <c r="L99" s="20"/>
      <c r="M99" s="20"/>
      <c r="N99" s="304"/>
      <c r="O99" s="20"/>
      <c r="P99" s="20"/>
      <c r="Q99" s="20"/>
      <c r="R99" s="304"/>
      <c r="T99" s="20"/>
      <c r="U99" s="11"/>
      <c r="V99" s="20"/>
    </row>
    <row r="100" spans="2:22" x14ac:dyDescent="0.2">
      <c r="B100" s="64"/>
      <c r="C100" s="20"/>
      <c r="D100" s="20"/>
      <c r="E100" s="304"/>
      <c r="F100" s="64"/>
      <c r="G100" s="64"/>
      <c r="H100" s="64"/>
      <c r="I100" s="304"/>
      <c r="J100" s="20"/>
      <c r="K100" s="20"/>
      <c r="L100" s="20"/>
      <c r="M100" s="20"/>
      <c r="N100" s="304"/>
      <c r="O100" s="20"/>
      <c r="P100" s="20"/>
      <c r="Q100" s="20"/>
      <c r="R100" s="304"/>
      <c r="T100" s="20"/>
      <c r="U100" s="11"/>
      <c r="V100" s="20"/>
    </row>
    <row r="101" spans="2:22" x14ac:dyDescent="0.2">
      <c r="B101" s="64"/>
      <c r="C101" s="20"/>
      <c r="D101" s="20"/>
      <c r="E101" s="304"/>
      <c r="F101" s="64"/>
      <c r="G101" s="64"/>
      <c r="H101" s="64"/>
      <c r="I101" s="304"/>
      <c r="J101" s="20"/>
      <c r="K101" s="20"/>
      <c r="L101" s="20"/>
      <c r="M101" s="20"/>
      <c r="N101" s="304"/>
      <c r="O101" s="20"/>
      <c r="P101" s="20"/>
      <c r="Q101" s="20"/>
      <c r="R101" s="304"/>
      <c r="T101" s="20"/>
      <c r="U101" s="11"/>
      <c r="V101" s="20"/>
    </row>
    <row r="102" spans="2:22" x14ac:dyDescent="0.2">
      <c r="B102" s="64"/>
      <c r="C102" s="20"/>
      <c r="D102" s="20"/>
      <c r="E102" s="304"/>
      <c r="F102" s="64"/>
      <c r="G102" s="64"/>
      <c r="H102" s="64"/>
      <c r="I102" s="304"/>
      <c r="J102" s="20"/>
      <c r="K102" s="20"/>
      <c r="L102" s="20"/>
      <c r="M102" s="20"/>
      <c r="N102" s="304"/>
      <c r="O102" s="20"/>
      <c r="P102" s="20"/>
      <c r="Q102" s="20"/>
      <c r="R102" s="304"/>
      <c r="T102" s="20"/>
      <c r="U102" s="11"/>
      <c r="V102" s="20"/>
    </row>
    <row r="103" spans="2:22" x14ac:dyDescent="0.2">
      <c r="B103" s="64"/>
      <c r="C103" s="20"/>
      <c r="D103" s="20"/>
      <c r="E103" s="304"/>
      <c r="F103" s="64"/>
      <c r="G103" s="64"/>
      <c r="H103" s="64"/>
      <c r="I103" s="304"/>
      <c r="J103" s="20"/>
      <c r="K103" s="20"/>
      <c r="L103" s="20"/>
      <c r="M103" s="20"/>
      <c r="N103" s="304"/>
      <c r="O103" s="20"/>
      <c r="P103" s="20"/>
      <c r="Q103" s="20"/>
      <c r="R103" s="304"/>
      <c r="T103" s="20"/>
      <c r="U103" s="11"/>
      <c r="V103" s="20"/>
    </row>
    <row r="104" spans="2:22" x14ac:dyDescent="0.2">
      <c r="B104" s="64"/>
      <c r="C104" s="20"/>
      <c r="D104" s="20"/>
      <c r="E104" s="304"/>
      <c r="F104" s="64"/>
      <c r="G104" s="64"/>
      <c r="H104" s="64"/>
      <c r="I104" s="304"/>
      <c r="J104" s="20"/>
      <c r="K104" s="20"/>
      <c r="L104" s="20"/>
      <c r="M104" s="20"/>
      <c r="N104" s="304"/>
      <c r="O104" s="20"/>
      <c r="P104" s="20"/>
      <c r="Q104" s="20"/>
      <c r="R104" s="304"/>
      <c r="T104" s="20"/>
      <c r="U104" s="11"/>
      <c r="V104" s="20"/>
    </row>
    <row r="105" spans="2:22" x14ac:dyDescent="0.2">
      <c r="B105" s="64"/>
      <c r="C105" s="20"/>
      <c r="D105" s="20"/>
      <c r="E105" s="304"/>
      <c r="F105" s="64"/>
      <c r="G105" s="64"/>
      <c r="H105" s="64"/>
      <c r="I105" s="304"/>
      <c r="J105" s="20"/>
      <c r="K105" s="20"/>
      <c r="L105" s="20"/>
      <c r="M105" s="20"/>
      <c r="N105" s="304"/>
      <c r="O105" s="20"/>
      <c r="P105" s="20"/>
      <c r="Q105" s="20"/>
      <c r="R105" s="304"/>
      <c r="T105" s="20"/>
      <c r="U105" s="11"/>
      <c r="V105" s="20"/>
    </row>
    <row r="106" spans="2:22" x14ac:dyDescent="0.2">
      <c r="B106" s="64"/>
      <c r="C106" s="20"/>
      <c r="D106" s="20"/>
      <c r="E106" s="304"/>
      <c r="F106" s="64"/>
      <c r="G106" s="64"/>
      <c r="H106" s="64"/>
      <c r="I106" s="304"/>
      <c r="J106" s="20"/>
      <c r="K106" s="20"/>
      <c r="L106" s="20"/>
      <c r="M106" s="20"/>
      <c r="N106" s="304"/>
      <c r="O106" s="20"/>
      <c r="P106" s="20"/>
      <c r="Q106" s="20"/>
      <c r="R106" s="304"/>
      <c r="T106" s="20"/>
      <c r="U106" s="11"/>
      <c r="V106" s="20"/>
    </row>
    <row r="107" spans="2:22" x14ac:dyDescent="0.2">
      <c r="B107" s="64"/>
      <c r="C107" s="20"/>
      <c r="D107" s="20"/>
      <c r="E107" s="304"/>
      <c r="F107" s="64"/>
      <c r="G107" s="64"/>
      <c r="H107" s="64"/>
      <c r="I107" s="304"/>
      <c r="J107" s="20"/>
      <c r="K107" s="20"/>
      <c r="L107" s="20"/>
      <c r="M107" s="20"/>
      <c r="N107" s="304"/>
      <c r="O107" s="20"/>
      <c r="P107" s="20"/>
      <c r="Q107" s="20"/>
      <c r="R107" s="304"/>
      <c r="T107" s="20"/>
      <c r="U107" s="11"/>
      <c r="V107" s="20"/>
    </row>
    <row r="108" spans="2:22" x14ac:dyDescent="0.2">
      <c r="B108" s="64"/>
      <c r="C108" s="20"/>
      <c r="D108" s="20"/>
      <c r="E108" s="304"/>
      <c r="F108" s="64"/>
      <c r="G108" s="64"/>
      <c r="H108" s="64"/>
      <c r="I108" s="304"/>
      <c r="J108" s="20"/>
      <c r="K108" s="20"/>
      <c r="L108" s="20"/>
      <c r="M108" s="20"/>
      <c r="N108" s="304"/>
      <c r="O108" s="20"/>
      <c r="P108" s="20"/>
      <c r="Q108" s="20"/>
      <c r="R108" s="304"/>
      <c r="T108" s="20"/>
      <c r="U108" s="11"/>
      <c r="V108" s="20"/>
    </row>
    <row r="109" spans="2:22" x14ac:dyDescent="0.2">
      <c r="B109" s="64"/>
      <c r="C109" s="20"/>
      <c r="D109" s="20"/>
      <c r="E109" s="304"/>
      <c r="F109" s="64"/>
      <c r="G109" s="64"/>
      <c r="H109" s="64"/>
      <c r="I109" s="304"/>
      <c r="J109" s="20"/>
      <c r="K109" s="20"/>
      <c r="L109" s="20"/>
      <c r="M109" s="20"/>
      <c r="N109" s="304"/>
      <c r="O109" s="20"/>
      <c r="P109" s="20"/>
      <c r="Q109" s="20"/>
      <c r="R109" s="304"/>
      <c r="T109" s="20"/>
      <c r="U109" s="11"/>
      <c r="V109" s="20"/>
    </row>
    <row r="110" spans="2:22" x14ac:dyDescent="0.2">
      <c r="B110" s="64"/>
      <c r="C110" s="20"/>
      <c r="D110" s="20"/>
      <c r="E110" s="304"/>
      <c r="F110" s="64"/>
      <c r="G110" s="64"/>
      <c r="H110" s="64"/>
      <c r="I110" s="304"/>
      <c r="J110" s="20"/>
      <c r="K110" s="20"/>
      <c r="L110" s="20"/>
      <c r="M110" s="20"/>
      <c r="N110" s="304"/>
      <c r="O110" s="20"/>
      <c r="P110" s="20"/>
      <c r="Q110" s="20"/>
      <c r="R110" s="304"/>
      <c r="T110" s="20"/>
      <c r="U110" s="11"/>
      <c r="V110" s="20"/>
    </row>
    <row r="111" spans="2:22" x14ac:dyDescent="0.2">
      <c r="B111" s="64"/>
      <c r="C111" s="20"/>
      <c r="D111" s="20"/>
      <c r="E111" s="304"/>
      <c r="F111" s="64"/>
      <c r="G111" s="64"/>
      <c r="H111" s="64"/>
      <c r="I111" s="304"/>
      <c r="J111" s="20"/>
      <c r="K111" s="20"/>
      <c r="L111" s="20"/>
      <c r="M111" s="20"/>
      <c r="N111" s="304"/>
      <c r="O111" s="20"/>
      <c r="P111" s="20"/>
      <c r="Q111" s="20"/>
      <c r="R111" s="304"/>
      <c r="T111" s="20"/>
      <c r="U111" s="11"/>
      <c r="V111" s="20"/>
    </row>
    <row r="112" spans="2:22" x14ac:dyDescent="0.2">
      <c r="B112" s="64"/>
      <c r="C112" s="20"/>
      <c r="D112" s="20"/>
      <c r="E112" s="304"/>
      <c r="F112" s="64"/>
      <c r="G112" s="64"/>
      <c r="H112" s="64"/>
      <c r="I112" s="304"/>
      <c r="J112" s="20"/>
      <c r="K112" s="20"/>
      <c r="L112" s="20"/>
      <c r="M112" s="20"/>
      <c r="N112" s="304"/>
      <c r="O112" s="20"/>
      <c r="P112" s="20"/>
      <c r="Q112" s="20"/>
      <c r="R112" s="304"/>
      <c r="T112" s="20"/>
      <c r="U112" s="11"/>
      <c r="V112" s="20"/>
    </row>
    <row r="113" spans="1:22" x14ac:dyDescent="0.2">
      <c r="B113" s="64"/>
      <c r="C113" s="20"/>
      <c r="D113" s="20"/>
      <c r="E113" s="304"/>
      <c r="F113" s="64"/>
      <c r="G113" s="64"/>
      <c r="H113" s="64"/>
      <c r="I113" s="304"/>
      <c r="J113" s="20"/>
      <c r="K113" s="20"/>
      <c r="L113" s="20"/>
      <c r="M113" s="20"/>
      <c r="N113" s="304"/>
      <c r="O113" s="20"/>
      <c r="P113" s="20"/>
      <c r="Q113" s="20"/>
      <c r="R113" s="304"/>
      <c r="T113" s="20"/>
      <c r="U113" s="11"/>
      <c r="V113" s="20"/>
    </row>
    <row r="114" spans="1:22" x14ac:dyDescent="0.2">
      <c r="B114" s="64"/>
      <c r="C114" s="20"/>
      <c r="D114" s="20"/>
      <c r="E114" s="304"/>
      <c r="F114" s="64"/>
      <c r="G114" s="64"/>
      <c r="H114" s="64"/>
      <c r="I114" s="304"/>
      <c r="J114" s="20"/>
      <c r="K114" s="20"/>
      <c r="L114" s="20"/>
      <c r="M114" s="20"/>
      <c r="N114" s="304"/>
      <c r="O114" s="20"/>
      <c r="P114" s="20"/>
      <c r="Q114" s="20"/>
      <c r="R114" s="304"/>
      <c r="T114" s="20"/>
      <c r="U114" s="11"/>
      <c r="V114" s="20"/>
    </row>
    <row r="115" spans="1:22" x14ac:dyDescent="0.2">
      <c r="B115" s="64"/>
      <c r="C115" s="20"/>
      <c r="D115" s="20"/>
      <c r="E115" s="304"/>
      <c r="F115" s="64"/>
      <c r="G115" s="64"/>
      <c r="H115" s="64"/>
      <c r="I115" s="304"/>
      <c r="J115" s="20"/>
      <c r="K115" s="20"/>
      <c r="L115" s="20"/>
      <c r="M115" s="20"/>
      <c r="N115" s="304"/>
      <c r="O115" s="20"/>
      <c r="P115" s="20"/>
      <c r="Q115" s="20"/>
      <c r="R115" s="304"/>
      <c r="T115" s="20"/>
      <c r="U115" s="11"/>
      <c r="V115" s="20"/>
    </row>
    <row r="116" spans="1:22" x14ac:dyDescent="0.2">
      <c r="B116" s="64"/>
      <c r="C116" s="20"/>
      <c r="D116" s="20"/>
      <c r="E116" s="304"/>
      <c r="F116" s="64"/>
      <c r="G116" s="64"/>
      <c r="H116" s="64"/>
      <c r="I116" s="304"/>
      <c r="J116" s="20"/>
      <c r="K116" s="20"/>
      <c r="L116" s="20"/>
      <c r="M116" s="20"/>
      <c r="N116" s="304"/>
      <c r="O116" s="20"/>
      <c r="P116" s="20"/>
      <c r="Q116" s="20"/>
      <c r="R116" s="304"/>
      <c r="T116" s="20"/>
      <c r="U116" s="11"/>
      <c r="V116" s="20"/>
    </row>
    <row r="117" spans="1:22" x14ac:dyDescent="0.2">
      <c r="B117" s="64"/>
      <c r="C117" s="20"/>
      <c r="D117" s="20"/>
      <c r="E117" s="304"/>
      <c r="F117" s="64"/>
      <c r="G117" s="64"/>
      <c r="H117" s="64"/>
      <c r="I117" s="304"/>
      <c r="J117" s="20"/>
      <c r="K117" s="20"/>
      <c r="L117" s="20"/>
      <c r="M117" s="20"/>
      <c r="N117" s="304"/>
      <c r="O117" s="20"/>
      <c r="P117" s="20"/>
      <c r="Q117" s="20"/>
      <c r="R117" s="304"/>
      <c r="T117" s="20"/>
      <c r="U117" s="11"/>
      <c r="V117" s="20"/>
    </row>
    <row r="118" spans="1:22" x14ac:dyDescent="0.2">
      <c r="B118" s="64"/>
      <c r="C118" s="20"/>
      <c r="D118" s="20"/>
      <c r="E118" s="304"/>
      <c r="F118" s="64"/>
      <c r="G118" s="64"/>
      <c r="H118" s="64"/>
      <c r="I118" s="304"/>
      <c r="J118" s="20"/>
      <c r="K118" s="20"/>
      <c r="L118" s="20"/>
      <c r="M118" s="20"/>
      <c r="N118" s="304"/>
      <c r="O118" s="20"/>
      <c r="P118" s="20"/>
      <c r="Q118" s="20"/>
      <c r="R118" s="304"/>
      <c r="T118" s="20"/>
      <c r="U118" s="11"/>
      <c r="V118" s="20"/>
    </row>
    <row r="119" spans="1:22" x14ac:dyDescent="0.2">
      <c r="B119" s="64"/>
      <c r="C119" s="20"/>
      <c r="D119" s="20"/>
      <c r="E119" s="304"/>
      <c r="F119" s="64"/>
      <c r="G119" s="64"/>
      <c r="H119" s="64"/>
      <c r="I119" s="304"/>
      <c r="J119" s="20"/>
      <c r="K119" s="20"/>
      <c r="L119" s="20"/>
      <c r="M119" s="20"/>
      <c r="N119" s="304"/>
      <c r="O119" s="20"/>
      <c r="P119" s="20"/>
      <c r="Q119" s="20"/>
      <c r="R119" s="304"/>
      <c r="T119" s="20"/>
      <c r="U119" s="11"/>
      <c r="V119" s="20"/>
    </row>
    <row r="120" spans="1:22" x14ac:dyDescent="0.2">
      <c r="B120" s="64"/>
      <c r="C120" s="20"/>
      <c r="D120" s="20"/>
      <c r="E120" s="304"/>
      <c r="F120" s="64"/>
      <c r="G120" s="64"/>
      <c r="H120" s="64"/>
      <c r="I120" s="304"/>
      <c r="J120" s="20"/>
      <c r="K120" s="20"/>
      <c r="L120" s="20"/>
      <c r="M120" s="20"/>
      <c r="N120" s="304"/>
      <c r="O120" s="20"/>
      <c r="P120" s="20"/>
      <c r="Q120" s="20"/>
      <c r="R120" s="304"/>
      <c r="T120" s="20"/>
      <c r="U120" s="11"/>
      <c r="V120" s="20"/>
    </row>
    <row r="121" spans="1:22" x14ac:dyDescent="0.2">
      <c r="B121" s="64"/>
      <c r="C121" s="20"/>
      <c r="D121" s="20"/>
      <c r="E121" s="304"/>
      <c r="F121" s="64"/>
      <c r="G121" s="64"/>
      <c r="H121" s="64"/>
      <c r="I121" s="304"/>
      <c r="J121" s="20"/>
      <c r="K121" s="20"/>
      <c r="L121" s="20"/>
      <c r="M121" s="20"/>
      <c r="N121" s="304"/>
      <c r="O121" s="20"/>
      <c r="P121" s="20"/>
      <c r="Q121" s="20"/>
      <c r="R121" s="304"/>
      <c r="T121" s="20"/>
      <c r="U121" s="11"/>
      <c r="V121" s="20"/>
    </row>
    <row r="122" spans="1:22" x14ac:dyDescent="0.2">
      <c r="B122" s="64"/>
      <c r="C122" s="20"/>
      <c r="D122" s="20"/>
      <c r="E122" s="304"/>
      <c r="F122" s="64"/>
      <c r="G122" s="64"/>
      <c r="H122" s="64"/>
      <c r="I122" s="304"/>
      <c r="J122" s="20"/>
      <c r="K122" s="20"/>
      <c r="L122" s="20"/>
      <c r="M122" s="20"/>
      <c r="N122" s="304"/>
      <c r="O122" s="20"/>
      <c r="P122" s="20"/>
      <c r="Q122" s="20"/>
      <c r="R122" s="304"/>
      <c r="T122" s="20"/>
      <c r="U122" s="11"/>
      <c r="V122" s="20"/>
    </row>
    <row r="123" spans="1:22" x14ac:dyDescent="0.2">
      <c r="B123" s="64"/>
      <c r="C123" s="20"/>
      <c r="D123" s="20"/>
      <c r="E123" s="304"/>
      <c r="F123" s="64"/>
      <c r="G123" s="64"/>
      <c r="H123" s="64"/>
      <c r="I123" s="304"/>
      <c r="J123" s="20"/>
      <c r="K123" s="20"/>
      <c r="L123" s="20"/>
      <c r="M123" s="20"/>
      <c r="N123" s="304"/>
      <c r="O123" s="20"/>
      <c r="P123" s="20"/>
      <c r="Q123" s="20"/>
      <c r="R123" s="304"/>
      <c r="T123" s="20"/>
      <c r="U123" s="11"/>
      <c r="V123" s="20"/>
    </row>
    <row r="124" spans="1:22" x14ac:dyDescent="0.2">
      <c r="A124" s="20"/>
      <c r="B124" s="64"/>
      <c r="C124" s="20"/>
      <c r="D124" s="20"/>
      <c r="E124" s="304"/>
      <c r="F124" s="64"/>
      <c r="G124" s="64"/>
      <c r="H124" s="64"/>
      <c r="I124" s="304"/>
      <c r="J124" s="20"/>
      <c r="K124" s="20"/>
      <c r="L124" s="20"/>
      <c r="M124" s="20"/>
      <c r="N124" s="304"/>
      <c r="O124" s="20"/>
      <c r="P124" s="20"/>
      <c r="Q124" s="20"/>
      <c r="R124" s="304"/>
      <c r="T124" s="20"/>
      <c r="U124" s="11"/>
      <c r="V124" s="20"/>
    </row>
    <row r="125" spans="1:22" x14ac:dyDescent="0.2">
      <c r="A125" s="20"/>
      <c r="B125" s="64"/>
      <c r="C125" s="20"/>
      <c r="D125" s="20"/>
      <c r="E125" s="304"/>
      <c r="F125" s="64"/>
      <c r="G125" s="64"/>
      <c r="H125" s="64"/>
      <c r="I125" s="304"/>
      <c r="J125" s="20"/>
      <c r="K125" s="20"/>
      <c r="L125" s="20"/>
      <c r="M125" s="20"/>
      <c r="N125" s="304"/>
      <c r="O125" s="20"/>
      <c r="P125" s="20"/>
      <c r="Q125" s="20"/>
      <c r="R125" s="304"/>
      <c r="T125" s="20"/>
      <c r="U125" s="11"/>
      <c r="V125" s="20"/>
    </row>
    <row r="126" spans="1:22" x14ac:dyDescent="0.2">
      <c r="A126" s="20"/>
      <c r="B126" s="64"/>
      <c r="C126" s="20"/>
      <c r="D126" s="20"/>
      <c r="E126" s="304"/>
      <c r="F126" s="64"/>
      <c r="G126" s="64"/>
      <c r="H126" s="64"/>
      <c r="I126" s="304"/>
      <c r="J126" s="20"/>
      <c r="K126" s="20"/>
      <c r="L126" s="20"/>
      <c r="M126" s="20"/>
      <c r="N126" s="304"/>
      <c r="O126" s="20"/>
      <c r="P126" s="20"/>
      <c r="Q126" s="20"/>
      <c r="R126" s="304"/>
      <c r="T126" s="20"/>
      <c r="U126" s="11"/>
      <c r="V126" s="20"/>
    </row>
    <row r="127" spans="1:22" x14ac:dyDescent="0.2">
      <c r="A127" s="20"/>
      <c r="B127" s="64"/>
      <c r="C127" s="20"/>
      <c r="D127" s="20"/>
      <c r="E127" s="304"/>
      <c r="F127" s="64"/>
      <c r="G127" s="64"/>
      <c r="H127" s="64"/>
      <c r="I127" s="304"/>
      <c r="J127" s="20"/>
      <c r="K127" s="20"/>
      <c r="L127" s="20"/>
      <c r="M127" s="20"/>
      <c r="N127" s="304"/>
      <c r="O127" s="20"/>
      <c r="P127" s="20"/>
      <c r="Q127" s="20"/>
      <c r="R127" s="304"/>
      <c r="T127" s="20"/>
      <c r="U127" s="11"/>
      <c r="V127" s="20"/>
    </row>
    <row r="128" spans="1:22" x14ac:dyDescent="0.2">
      <c r="A128" s="20"/>
      <c r="B128" s="64"/>
      <c r="C128" s="20"/>
      <c r="D128" s="20"/>
      <c r="E128" s="304"/>
      <c r="F128" s="64"/>
      <c r="G128" s="64"/>
      <c r="H128" s="64"/>
      <c r="I128" s="304"/>
      <c r="J128" s="20"/>
      <c r="K128" s="20"/>
      <c r="L128" s="20"/>
      <c r="M128" s="20"/>
      <c r="N128" s="304"/>
      <c r="O128" s="20"/>
      <c r="P128" s="20"/>
      <c r="Q128" s="20"/>
      <c r="R128" s="304"/>
      <c r="T128" s="20"/>
      <c r="U128" s="11"/>
      <c r="V128" s="20"/>
    </row>
    <row r="129" spans="1:22" x14ac:dyDescent="0.2">
      <c r="A129" s="20"/>
      <c r="B129" s="64"/>
      <c r="C129" s="20"/>
      <c r="D129" s="20"/>
      <c r="E129" s="304"/>
      <c r="F129" s="64"/>
      <c r="G129" s="64"/>
      <c r="H129" s="64"/>
      <c r="I129" s="304"/>
      <c r="J129" s="20"/>
      <c r="K129" s="20"/>
      <c r="L129" s="20"/>
      <c r="M129" s="20"/>
      <c r="N129" s="304"/>
      <c r="O129" s="20"/>
      <c r="P129" s="20"/>
      <c r="Q129" s="20"/>
      <c r="R129" s="304"/>
      <c r="T129" s="20"/>
      <c r="U129" s="11"/>
      <c r="V129" s="20"/>
    </row>
    <row r="130" spans="1:22" x14ac:dyDescent="0.2">
      <c r="A130" s="20"/>
      <c r="B130" s="64"/>
      <c r="C130" s="20"/>
      <c r="D130" s="20"/>
      <c r="E130" s="304"/>
      <c r="F130" s="64"/>
      <c r="G130" s="64"/>
      <c r="H130" s="64"/>
      <c r="I130" s="304"/>
      <c r="J130" s="20"/>
      <c r="K130" s="20"/>
      <c r="L130" s="20"/>
      <c r="M130" s="20"/>
      <c r="N130" s="304"/>
      <c r="O130" s="20"/>
      <c r="P130" s="20"/>
      <c r="Q130" s="20"/>
      <c r="R130" s="304"/>
      <c r="T130" s="20"/>
      <c r="U130" s="11"/>
      <c r="V130" s="20"/>
    </row>
    <row r="131" spans="1:22" x14ac:dyDescent="0.2">
      <c r="A131" s="20"/>
      <c r="B131" s="64"/>
      <c r="C131" s="20"/>
      <c r="D131" s="20"/>
      <c r="E131" s="304"/>
      <c r="F131" s="64"/>
      <c r="G131" s="64"/>
      <c r="H131" s="64"/>
      <c r="I131" s="304"/>
      <c r="J131" s="20"/>
      <c r="K131" s="20"/>
      <c r="L131" s="20"/>
      <c r="M131" s="20"/>
      <c r="N131" s="304"/>
      <c r="O131" s="20"/>
      <c r="P131" s="20"/>
      <c r="Q131" s="20"/>
      <c r="R131" s="304"/>
      <c r="T131" s="20"/>
      <c r="U131" s="11"/>
      <c r="V131" s="20"/>
    </row>
    <row r="132" spans="1:22" x14ac:dyDescent="0.2">
      <c r="A132" s="20"/>
      <c r="B132" s="64"/>
      <c r="C132" s="20"/>
      <c r="D132" s="20"/>
      <c r="E132" s="304"/>
      <c r="F132" s="64"/>
      <c r="G132" s="64"/>
      <c r="H132" s="64"/>
      <c r="I132" s="304"/>
      <c r="J132" s="20"/>
      <c r="K132" s="20"/>
      <c r="L132" s="20"/>
      <c r="M132" s="20"/>
      <c r="N132" s="304"/>
      <c r="O132" s="20"/>
      <c r="P132" s="20"/>
      <c r="Q132" s="20"/>
      <c r="R132" s="304"/>
      <c r="T132" s="20"/>
      <c r="U132" s="11"/>
      <c r="V132" s="20"/>
    </row>
    <row r="133" spans="1:22" x14ac:dyDescent="0.2">
      <c r="A133" s="20"/>
      <c r="B133" s="64"/>
      <c r="C133" s="20"/>
      <c r="D133" s="20"/>
      <c r="E133" s="304"/>
      <c r="F133" s="64"/>
      <c r="G133" s="64"/>
      <c r="H133" s="64"/>
      <c r="I133" s="304"/>
      <c r="J133" s="20"/>
      <c r="K133" s="20"/>
      <c r="L133" s="20"/>
      <c r="M133" s="20"/>
      <c r="N133" s="304"/>
      <c r="O133" s="20"/>
      <c r="P133" s="20"/>
      <c r="Q133" s="20"/>
      <c r="R133" s="304"/>
      <c r="T133" s="20"/>
      <c r="U133" s="11"/>
      <c r="V133" s="20"/>
    </row>
    <row r="134" spans="1:22" x14ac:dyDescent="0.2">
      <c r="A134" s="20"/>
      <c r="B134" s="64"/>
      <c r="C134" s="20"/>
      <c r="D134" s="20"/>
      <c r="E134" s="304"/>
      <c r="F134" s="64"/>
      <c r="G134" s="64"/>
      <c r="H134" s="64"/>
      <c r="I134" s="304"/>
      <c r="J134" s="20"/>
      <c r="K134" s="20"/>
      <c r="L134" s="20"/>
      <c r="M134" s="20"/>
      <c r="N134" s="304"/>
      <c r="O134" s="20"/>
      <c r="P134" s="20"/>
      <c r="Q134" s="20"/>
      <c r="R134" s="304"/>
      <c r="T134" s="20"/>
      <c r="U134" s="11"/>
      <c r="V134" s="20"/>
    </row>
    <row r="135" spans="1:22" x14ac:dyDescent="0.2">
      <c r="A135" s="20"/>
      <c r="B135" s="64"/>
      <c r="C135" s="20"/>
      <c r="D135" s="20"/>
      <c r="E135" s="304"/>
      <c r="F135" s="64"/>
      <c r="G135" s="64"/>
      <c r="H135" s="64"/>
      <c r="I135" s="304"/>
      <c r="J135" s="20"/>
      <c r="K135" s="20"/>
      <c r="L135" s="20"/>
      <c r="M135" s="20"/>
      <c r="N135" s="304"/>
      <c r="O135" s="20"/>
      <c r="P135" s="20"/>
      <c r="Q135" s="20"/>
      <c r="R135" s="304"/>
      <c r="T135" s="20"/>
      <c r="U135" s="11"/>
      <c r="V135" s="20"/>
    </row>
    <row r="136" spans="1:22" x14ac:dyDescent="0.2">
      <c r="A136" s="20"/>
      <c r="B136" s="64"/>
      <c r="C136" s="20"/>
      <c r="D136" s="20"/>
      <c r="E136" s="304"/>
      <c r="F136" s="64"/>
      <c r="G136" s="64"/>
      <c r="H136" s="64"/>
      <c r="I136" s="304"/>
      <c r="J136" s="20"/>
      <c r="K136" s="20"/>
      <c r="L136" s="20"/>
      <c r="M136" s="20"/>
      <c r="N136" s="304"/>
      <c r="O136" s="20"/>
      <c r="P136" s="20"/>
      <c r="Q136" s="20"/>
      <c r="R136" s="304"/>
      <c r="T136" s="20"/>
      <c r="U136" s="11"/>
      <c r="V136" s="20"/>
    </row>
    <row r="137" spans="1:22" x14ac:dyDescent="0.2">
      <c r="A137" s="20"/>
      <c r="B137" s="64"/>
      <c r="C137" s="20"/>
      <c r="D137" s="20"/>
      <c r="E137" s="304"/>
      <c r="F137" s="64"/>
      <c r="G137" s="64"/>
      <c r="H137" s="64"/>
      <c r="I137" s="304"/>
      <c r="J137" s="20"/>
      <c r="K137" s="20"/>
      <c r="L137" s="20"/>
      <c r="M137" s="20"/>
      <c r="N137" s="304"/>
      <c r="O137" s="20"/>
      <c r="P137" s="20"/>
      <c r="Q137" s="20"/>
      <c r="R137" s="304"/>
      <c r="T137" s="20"/>
      <c r="U137" s="11"/>
      <c r="V137" s="20"/>
    </row>
    <row r="138" spans="1:22" x14ac:dyDescent="0.2">
      <c r="A138" s="20"/>
      <c r="B138" s="64"/>
      <c r="C138" s="20"/>
      <c r="D138" s="20"/>
      <c r="E138" s="304"/>
      <c r="F138" s="64"/>
      <c r="G138" s="64"/>
      <c r="H138" s="64"/>
      <c r="I138" s="304"/>
      <c r="J138" s="20"/>
      <c r="K138" s="20"/>
      <c r="L138" s="20"/>
      <c r="M138" s="20"/>
      <c r="N138" s="304"/>
      <c r="O138" s="20"/>
      <c r="P138" s="20"/>
      <c r="Q138" s="20"/>
      <c r="R138" s="304"/>
      <c r="T138" s="20"/>
      <c r="U138" s="11"/>
      <c r="V138" s="20"/>
    </row>
    <row r="139" spans="1:22" x14ac:dyDescent="0.2">
      <c r="A139" s="20"/>
      <c r="B139" s="64"/>
      <c r="C139" s="20"/>
      <c r="D139" s="20"/>
      <c r="E139" s="304"/>
      <c r="F139" s="64"/>
      <c r="G139" s="64"/>
      <c r="H139" s="64"/>
      <c r="I139" s="304"/>
      <c r="J139" s="20"/>
      <c r="K139" s="20"/>
      <c r="L139" s="20"/>
      <c r="M139" s="20"/>
      <c r="N139" s="304"/>
      <c r="O139" s="20"/>
      <c r="P139" s="20"/>
      <c r="Q139" s="20"/>
      <c r="R139" s="304"/>
      <c r="T139" s="20"/>
      <c r="U139" s="11"/>
      <c r="V139" s="20"/>
    </row>
    <row r="140" spans="1:22" x14ac:dyDescent="0.2">
      <c r="A140" s="20"/>
      <c r="B140" s="64"/>
      <c r="C140" s="20"/>
      <c r="D140" s="20"/>
      <c r="E140" s="304"/>
      <c r="F140" s="64"/>
      <c r="G140" s="64"/>
      <c r="H140" s="64"/>
      <c r="I140" s="304"/>
      <c r="J140" s="20"/>
      <c r="K140" s="20"/>
      <c r="L140" s="20"/>
      <c r="M140" s="20"/>
      <c r="N140" s="304"/>
      <c r="O140" s="20"/>
      <c r="P140" s="20"/>
      <c r="Q140" s="20"/>
      <c r="R140" s="304"/>
      <c r="T140" s="20"/>
      <c r="U140" s="11"/>
      <c r="V140" s="20"/>
    </row>
    <row r="141" spans="1:22" x14ac:dyDescent="0.2">
      <c r="A141" s="20"/>
      <c r="B141" s="64"/>
      <c r="C141" s="20"/>
      <c r="D141" s="20"/>
      <c r="E141" s="304"/>
      <c r="F141" s="64"/>
      <c r="G141" s="64"/>
      <c r="H141" s="64"/>
      <c r="I141" s="304"/>
      <c r="J141" s="20"/>
      <c r="K141" s="20"/>
      <c r="L141" s="20"/>
      <c r="M141" s="20"/>
      <c r="N141" s="304"/>
      <c r="O141" s="20"/>
      <c r="P141" s="20"/>
      <c r="Q141" s="20"/>
      <c r="R141" s="304"/>
      <c r="T141" s="20"/>
      <c r="U141" s="11"/>
      <c r="V141" s="20"/>
    </row>
    <row r="142" spans="1:22" x14ac:dyDescent="0.2">
      <c r="A142" s="20"/>
      <c r="B142" s="64"/>
      <c r="C142" s="20"/>
      <c r="D142" s="20"/>
      <c r="E142" s="304"/>
      <c r="F142" s="64"/>
      <c r="G142" s="64"/>
      <c r="H142" s="64"/>
      <c r="I142" s="304"/>
      <c r="J142" s="20"/>
      <c r="K142" s="20"/>
      <c r="L142" s="20"/>
      <c r="M142" s="20"/>
      <c r="N142" s="304"/>
      <c r="O142" s="20"/>
      <c r="P142" s="20"/>
      <c r="Q142" s="20"/>
      <c r="R142" s="304"/>
      <c r="T142" s="20"/>
      <c r="U142" s="11"/>
      <c r="V142" s="20"/>
    </row>
    <row r="143" spans="1:22" x14ac:dyDescent="0.2">
      <c r="A143" s="20"/>
      <c r="B143" s="64"/>
      <c r="C143" s="20"/>
      <c r="D143" s="20"/>
      <c r="E143" s="304"/>
      <c r="F143" s="64"/>
      <c r="G143" s="64"/>
      <c r="H143" s="64"/>
      <c r="I143" s="304"/>
      <c r="J143" s="20"/>
      <c r="K143" s="20"/>
      <c r="L143" s="20"/>
      <c r="M143" s="20"/>
      <c r="N143" s="304"/>
      <c r="O143" s="20"/>
      <c r="P143" s="20"/>
      <c r="Q143" s="20"/>
      <c r="R143" s="304"/>
      <c r="T143" s="20"/>
      <c r="U143" s="11"/>
      <c r="V143" s="20"/>
    </row>
    <row r="144" spans="1:22" x14ac:dyDescent="0.2">
      <c r="A144" s="20"/>
      <c r="B144" s="64"/>
      <c r="C144" s="20"/>
      <c r="D144" s="20"/>
      <c r="E144" s="304"/>
      <c r="F144" s="64"/>
      <c r="G144" s="64"/>
      <c r="H144" s="64"/>
      <c r="I144" s="304"/>
      <c r="J144" s="20"/>
      <c r="K144" s="20"/>
      <c r="L144" s="20"/>
      <c r="M144" s="20"/>
      <c r="N144" s="304"/>
      <c r="O144" s="20"/>
      <c r="P144" s="20"/>
      <c r="Q144" s="20"/>
      <c r="R144" s="304"/>
      <c r="T144" s="20"/>
      <c r="U144" s="11"/>
      <c r="V144" s="20"/>
    </row>
    <row r="145" spans="1:22" x14ac:dyDescent="0.2">
      <c r="A145" s="20"/>
      <c r="B145" s="64"/>
      <c r="C145" s="20"/>
      <c r="D145" s="20"/>
      <c r="E145" s="304"/>
      <c r="F145" s="64"/>
      <c r="G145" s="64"/>
      <c r="H145" s="64"/>
      <c r="I145" s="304"/>
      <c r="J145" s="20"/>
      <c r="K145" s="20"/>
      <c r="L145" s="20"/>
      <c r="M145" s="20"/>
      <c r="N145" s="304"/>
      <c r="O145" s="20"/>
      <c r="P145" s="20"/>
      <c r="Q145" s="20"/>
      <c r="R145" s="304"/>
      <c r="T145" s="20"/>
      <c r="U145" s="11"/>
      <c r="V145" s="20"/>
    </row>
    <row r="146" spans="1:22" x14ac:dyDescent="0.2">
      <c r="A146" s="20"/>
      <c r="B146" s="64"/>
      <c r="C146" s="20"/>
      <c r="D146" s="20"/>
      <c r="E146" s="304"/>
      <c r="F146" s="64"/>
      <c r="G146" s="64"/>
      <c r="H146" s="64"/>
      <c r="I146" s="304"/>
      <c r="J146" s="20"/>
      <c r="K146" s="20"/>
      <c r="L146" s="20"/>
      <c r="M146" s="20"/>
      <c r="N146" s="304"/>
      <c r="O146" s="20"/>
      <c r="P146" s="20"/>
      <c r="Q146" s="20"/>
      <c r="R146" s="304"/>
      <c r="T146" s="20"/>
      <c r="U146" s="11"/>
      <c r="V146" s="20"/>
    </row>
    <row r="147" spans="1:22" x14ac:dyDescent="0.2">
      <c r="A147" s="20"/>
      <c r="B147" s="64"/>
      <c r="C147" s="20"/>
      <c r="D147" s="20"/>
      <c r="E147" s="304"/>
      <c r="F147" s="64"/>
      <c r="G147" s="64"/>
      <c r="H147" s="64"/>
      <c r="I147" s="304"/>
      <c r="J147" s="20"/>
      <c r="K147" s="20"/>
      <c r="L147" s="20"/>
      <c r="M147" s="20"/>
      <c r="N147" s="304"/>
      <c r="O147" s="20"/>
      <c r="P147" s="20"/>
      <c r="Q147" s="20"/>
      <c r="R147" s="304"/>
      <c r="T147" s="20"/>
      <c r="U147" s="11"/>
      <c r="V147" s="20"/>
    </row>
    <row r="148" spans="1:22" x14ac:dyDescent="0.2">
      <c r="A148" s="20"/>
      <c r="B148" s="64"/>
      <c r="C148" s="20"/>
      <c r="D148" s="20"/>
      <c r="E148" s="304"/>
      <c r="F148" s="64"/>
      <c r="G148" s="64"/>
      <c r="H148" s="64"/>
      <c r="I148" s="304"/>
      <c r="J148" s="20"/>
      <c r="K148" s="20"/>
      <c r="L148" s="20"/>
      <c r="M148" s="20"/>
      <c r="N148" s="304"/>
      <c r="O148" s="20"/>
      <c r="P148" s="20"/>
      <c r="Q148" s="20"/>
      <c r="R148" s="304"/>
      <c r="T148" s="20"/>
      <c r="U148" s="11"/>
      <c r="V148" s="20"/>
    </row>
    <row r="149" spans="1:22" x14ac:dyDescent="0.2">
      <c r="A149" s="20"/>
      <c r="B149" s="64"/>
      <c r="C149" s="20"/>
      <c r="D149" s="20"/>
      <c r="E149" s="304"/>
      <c r="F149" s="64"/>
      <c r="G149" s="64"/>
      <c r="H149" s="64"/>
      <c r="I149" s="304"/>
      <c r="J149" s="20"/>
      <c r="K149" s="20"/>
      <c r="L149" s="20"/>
      <c r="M149" s="20"/>
      <c r="N149" s="304"/>
      <c r="O149" s="20"/>
      <c r="P149" s="20"/>
      <c r="Q149" s="20"/>
      <c r="R149" s="304"/>
      <c r="T149" s="20"/>
      <c r="U149" s="11"/>
      <c r="V149" s="20"/>
    </row>
    <row r="150" spans="1:22" x14ac:dyDescent="0.2">
      <c r="A150" s="20"/>
      <c r="B150" s="64"/>
      <c r="C150" s="20"/>
      <c r="D150" s="20"/>
      <c r="E150" s="304"/>
      <c r="F150" s="64"/>
      <c r="G150" s="64"/>
      <c r="H150" s="64"/>
      <c r="I150" s="304"/>
      <c r="J150" s="20"/>
      <c r="K150" s="20"/>
      <c r="L150" s="20"/>
      <c r="M150" s="20"/>
      <c r="N150" s="304"/>
      <c r="O150" s="20"/>
      <c r="P150" s="20"/>
      <c r="Q150" s="20"/>
      <c r="R150" s="304"/>
      <c r="T150" s="20"/>
      <c r="U150" s="11"/>
      <c r="V150" s="20"/>
    </row>
    <row r="151" spans="1:22" x14ac:dyDescent="0.2">
      <c r="A151" s="20"/>
      <c r="B151" s="64"/>
      <c r="C151" s="20"/>
      <c r="D151" s="20"/>
      <c r="E151" s="304"/>
      <c r="F151" s="64"/>
      <c r="G151" s="64"/>
      <c r="H151" s="64"/>
      <c r="I151" s="304"/>
      <c r="J151" s="20"/>
      <c r="K151" s="20"/>
      <c r="L151" s="20"/>
      <c r="M151" s="20"/>
      <c r="N151" s="304"/>
      <c r="O151" s="20"/>
      <c r="P151" s="20"/>
      <c r="Q151" s="20"/>
      <c r="R151" s="304"/>
      <c r="T151" s="20"/>
      <c r="U151" s="11"/>
      <c r="V151" s="20"/>
    </row>
    <row r="152" spans="1:22" x14ac:dyDescent="0.2">
      <c r="A152" s="20"/>
      <c r="B152" s="64"/>
      <c r="C152" s="20"/>
      <c r="D152" s="20"/>
      <c r="E152" s="304"/>
      <c r="F152" s="64"/>
      <c r="G152" s="64"/>
      <c r="H152" s="64"/>
      <c r="I152" s="304"/>
      <c r="J152" s="20"/>
      <c r="K152" s="20"/>
      <c r="L152" s="20"/>
      <c r="M152" s="20"/>
      <c r="N152" s="304"/>
      <c r="O152" s="20"/>
      <c r="P152" s="20"/>
      <c r="Q152" s="20"/>
      <c r="R152" s="304"/>
      <c r="T152" s="20"/>
      <c r="U152" s="11"/>
      <c r="V152" s="20"/>
    </row>
    <row r="153" spans="1:22" x14ac:dyDescent="0.2">
      <c r="A153" s="20"/>
      <c r="B153" s="64"/>
      <c r="C153" s="20"/>
      <c r="D153" s="20"/>
      <c r="E153" s="304"/>
      <c r="F153" s="64"/>
      <c r="G153" s="64"/>
      <c r="H153" s="64"/>
      <c r="I153" s="304"/>
      <c r="J153" s="20"/>
      <c r="K153" s="20"/>
      <c r="L153" s="20"/>
      <c r="M153" s="20"/>
      <c r="N153" s="304"/>
      <c r="O153" s="20"/>
      <c r="P153" s="20"/>
      <c r="Q153" s="20"/>
      <c r="R153" s="304"/>
      <c r="T153" s="20"/>
      <c r="U153" s="11"/>
      <c r="V153" s="20"/>
    </row>
    <row r="154" spans="1:22" x14ac:dyDescent="0.2">
      <c r="A154" s="20"/>
      <c r="B154" s="64"/>
      <c r="C154" s="20"/>
      <c r="D154" s="20"/>
      <c r="E154" s="304"/>
      <c r="F154" s="64"/>
      <c r="G154" s="64"/>
      <c r="H154" s="64"/>
      <c r="I154" s="304"/>
      <c r="J154" s="20"/>
      <c r="K154" s="20"/>
      <c r="L154" s="20"/>
      <c r="M154" s="20"/>
      <c r="N154" s="304"/>
      <c r="O154" s="20"/>
      <c r="P154" s="20"/>
      <c r="Q154" s="20"/>
      <c r="R154" s="304"/>
      <c r="T154" s="20"/>
      <c r="U154" s="11"/>
      <c r="V154" s="20"/>
    </row>
    <row r="155" spans="1:22" x14ac:dyDescent="0.2">
      <c r="A155" s="20"/>
      <c r="B155" s="64"/>
      <c r="C155" s="20"/>
      <c r="D155" s="20"/>
      <c r="E155" s="304"/>
      <c r="F155" s="64"/>
      <c r="G155" s="64"/>
      <c r="H155" s="64"/>
      <c r="I155" s="304"/>
      <c r="J155" s="20"/>
      <c r="K155" s="20"/>
      <c r="L155" s="20"/>
      <c r="M155" s="20"/>
      <c r="N155" s="304"/>
      <c r="O155" s="20"/>
      <c r="P155" s="20"/>
      <c r="Q155" s="20"/>
      <c r="R155" s="304"/>
      <c r="T155" s="20"/>
      <c r="U155" s="11"/>
      <c r="V155" s="20"/>
    </row>
    <row r="156" spans="1:22" x14ac:dyDescent="0.2">
      <c r="A156" s="20"/>
      <c r="B156" s="64"/>
      <c r="C156" s="20"/>
      <c r="D156" s="20"/>
      <c r="E156" s="304"/>
      <c r="F156" s="64"/>
      <c r="G156" s="64"/>
      <c r="H156" s="64"/>
      <c r="I156" s="304"/>
      <c r="J156" s="20"/>
      <c r="K156" s="20"/>
      <c r="L156" s="20"/>
      <c r="M156" s="20"/>
      <c r="N156" s="304"/>
      <c r="O156" s="20"/>
      <c r="P156" s="20"/>
      <c r="Q156" s="20"/>
      <c r="R156" s="304"/>
      <c r="T156" s="20"/>
      <c r="U156" s="11"/>
      <c r="V156" s="20"/>
    </row>
    <row r="157" spans="1:22" x14ac:dyDescent="0.2">
      <c r="A157" s="20"/>
      <c r="B157" s="64"/>
      <c r="C157" s="20"/>
      <c r="D157" s="20"/>
      <c r="E157" s="304"/>
      <c r="F157" s="64"/>
      <c r="G157" s="64"/>
      <c r="H157" s="64"/>
      <c r="I157" s="304"/>
      <c r="J157" s="20"/>
      <c r="K157" s="20"/>
      <c r="L157" s="20"/>
      <c r="M157" s="20"/>
      <c r="N157" s="304"/>
      <c r="O157" s="20"/>
      <c r="P157" s="20"/>
      <c r="Q157" s="20"/>
      <c r="R157" s="304"/>
      <c r="T157" s="20"/>
      <c r="U157" s="11"/>
      <c r="V157" s="20"/>
    </row>
    <row r="158" spans="1:22" x14ac:dyDescent="0.2">
      <c r="A158" s="20"/>
      <c r="B158" s="64"/>
      <c r="C158" s="20"/>
      <c r="D158" s="20"/>
      <c r="E158" s="304"/>
      <c r="F158" s="64"/>
      <c r="G158" s="64"/>
      <c r="H158" s="64"/>
      <c r="I158" s="304"/>
      <c r="J158" s="20"/>
      <c r="K158" s="20"/>
      <c r="L158" s="20"/>
      <c r="M158" s="20"/>
      <c r="N158" s="304"/>
      <c r="O158" s="20"/>
      <c r="P158" s="20"/>
      <c r="Q158" s="20"/>
      <c r="R158" s="304"/>
      <c r="T158" s="20"/>
      <c r="U158" s="11"/>
      <c r="V158" s="20"/>
    </row>
    <row r="159" spans="1:22" x14ac:dyDescent="0.2">
      <c r="A159" s="20"/>
      <c r="B159" s="64"/>
      <c r="C159" s="20"/>
      <c r="D159" s="20"/>
      <c r="E159" s="304"/>
      <c r="F159" s="64"/>
      <c r="G159" s="64"/>
      <c r="H159" s="64"/>
      <c r="I159" s="304"/>
      <c r="J159" s="20"/>
      <c r="K159" s="20"/>
      <c r="L159" s="20"/>
      <c r="M159" s="20"/>
      <c r="N159" s="304"/>
      <c r="O159" s="20"/>
      <c r="P159" s="20"/>
      <c r="Q159" s="20"/>
      <c r="R159" s="304"/>
      <c r="T159" s="20"/>
      <c r="U159" s="11"/>
      <c r="V159" s="20"/>
    </row>
    <row r="160" spans="1:22" x14ac:dyDescent="0.2">
      <c r="A160" s="20"/>
      <c r="B160" s="64"/>
      <c r="C160" s="20"/>
      <c r="D160" s="20"/>
      <c r="E160" s="304"/>
      <c r="F160" s="64"/>
      <c r="G160" s="64"/>
      <c r="H160" s="64"/>
      <c r="I160" s="304"/>
      <c r="J160" s="20"/>
      <c r="K160" s="20"/>
      <c r="L160" s="20"/>
      <c r="M160" s="20"/>
      <c r="N160" s="304"/>
      <c r="O160" s="20"/>
      <c r="P160" s="20"/>
      <c r="Q160" s="20"/>
      <c r="R160" s="304"/>
      <c r="T160" s="20"/>
      <c r="U160" s="11"/>
      <c r="V160" s="20"/>
    </row>
    <row r="161" spans="1:22" x14ac:dyDescent="0.2">
      <c r="A161" s="20"/>
      <c r="B161" s="64"/>
      <c r="C161" s="20"/>
      <c r="D161" s="20"/>
      <c r="E161" s="304"/>
      <c r="F161" s="64"/>
      <c r="G161" s="64"/>
      <c r="H161" s="64"/>
      <c r="I161" s="304"/>
      <c r="J161" s="20"/>
      <c r="K161" s="20"/>
      <c r="L161" s="20"/>
      <c r="M161" s="20"/>
      <c r="N161" s="304"/>
      <c r="O161" s="20"/>
      <c r="P161" s="20"/>
      <c r="Q161" s="20"/>
      <c r="R161" s="304"/>
      <c r="T161" s="20"/>
      <c r="U161" s="11"/>
      <c r="V161" s="20"/>
    </row>
    <row r="162" spans="1:22" x14ac:dyDescent="0.2">
      <c r="A162" s="20"/>
      <c r="B162" s="64"/>
      <c r="C162" s="20"/>
      <c r="D162" s="20"/>
      <c r="E162" s="304"/>
      <c r="F162" s="64"/>
      <c r="G162" s="64"/>
      <c r="H162" s="64"/>
      <c r="I162" s="304"/>
      <c r="J162" s="20"/>
      <c r="K162" s="20"/>
      <c r="L162" s="20"/>
      <c r="M162" s="20"/>
      <c r="N162" s="304"/>
      <c r="O162" s="20"/>
      <c r="P162" s="20"/>
      <c r="Q162" s="20"/>
      <c r="R162" s="304"/>
      <c r="T162" s="20"/>
      <c r="U162" s="11"/>
      <c r="V162" s="20"/>
    </row>
    <row r="163" spans="1:22" x14ac:dyDescent="0.2">
      <c r="A163" s="20"/>
      <c r="B163" s="64"/>
      <c r="C163" s="20"/>
      <c r="D163" s="20"/>
      <c r="E163" s="304"/>
      <c r="F163" s="64"/>
      <c r="G163" s="64"/>
      <c r="H163" s="64"/>
      <c r="I163" s="304"/>
      <c r="J163" s="20"/>
      <c r="K163" s="20"/>
      <c r="L163" s="20"/>
      <c r="M163" s="20"/>
      <c r="N163" s="304"/>
      <c r="O163" s="20"/>
      <c r="P163" s="20"/>
      <c r="Q163" s="20"/>
      <c r="R163" s="304"/>
      <c r="T163" s="20"/>
      <c r="U163" s="11"/>
      <c r="V163" s="20"/>
    </row>
    <row r="164" spans="1:22" x14ac:dyDescent="0.2">
      <c r="A164" s="20"/>
      <c r="B164" s="64"/>
      <c r="C164" s="20"/>
      <c r="D164" s="20"/>
      <c r="E164" s="304"/>
      <c r="F164" s="64"/>
      <c r="G164" s="64"/>
      <c r="H164" s="64"/>
      <c r="I164" s="304"/>
      <c r="J164" s="20"/>
      <c r="K164" s="20"/>
      <c r="L164" s="20"/>
      <c r="M164" s="20"/>
      <c r="N164" s="304"/>
      <c r="O164" s="20"/>
      <c r="P164" s="20"/>
      <c r="Q164" s="20"/>
      <c r="R164" s="304"/>
      <c r="T164" s="20"/>
      <c r="U164" s="11"/>
      <c r="V164" s="20"/>
    </row>
    <row r="165" spans="1:22" x14ac:dyDescent="0.2">
      <c r="A165" s="20"/>
      <c r="B165" s="64"/>
      <c r="C165" s="20"/>
      <c r="D165" s="20"/>
      <c r="E165" s="304"/>
      <c r="F165" s="64"/>
      <c r="G165" s="64"/>
      <c r="H165" s="64"/>
      <c r="I165" s="304"/>
      <c r="J165" s="20"/>
      <c r="K165" s="20"/>
      <c r="L165" s="20"/>
      <c r="M165" s="20"/>
      <c r="N165" s="304"/>
      <c r="O165" s="20"/>
      <c r="P165" s="20"/>
      <c r="Q165" s="20"/>
      <c r="R165" s="304"/>
      <c r="T165" s="20"/>
      <c r="U165" s="11"/>
      <c r="V165" s="20"/>
    </row>
    <row r="166" spans="1:22" x14ac:dyDescent="0.2">
      <c r="A166" s="20"/>
      <c r="B166" s="64"/>
      <c r="C166" s="20"/>
      <c r="D166" s="20"/>
      <c r="E166" s="304"/>
      <c r="F166" s="64"/>
      <c r="G166" s="64"/>
      <c r="H166" s="64"/>
      <c r="I166" s="304"/>
      <c r="J166" s="20"/>
      <c r="K166" s="20"/>
      <c r="L166" s="20"/>
      <c r="M166" s="20"/>
      <c r="N166" s="304"/>
      <c r="O166" s="20"/>
      <c r="P166" s="20"/>
      <c r="Q166" s="20"/>
      <c r="R166" s="304"/>
      <c r="T166" s="20"/>
      <c r="U166" s="11"/>
      <c r="V166" s="20"/>
    </row>
    <row r="167" spans="1:22" x14ac:dyDescent="0.2">
      <c r="A167" s="20"/>
      <c r="B167" s="64"/>
      <c r="C167" s="20"/>
      <c r="D167" s="20"/>
      <c r="E167" s="304"/>
      <c r="F167" s="64"/>
      <c r="G167" s="64"/>
      <c r="H167" s="64"/>
      <c r="I167" s="304"/>
      <c r="J167" s="20"/>
      <c r="K167" s="20"/>
      <c r="L167" s="20"/>
      <c r="M167" s="20"/>
      <c r="N167" s="304"/>
      <c r="O167" s="20"/>
      <c r="P167" s="20"/>
      <c r="Q167" s="20"/>
      <c r="R167" s="304"/>
      <c r="T167" s="20"/>
      <c r="U167" s="11"/>
      <c r="V167" s="20"/>
    </row>
    <row r="168" spans="1:22" x14ac:dyDescent="0.2">
      <c r="A168" s="20"/>
      <c r="B168" s="64"/>
      <c r="C168" s="20"/>
      <c r="D168" s="20"/>
      <c r="E168" s="304"/>
      <c r="F168" s="64"/>
      <c r="G168" s="64"/>
      <c r="H168" s="64"/>
      <c r="I168" s="304"/>
      <c r="J168" s="20"/>
      <c r="K168" s="20"/>
      <c r="L168" s="20"/>
      <c r="M168" s="20"/>
      <c r="N168" s="304"/>
      <c r="O168" s="20"/>
      <c r="P168" s="20"/>
      <c r="Q168" s="20"/>
      <c r="R168" s="304"/>
      <c r="T168" s="20"/>
      <c r="U168" s="11"/>
      <c r="V168" s="20"/>
    </row>
    <row r="169" spans="1:22" x14ac:dyDescent="0.2">
      <c r="A169" s="20"/>
      <c r="B169" s="64"/>
      <c r="C169" s="20"/>
      <c r="D169" s="20"/>
      <c r="E169" s="304"/>
      <c r="F169" s="64"/>
      <c r="G169" s="64"/>
      <c r="H169" s="64"/>
      <c r="I169" s="304"/>
      <c r="J169" s="20"/>
      <c r="K169" s="20"/>
      <c r="L169" s="20"/>
      <c r="M169" s="20"/>
      <c r="N169" s="304"/>
      <c r="O169" s="20"/>
      <c r="P169" s="20"/>
      <c r="Q169" s="20"/>
      <c r="R169" s="304"/>
      <c r="T169" s="20"/>
      <c r="U169" s="11"/>
      <c r="V169" s="20"/>
    </row>
    <row r="170" spans="1:22" x14ac:dyDescent="0.2">
      <c r="A170" s="20"/>
      <c r="B170" s="64"/>
      <c r="C170" s="20"/>
      <c r="D170" s="20"/>
      <c r="E170" s="304"/>
      <c r="F170" s="64"/>
      <c r="G170" s="64"/>
      <c r="H170" s="64"/>
      <c r="I170" s="304"/>
      <c r="J170" s="20"/>
      <c r="K170" s="20"/>
      <c r="L170" s="20"/>
      <c r="M170" s="20"/>
      <c r="N170" s="304"/>
      <c r="O170" s="20"/>
      <c r="P170" s="20"/>
      <c r="Q170" s="20"/>
      <c r="R170" s="304"/>
      <c r="T170" s="20"/>
      <c r="U170" s="11"/>
      <c r="V170" s="20"/>
    </row>
    <row r="171" spans="1:22" x14ac:dyDescent="0.2">
      <c r="A171" s="20"/>
      <c r="B171" s="64"/>
      <c r="C171" s="20"/>
      <c r="D171" s="20"/>
      <c r="E171" s="304"/>
      <c r="F171" s="64"/>
      <c r="G171" s="64"/>
      <c r="H171" s="64"/>
      <c r="I171" s="304"/>
      <c r="J171" s="20"/>
      <c r="K171" s="20"/>
      <c r="L171" s="20"/>
      <c r="M171" s="20"/>
      <c r="N171" s="304"/>
      <c r="O171" s="20"/>
      <c r="P171" s="20"/>
      <c r="Q171" s="20"/>
      <c r="R171" s="304"/>
      <c r="T171" s="20"/>
      <c r="U171" s="11"/>
      <c r="V171" s="20"/>
    </row>
    <row r="172" spans="1:22" x14ac:dyDescent="0.2">
      <c r="A172" s="20"/>
      <c r="B172" s="64"/>
      <c r="C172" s="20"/>
      <c r="D172" s="20"/>
      <c r="E172" s="304"/>
      <c r="F172" s="64"/>
      <c r="G172" s="64"/>
      <c r="H172" s="64"/>
      <c r="I172" s="304"/>
      <c r="J172" s="20"/>
      <c r="K172" s="20"/>
      <c r="L172" s="20"/>
      <c r="M172" s="20"/>
      <c r="N172" s="304"/>
      <c r="O172" s="20"/>
      <c r="P172" s="20"/>
      <c r="Q172" s="20"/>
      <c r="R172" s="304"/>
      <c r="T172" s="20"/>
      <c r="U172" s="11"/>
      <c r="V172" s="20"/>
    </row>
    <row r="173" spans="1:22" x14ac:dyDescent="0.2">
      <c r="A173" s="20"/>
      <c r="B173" s="64"/>
      <c r="C173" s="20"/>
      <c r="D173" s="20"/>
      <c r="E173" s="304"/>
      <c r="F173" s="64"/>
      <c r="G173" s="64"/>
      <c r="H173" s="64"/>
      <c r="I173" s="304"/>
      <c r="J173" s="20"/>
      <c r="K173" s="20"/>
      <c r="L173" s="20"/>
      <c r="M173" s="20"/>
      <c r="N173" s="304"/>
      <c r="O173" s="20"/>
      <c r="P173" s="20"/>
      <c r="Q173" s="20"/>
      <c r="R173" s="304"/>
      <c r="T173" s="20"/>
      <c r="U173" s="11"/>
      <c r="V173" s="20"/>
    </row>
    <row r="174" spans="1:22" x14ac:dyDescent="0.2">
      <c r="A174" s="20"/>
      <c r="B174" s="64"/>
      <c r="C174" s="20"/>
      <c r="D174" s="20"/>
      <c r="E174" s="304"/>
      <c r="F174" s="64"/>
      <c r="G174" s="64"/>
      <c r="H174" s="64"/>
      <c r="I174" s="304"/>
      <c r="J174" s="20"/>
      <c r="K174" s="20"/>
      <c r="L174" s="20"/>
      <c r="M174" s="20"/>
      <c r="N174" s="304"/>
      <c r="O174" s="20"/>
      <c r="P174" s="20"/>
      <c r="Q174" s="20"/>
      <c r="R174" s="304"/>
      <c r="T174" s="20"/>
      <c r="U174" s="11"/>
      <c r="V174" s="20"/>
    </row>
    <row r="175" spans="1:22" x14ac:dyDescent="0.2">
      <c r="A175" s="20"/>
      <c r="B175" s="64"/>
      <c r="C175" s="20"/>
      <c r="D175" s="20"/>
      <c r="E175" s="304"/>
      <c r="F175" s="64"/>
      <c r="G175" s="64"/>
      <c r="H175" s="64"/>
      <c r="I175" s="304"/>
      <c r="J175" s="20"/>
      <c r="K175" s="20"/>
      <c r="L175" s="20"/>
      <c r="M175" s="20"/>
      <c r="N175" s="304"/>
      <c r="O175" s="20"/>
      <c r="P175" s="20"/>
      <c r="Q175" s="20"/>
      <c r="R175" s="304"/>
      <c r="T175" s="20"/>
      <c r="U175" s="11"/>
      <c r="V175" s="20"/>
    </row>
    <row r="176" spans="1:22" x14ac:dyDescent="0.2">
      <c r="A176" s="20"/>
      <c r="B176" s="64"/>
      <c r="C176" s="20"/>
      <c r="D176" s="20"/>
      <c r="E176" s="304"/>
      <c r="F176" s="64"/>
      <c r="G176" s="64"/>
      <c r="H176" s="64"/>
      <c r="I176" s="304"/>
      <c r="J176" s="20"/>
      <c r="K176" s="20"/>
      <c r="L176" s="20"/>
      <c r="M176" s="20"/>
      <c r="N176" s="304"/>
      <c r="O176" s="20"/>
      <c r="P176" s="20"/>
      <c r="Q176" s="20"/>
      <c r="R176" s="304"/>
      <c r="T176" s="20"/>
      <c r="U176" s="11"/>
      <c r="V176" s="20"/>
    </row>
    <row r="177" spans="1:22" x14ac:dyDescent="0.2">
      <c r="A177" s="20"/>
      <c r="B177" s="64"/>
      <c r="C177" s="20"/>
      <c r="D177" s="20"/>
      <c r="E177" s="304"/>
      <c r="F177" s="64"/>
      <c r="G177" s="64"/>
      <c r="H177" s="64"/>
      <c r="I177" s="304"/>
      <c r="J177" s="20"/>
      <c r="K177" s="20"/>
      <c r="L177" s="20"/>
      <c r="M177" s="20"/>
      <c r="N177" s="304"/>
      <c r="O177" s="20"/>
      <c r="P177" s="20"/>
      <c r="Q177" s="20"/>
      <c r="R177" s="304"/>
      <c r="T177" s="20"/>
      <c r="U177" s="11"/>
      <c r="V177" s="20"/>
    </row>
    <row r="178" spans="1:22" x14ac:dyDescent="0.2">
      <c r="A178" s="20"/>
      <c r="B178" s="64"/>
      <c r="C178" s="20"/>
      <c r="D178" s="20"/>
      <c r="E178" s="304"/>
      <c r="F178" s="64"/>
      <c r="G178" s="64"/>
      <c r="H178" s="64"/>
      <c r="I178" s="304"/>
      <c r="J178" s="20"/>
      <c r="K178" s="20"/>
      <c r="L178" s="20"/>
      <c r="M178" s="20"/>
      <c r="N178" s="304"/>
      <c r="O178" s="20"/>
      <c r="P178" s="20"/>
      <c r="Q178" s="20"/>
      <c r="R178" s="304"/>
      <c r="T178" s="20"/>
      <c r="U178" s="11"/>
      <c r="V178" s="20"/>
    </row>
    <row r="179" spans="1:22" x14ac:dyDescent="0.2">
      <c r="A179" s="20"/>
      <c r="B179" s="64"/>
      <c r="C179" s="20"/>
      <c r="D179" s="20"/>
      <c r="E179" s="304"/>
      <c r="F179" s="64"/>
      <c r="G179" s="64"/>
      <c r="H179" s="64"/>
      <c r="I179" s="304"/>
      <c r="J179" s="20"/>
      <c r="K179" s="20"/>
      <c r="L179" s="20"/>
      <c r="M179" s="20"/>
      <c r="N179" s="304"/>
      <c r="O179" s="20"/>
      <c r="P179" s="20"/>
      <c r="Q179" s="20"/>
      <c r="R179" s="304"/>
      <c r="T179" s="20"/>
      <c r="U179" s="11"/>
      <c r="V179" s="20"/>
    </row>
  </sheetData>
  <dataConsolidate/>
  <mergeCells count="25">
    <mergeCell ref="X67:AC67"/>
    <mergeCell ref="AF60:AK60"/>
    <mergeCell ref="AL22:AM22"/>
    <mergeCell ref="AO22:AP22"/>
    <mergeCell ref="AL45:AM45"/>
    <mergeCell ref="A55:A56"/>
    <mergeCell ref="A36:A37"/>
    <mergeCell ref="A39:A40"/>
    <mergeCell ref="A41:A43"/>
    <mergeCell ref="X47:AC47"/>
    <mergeCell ref="U41:V43"/>
    <mergeCell ref="L1:T1"/>
    <mergeCell ref="A28:A32"/>
    <mergeCell ref="A49:A50"/>
    <mergeCell ref="A51:A52"/>
    <mergeCell ref="A53:A54"/>
    <mergeCell ref="A33:A35"/>
    <mergeCell ref="A45:A48"/>
    <mergeCell ref="C1:K1"/>
    <mergeCell ref="A15:A20"/>
    <mergeCell ref="A21:A24"/>
    <mergeCell ref="A26:A27"/>
    <mergeCell ref="A4:A5"/>
    <mergeCell ref="A6:A8"/>
    <mergeCell ref="A9:A13"/>
  </mergeCells>
  <conditionalFormatting sqref="S3:S56">
    <cfRule type="cellIs" dxfId="94" priority="9" operator="lessThan">
      <formula>0</formula>
    </cfRule>
  </conditionalFormatting>
  <conditionalFormatting sqref="T3:T56">
    <cfRule type="containsText" dxfId="93" priority="8" operator="containsText" text="Yes">
      <formula>NOT(ISERROR(SEARCH("Yes",T3)))</formula>
    </cfRule>
  </conditionalFormatting>
  <conditionalFormatting sqref="R3:R56">
    <cfRule type="expression" dxfId="92" priority="7">
      <formula>(R3&lt;N3)</formula>
    </cfRule>
  </conditionalFormatting>
  <conditionalFormatting sqref="Y49:AD60">
    <cfRule type="cellIs" dxfId="91" priority="6" operator="greaterThan">
      <formula>0</formula>
    </cfRule>
  </conditionalFormatting>
  <conditionalFormatting sqref="AD69:AD80">
    <cfRule type="cellIs" dxfId="90" priority="5" operator="greaterThan">
      <formula>0</formula>
    </cfRule>
  </conditionalFormatting>
  <conditionalFormatting sqref="Z69:AC80">
    <cfRule type="cellIs" dxfId="89" priority="4" operator="greaterThan">
      <formula>0</formula>
    </cfRule>
  </conditionalFormatting>
  <conditionalFormatting sqref="Y69:Y80">
    <cfRule type="cellIs" dxfId="88" priority="3" operator="greaterThan">
      <formula>0</formula>
    </cfRule>
  </conditionalFormatting>
  <conditionalFormatting sqref="AH77:AL81">
    <cfRule type="cellIs" dxfId="87" priority="2" operator="greaterThan">
      <formula>0</formula>
    </cfRule>
  </conditionalFormatting>
  <conditionalFormatting sqref="AG62:AL73">
    <cfRule type="cellIs" dxfId="86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9"/>
  <sheetViews>
    <sheetView topLeftCell="W35" zoomScaleNormal="100" workbookViewId="0">
      <selection activeCell="AD57" sqref="AD57:AJ73"/>
    </sheetView>
  </sheetViews>
  <sheetFormatPr defaultColWidth="9" defaultRowHeight="12.75" x14ac:dyDescent="0.2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6.7109375" style="62" customWidth="1"/>
    <col min="6" max="8" width="23.7109375" style="61" customWidth="1"/>
    <col min="9" max="10" width="16.140625" style="59" customWidth="1"/>
    <col min="11" max="11" width="28.85546875" style="59" customWidth="1"/>
    <col min="12" max="12" width="17.7109375" style="59" customWidth="1"/>
    <col min="13" max="13" width="16.140625" style="59" customWidth="1"/>
    <col min="14" max="15" width="17.7109375" style="59" customWidth="1"/>
    <col min="16" max="16" width="21.28515625" style="59" customWidth="1"/>
    <col min="17" max="17" width="23.28515625" style="59" customWidth="1"/>
    <col min="18" max="18" width="17.5703125" style="62" customWidth="1"/>
    <col min="19" max="19" width="33.85546875" style="10" customWidth="1"/>
    <col min="20" max="20" width="35.140625" style="59" customWidth="1"/>
    <col min="21" max="21" width="23" style="58" customWidth="1"/>
    <col min="22" max="22" width="22.85546875" style="5" customWidth="1"/>
    <col min="23" max="23" width="23.7109375" style="5" customWidth="1"/>
    <col min="24" max="24" width="21.5703125" style="5" customWidth="1"/>
    <col min="25" max="16384" width="9" style="5"/>
  </cols>
  <sheetData>
    <row r="1" spans="1:31" ht="14.25" customHeight="1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9"/>
      <c r="J1" s="252"/>
      <c r="K1" s="465" t="s">
        <v>451</v>
      </c>
      <c r="L1" s="466"/>
      <c r="M1" s="466"/>
      <c r="N1" s="466"/>
      <c r="O1" s="466"/>
      <c r="P1" s="466"/>
      <c r="Q1" s="466"/>
      <c r="R1" s="520"/>
      <c r="S1" s="7"/>
      <c r="T1" s="7"/>
    </row>
    <row r="2" spans="1:31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90" t="s">
        <v>33</v>
      </c>
      <c r="F2" s="190" t="s">
        <v>447</v>
      </c>
      <c r="G2" s="190" t="s">
        <v>459</v>
      </c>
      <c r="H2" s="190" t="s">
        <v>461</v>
      </c>
      <c r="I2" s="189" t="s">
        <v>444</v>
      </c>
      <c r="J2" s="251" t="s">
        <v>458</v>
      </c>
      <c r="K2" s="188" t="s">
        <v>446</v>
      </c>
      <c r="L2" s="188" t="s">
        <v>34</v>
      </c>
      <c r="M2" s="188" t="s">
        <v>33</v>
      </c>
      <c r="N2" s="187" t="s">
        <v>445</v>
      </c>
      <c r="O2" s="186" t="s">
        <v>459</v>
      </c>
      <c r="P2" s="186" t="s">
        <v>461</v>
      </c>
      <c r="Q2" s="186" t="s">
        <v>444</v>
      </c>
      <c r="R2" s="241" t="s">
        <v>457</v>
      </c>
      <c r="S2" s="11"/>
      <c r="T2" s="20"/>
    </row>
    <row r="3" spans="1:31" ht="13.5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179">
        <v>400</v>
      </c>
      <c r="F3" s="179">
        <v>131.95400000000001</v>
      </c>
      <c r="G3" s="85">
        <v>2</v>
      </c>
      <c r="H3" s="179">
        <f>G3*F3</f>
        <v>263.90800000000002</v>
      </c>
      <c r="I3" s="178">
        <f t="shared" ref="I3:I13" si="0">E3-F3</f>
        <v>268.04599999999999</v>
      </c>
      <c r="J3" s="179">
        <f>H3/E3*100</f>
        <v>65.977000000000004</v>
      </c>
      <c r="K3" s="177" t="s">
        <v>435</v>
      </c>
      <c r="L3" s="177">
        <v>598.85</v>
      </c>
      <c r="M3" s="177">
        <v>300</v>
      </c>
      <c r="N3" s="176">
        <f t="shared" ref="N3:N13" si="1">F3</f>
        <v>131.95400000000001</v>
      </c>
      <c r="O3" s="101">
        <v>2</v>
      </c>
      <c r="P3" s="240">
        <f>O3*N3</f>
        <v>263.90800000000002</v>
      </c>
      <c r="Q3" s="280">
        <f>M3-P3</f>
        <v>36.091999999999985</v>
      </c>
      <c r="R3" s="176" t="str">
        <f t="shared" ref="R3:R9" si="2">IF(Q3&gt;=0,"No","Yes")</f>
        <v>No</v>
      </c>
      <c r="S3" s="16" t="s">
        <v>440</v>
      </c>
      <c r="T3" s="16" t="s">
        <v>456</v>
      </c>
    </row>
    <row r="4" spans="1:31" ht="15" customHeight="1" thickBot="1" x14ac:dyDescent="0.25">
      <c r="A4" s="480" t="s">
        <v>44</v>
      </c>
      <c r="B4" s="174" t="s">
        <v>3</v>
      </c>
      <c r="C4" s="173" t="s">
        <v>44</v>
      </c>
      <c r="D4" s="172">
        <v>424.31</v>
      </c>
      <c r="E4" s="172">
        <v>200</v>
      </c>
      <c r="F4" s="172">
        <v>79.758499999999998</v>
      </c>
      <c r="G4" s="269">
        <v>2</v>
      </c>
      <c r="H4" s="179">
        <f t="shared" ref="H4:H56" si="3">G4*F4</f>
        <v>159.517</v>
      </c>
      <c r="I4" s="171">
        <f t="shared" si="0"/>
        <v>120.2415</v>
      </c>
      <c r="J4" s="179">
        <f t="shared" ref="J4:J13" si="4">H4/E4*100</f>
        <v>79.758499999999998</v>
      </c>
      <c r="K4" s="170" t="s">
        <v>434</v>
      </c>
      <c r="L4" s="170">
        <v>561.44000000000005</v>
      </c>
      <c r="M4" s="170">
        <v>150</v>
      </c>
      <c r="N4" s="169">
        <f t="shared" si="1"/>
        <v>79.758499999999998</v>
      </c>
      <c r="O4" s="273">
        <v>2</v>
      </c>
      <c r="P4" s="240">
        <f t="shared" ref="P4:P56" si="5">O4*N4</f>
        <v>159.517</v>
      </c>
      <c r="Q4" s="280">
        <f t="shared" ref="Q4:Q13" si="6">M4-P4</f>
        <v>-9.5169999999999959</v>
      </c>
      <c r="R4" s="177" t="str">
        <f t="shared" si="2"/>
        <v>Yes</v>
      </c>
      <c r="S4" s="538" t="s">
        <v>351</v>
      </c>
      <c r="T4" s="523"/>
    </row>
    <row r="5" spans="1:31" ht="14.25" customHeight="1" thickBot="1" x14ac:dyDescent="0.25">
      <c r="A5" s="464"/>
      <c r="B5" s="63" t="s">
        <v>25</v>
      </c>
      <c r="C5" s="116" t="s">
        <v>65</v>
      </c>
      <c r="D5" s="95">
        <v>645.40499999999997</v>
      </c>
      <c r="E5" s="95">
        <v>300</v>
      </c>
      <c r="F5" s="94">
        <v>101.52370000000001</v>
      </c>
      <c r="G5" s="271">
        <v>2</v>
      </c>
      <c r="H5" s="179">
        <f t="shared" si="3"/>
        <v>203.04740000000001</v>
      </c>
      <c r="I5" s="94">
        <f t="shared" si="0"/>
        <v>198.47629999999998</v>
      </c>
      <c r="J5" s="179">
        <f t="shared" si="4"/>
        <v>67.68246666666667</v>
      </c>
      <c r="K5" s="93" t="s">
        <v>429</v>
      </c>
      <c r="L5" s="93">
        <v>691.82</v>
      </c>
      <c r="M5" s="93">
        <v>300</v>
      </c>
      <c r="N5" s="92">
        <f t="shared" si="1"/>
        <v>101.52370000000001</v>
      </c>
      <c r="O5" s="274">
        <v>2</v>
      </c>
      <c r="P5" s="240">
        <f t="shared" si="5"/>
        <v>203.04740000000001</v>
      </c>
      <c r="Q5" s="280">
        <f t="shared" si="6"/>
        <v>96.95259999999999</v>
      </c>
      <c r="R5" s="177" t="str">
        <f t="shared" si="2"/>
        <v>No</v>
      </c>
      <c r="S5" s="540"/>
      <c r="T5" s="527"/>
    </row>
    <row r="6" spans="1:31" ht="13.5" thickBot="1" x14ac:dyDescent="0.25">
      <c r="A6" s="462" t="s">
        <v>433</v>
      </c>
      <c r="B6" s="87" t="s">
        <v>432</v>
      </c>
      <c r="C6" s="86" t="s">
        <v>392</v>
      </c>
      <c r="D6" s="85">
        <v>774.56</v>
      </c>
      <c r="E6" s="85">
        <v>1500</v>
      </c>
      <c r="F6" s="85">
        <v>593.39</v>
      </c>
      <c r="G6" s="269">
        <v>2</v>
      </c>
      <c r="H6" s="179">
        <f t="shared" si="3"/>
        <v>1186.78</v>
      </c>
      <c r="I6" s="84">
        <f t="shared" si="0"/>
        <v>906.61</v>
      </c>
      <c r="J6" s="179">
        <f t="shared" si="4"/>
        <v>79.118666666666655</v>
      </c>
      <c r="K6" s="83" t="s">
        <v>431</v>
      </c>
      <c r="L6" s="83">
        <v>778.62</v>
      </c>
      <c r="M6" s="83">
        <v>1500</v>
      </c>
      <c r="N6" s="82">
        <f t="shared" si="1"/>
        <v>593.39</v>
      </c>
      <c r="O6" s="273">
        <v>2</v>
      </c>
      <c r="P6" s="240">
        <f t="shared" si="5"/>
        <v>1186.78</v>
      </c>
      <c r="Q6" s="280">
        <f t="shared" si="6"/>
        <v>313.22000000000003</v>
      </c>
      <c r="R6" s="177" t="str">
        <f t="shared" si="2"/>
        <v>No</v>
      </c>
      <c r="S6" s="213"/>
      <c r="T6" s="212"/>
    </row>
    <row r="7" spans="1:31" ht="14.25" customHeight="1" thickBot="1" x14ac:dyDescent="0.25">
      <c r="A7" s="464"/>
      <c r="B7" s="97" t="s">
        <v>4</v>
      </c>
      <c r="C7" s="96" t="s">
        <v>45</v>
      </c>
      <c r="D7" s="110">
        <v>221.095</v>
      </c>
      <c r="E7" s="110">
        <v>500</v>
      </c>
      <c r="F7" s="110">
        <v>165.54</v>
      </c>
      <c r="G7" s="271">
        <v>2</v>
      </c>
      <c r="H7" s="179">
        <f t="shared" si="3"/>
        <v>331.08</v>
      </c>
      <c r="I7" s="109">
        <f t="shared" si="0"/>
        <v>334.46000000000004</v>
      </c>
      <c r="J7" s="179">
        <f t="shared" si="4"/>
        <v>66.215999999999994</v>
      </c>
      <c r="K7" s="108" t="s">
        <v>430</v>
      </c>
      <c r="L7" s="108">
        <v>904.18</v>
      </c>
      <c r="M7" s="108">
        <v>300</v>
      </c>
      <c r="N7" s="107">
        <f t="shared" si="1"/>
        <v>165.54</v>
      </c>
      <c r="O7" s="274">
        <v>2</v>
      </c>
      <c r="P7" s="240">
        <f t="shared" si="5"/>
        <v>331.08</v>
      </c>
      <c r="Q7" s="280">
        <f t="shared" si="6"/>
        <v>-31.079999999999984</v>
      </c>
      <c r="R7" s="291" t="str">
        <f t="shared" si="2"/>
        <v>Yes</v>
      </c>
      <c r="S7" s="250" t="s">
        <v>351</v>
      </c>
      <c r="T7" s="234" t="s">
        <v>351</v>
      </c>
    </row>
    <row r="8" spans="1:31" ht="14.25" customHeight="1" thickBot="1" x14ac:dyDescent="0.25">
      <c r="A8" s="464"/>
      <c r="B8" s="97" t="s">
        <v>25</v>
      </c>
      <c r="C8" s="96" t="s">
        <v>65</v>
      </c>
      <c r="D8" s="95">
        <v>645.40499999999997</v>
      </c>
      <c r="E8" s="95">
        <v>300</v>
      </c>
      <c r="F8" s="95">
        <v>101.52370000000001</v>
      </c>
      <c r="G8" s="271">
        <v>2</v>
      </c>
      <c r="H8" s="179">
        <f t="shared" si="3"/>
        <v>203.04740000000001</v>
      </c>
      <c r="I8" s="94">
        <f t="shared" si="0"/>
        <v>198.47629999999998</v>
      </c>
      <c r="J8" s="179">
        <f t="shared" si="4"/>
        <v>67.68246666666667</v>
      </c>
      <c r="K8" s="93" t="s">
        <v>429</v>
      </c>
      <c r="L8" s="93">
        <v>691.82</v>
      </c>
      <c r="M8" s="93">
        <v>300</v>
      </c>
      <c r="N8" s="92">
        <f t="shared" si="1"/>
        <v>101.52370000000001</v>
      </c>
      <c r="O8" s="274">
        <v>2</v>
      </c>
      <c r="P8" s="240">
        <f t="shared" si="5"/>
        <v>203.04740000000001</v>
      </c>
      <c r="Q8" s="280">
        <f t="shared" si="6"/>
        <v>96.95259999999999</v>
      </c>
      <c r="R8" s="177" t="str">
        <f t="shared" si="2"/>
        <v>No</v>
      </c>
      <c r="S8" s="249"/>
      <c r="T8" s="234"/>
    </row>
    <row r="9" spans="1:31" ht="13.5" thickBot="1" x14ac:dyDescent="0.25">
      <c r="A9" s="462" t="s">
        <v>46</v>
      </c>
      <c r="B9" s="87" t="s">
        <v>5</v>
      </c>
      <c r="C9" s="86" t="s">
        <v>46</v>
      </c>
      <c r="D9" s="85">
        <v>87.444999999999993</v>
      </c>
      <c r="E9" s="85">
        <v>900</v>
      </c>
      <c r="F9" s="85">
        <v>330.03719999999998</v>
      </c>
      <c r="G9" s="269">
        <v>2</v>
      </c>
      <c r="H9" s="179">
        <f t="shared" si="3"/>
        <v>660.07439999999997</v>
      </c>
      <c r="I9" s="84">
        <f t="shared" si="0"/>
        <v>569.96280000000002</v>
      </c>
      <c r="J9" s="179">
        <f t="shared" si="4"/>
        <v>73.3416</v>
      </c>
      <c r="K9" s="83" t="s">
        <v>428</v>
      </c>
      <c r="L9" s="83">
        <v>243.73500000000001</v>
      </c>
      <c r="M9" s="83">
        <v>750</v>
      </c>
      <c r="N9" s="82">
        <f t="shared" si="1"/>
        <v>330.03719999999998</v>
      </c>
      <c r="O9" s="273">
        <v>2</v>
      </c>
      <c r="P9" s="240">
        <f t="shared" si="5"/>
        <v>660.07439999999997</v>
      </c>
      <c r="Q9" s="280">
        <f t="shared" si="6"/>
        <v>89.925600000000031</v>
      </c>
      <c r="R9" s="176" t="str">
        <f t="shared" si="2"/>
        <v>No</v>
      </c>
      <c r="S9" s="229"/>
      <c r="T9" s="229"/>
      <c r="U9" s="242"/>
    </row>
    <row r="10" spans="1:31" ht="14.25" customHeight="1" thickBot="1" x14ac:dyDescent="0.25">
      <c r="A10" s="464"/>
      <c r="B10" s="97" t="s">
        <v>7</v>
      </c>
      <c r="C10" s="96" t="s">
        <v>48</v>
      </c>
      <c r="D10" s="110">
        <v>457.755</v>
      </c>
      <c r="E10" s="110">
        <v>600</v>
      </c>
      <c r="F10" s="110">
        <v>200.11</v>
      </c>
      <c r="G10" s="271">
        <v>2</v>
      </c>
      <c r="H10" s="179">
        <f t="shared" si="3"/>
        <v>400.22</v>
      </c>
      <c r="I10" s="109">
        <f t="shared" si="0"/>
        <v>399.89</v>
      </c>
      <c r="J10" s="179">
        <f t="shared" si="4"/>
        <v>66.703333333333333</v>
      </c>
      <c r="K10" s="108" t="s">
        <v>427</v>
      </c>
      <c r="L10" s="108">
        <v>614.06500000000005</v>
      </c>
      <c r="M10" s="108">
        <v>450</v>
      </c>
      <c r="N10" s="107">
        <f t="shared" si="1"/>
        <v>200.11</v>
      </c>
      <c r="O10" s="274">
        <v>2</v>
      </c>
      <c r="P10" s="240">
        <f t="shared" si="5"/>
        <v>400.22</v>
      </c>
      <c r="Q10" s="280">
        <f t="shared" si="6"/>
        <v>49.779999999999973</v>
      </c>
      <c r="R10" s="248" t="s">
        <v>467</v>
      </c>
      <c r="S10" s="11"/>
      <c r="T10" s="11"/>
      <c r="U10" s="242"/>
    </row>
    <row r="11" spans="1:31" ht="14.25" customHeight="1" thickBot="1" x14ac:dyDescent="0.25">
      <c r="A11" s="464"/>
      <c r="B11" s="97" t="s">
        <v>8</v>
      </c>
      <c r="C11" s="96" t="s">
        <v>74</v>
      </c>
      <c r="D11" s="110">
        <v>632.29</v>
      </c>
      <c r="E11" s="110">
        <v>1050</v>
      </c>
      <c r="F11" s="110">
        <v>416.14780000000002</v>
      </c>
      <c r="G11" s="271">
        <v>2</v>
      </c>
      <c r="H11" s="179">
        <f t="shared" si="3"/>
        <v>832.29560000000004</v>
      </c>
      <c r="I11" s="109">
        <f t="shared" si="0"/>
        <v>633.85220000000004</v>
      </c>
      <c r="J11" s="179">
        <f t="shared" si="4"/>
        <v>79.266247619047618</v>
      </c>
      <c r="K11" s="108" t="s">
        <v>426</v>
      </c>
      <c r="L11" s="108">
        <v>692.19500000000005</v>
      </c>
      <c r="M11" s="108">
        <v>1050</v>
      </c>
      <c r="N11" s="107">
        <f t="shared" si="1"/>
        <v>416.14780000000002</v>
      </c>
      <c r="O11" s="274">
        <v>2</v>
      </c>
      <c r="P11" s="240">
        <f t="shared" si="5"/>
        <v>832.29560000000004</v>
      </c>
      <c r="Q11" s="280">
        <f t="shared" si="6"/>
        <v>217.70439999999996</v>
      </c>
      <c r="R11" s="176" t="str">
        <f>IF(Q11&gt;=0,"No","Yes")</f>
        <v>No</v>
      </c>
      <c r="S11" s="11"/>
      <c r="T11" s="11"/>
      <c r="U11" s="242"/>
    </row>
    <row r="12" spans="1:31" ht="14.25" customHeight="1" thickBot="1" x14ac:dyDescent="0.25">
      <c r="A12" s="464"/>
      <c r="B12" s="97" t="s">
        <v>12</v>
      </c>
      <c r="C12" s="96" t="s">
        <v>52</v>
      </c>
      <c r="D12" s="110">
        <v>428.91</v>
      </c>
      <c r="E12" s="110">
        <v>800</v>
      </c>
      <c r="F12" s="110">
        <v>320.77999999999997</v>
      </c>
      <c r="G12" s="271">
        <v>2</v>
      </c>
      <c r="H12" s="179">
        <f t="shared" si="3"/>
        <v>641.55999999999995</v>
      </c>
      <c r="I12" s="109">
        <f t="shared" si="0"/>
        <v>479.22</v>
      </c>
      <c r="J12" s="179">
        <f t="shared" si="4"/>
        <v>80.194999999999993</v>
      </c>
      <c r="K12" s="108" t="s">
        <v>420</v>
      </c>
      <c r="L12" s="108">
        <v>440.09</v>
      </c>
      <c r="M12" s="108">
        <v>800</v>
      </c>
      <c r="N12" s="107">
        <f t="shared" si="1"/>
        <v>320.77999999999997</v>
      </c>
      <c r="O12" s="274">
        <v>2</v>
      </c>
      <c r="P12" s="240">
        <f t="shared" si="5"/>
        <v>641.55999999999995</v>
      </c>
      <c r="Q12" s="280">
        <f t="shared" si="6"/>
        <v>158.44000000000005</v>
      </c>
      <c r="R12" s="176" t="str">
        <f>IF(Q12&gt;=0,"No","Yes")</f>
        <v>No</v>
      </c>
      <c r="S12" s="11"/>
      <c r="T12" s="11"/>
      <c r="U12" s="242"/>
    </row>
    <row r="13" spans="1:31" ht="14.25" customHeight="1" thickBot="1" x14ac:dyDescent="0.25">
      <c r="A13" s="464"/>
      <c r="B13" s="97" t="s">
        <v>396</v>
      </c>
      <c r="C13" s="96" t="s">
        <v>63</v>
      </c>
      <c r="D13" s="95">
        <v>530.30999999999995</v>
      </c>
      <c r="E13" s="95">
        <v>200</v>
      </c>
      <c r="F13" s="95">
        <v>22.35</v>
      </c>
      <c r="G13" s="270">
        <v>2</v>
      </c>
      <c r="H13" s="179">
        <f t="shared" si="3"/>
        <v>44.7</v>
      </c>
      <c r="I13" s="94">
        <f t="shared" si="0"/>
        <v>177.65</v>
      </c>
      <c r="J13" s="179">
        <f t="shared" si="4"/>
        <v>22.35</v>
      </c>
      <c r="K13" s="93" t="s">
        <v>418</v>
      </c>
      <c r="L13" s="93">
        <v>541.49</v>
      </c>
      <c r="M13" s="93">
        <v>150</v>
      </c>
      <c r="N13" s="92">
        <f t="shared" si="1"/>
        <v>22.35</v>
      </c>
      <c r="O13" s="275">
        <v>2</v>
      </c>
      <c r="P13" s="240">
        <f t="shared" si="5"/>
        <v>44.7</v>
      </c>
      <c r="Q13" s="280">
        <f t="shared" si="6"/>
        <v>105.3</v>
      </c>
      <c r="R13" s="176" t="str">
        <f>IF(Q13&gt;=0,"No","Yes")</f>
        <v>No</v>
      </c>
      <c r="S13" s="11"/>
      <c r="T13" s="11"/>
      <c r="U13" s="242"/>
    </row>
    <row r="14" spans="1:31" ht="13.5" thickBot="1" x14ac:dyDescent="0.25">
      <c r="A14" s="114" t="s">
        <v>426</v>
      </c>
      <c r="B14" s="87" t="s">
        <v>351</v>
      </c>
      <c r="C14" s="157"/>
      <c r="D14" s="85"/>
      <c r="E14" s="85"/>
      <c r="F14" s="85"/>
      <c r="G14" s="95">
        <v>2</v>
      </c>
      <c r="H14" s="179">
        <f t="shared" si="3"/>
        <v>0</v>
      </c>
      <c r="I14" s="84"/>
      <c r="J14" s="179"/>
      <c r="K14" s="83"/>
      <c r="L14" s="83"/>
      <c r="M14" s="83"/>
      <c r="N14" s="82"/>
      <c r="O14" s="91">
        <v>2</v>
      </c>
      <c r="P14" s="240">
        <f t="shared" si="5"/>
        <v>0</v>
      </c>
      <c r="Q14" s="81"/>
      <c r="R14" s="82"/>
      <c r="S14" s="11"/>
      <c r="T14" s="11"/>
      <c r="U14" s="242"/>
      <c r="Z14" s="338"/>
      <c r="AA14" s="338"/>
      <c r="AB14" s="338"/>
      <c r="AC14" s="339"/>
      <c r="AD14" s="339"/>
      <c r="AE14" s="339"/>
    </row>
    <row r="15" spans="1:31" ht="13.5" thickBot="1" x14ac:dyDescent="0.25">
      <c r="A15" s="462" t="s">
        <v>49</v>
      </c>
      <c r="B15" s="87" t="s">
        <v>425</v>
      </c>
      <c r="C15" s="86" t="s">
        <v>47</v>
      </c>
      <c r="D15" s="85">
        <v>341.36500000000001</v>
      </c>
      <c r="E15" s="85">
        <v>1000</v>
      </c>
      <c r="F15" s="85">
        <v>414.50749999999999</v>
      </c>
      <c r="G15" s="269">
        <v>2</v>
      </c>
      <c r="H15" s="179">
        <f t="shared" si="3"/>
        <v>829.01499999999999</v>
      </c>
      <c r="I15" s="84">
        <f t="shared" ref="I15:I24" si="7">E15-F15</f>
        <v>585.49250000000006</v>
      </c>
      <c r="J15" s="85">
        <f>H15/E15*100</f>
        <v>82.901499999999999</v>
      </c>
      <c r="K15" s="83" t="s">
        <v>424</v>
      </c>
      <c r="L15" s="83">
        <v>527.53499999999997</v>
      </c>
      <c r="M15" s="83">
        <v>1000</v>
      </c>
      <c r="N15" s="82">
        <f t="shared" ref="N15:N24" si="8">F15</f>
        <v>414.50749999999999</v>
      </c>
      <c r="O15" s="273">
        <v>2</v>
      </c>
      <c r="P15" s="240">
        <f t="shared" si="5"/>
        <v>829.01499999999999</v>
      </c>
      <c r="Q15" s="199">
        <f>M15-P15</f>
        <v>170.98500000000001</v>
      </c>
      <c r="R15" s="82" t="str">
        <f t="shared" ref="R15:R24" si="9">IF(Q15&gt;=0,"No","Yes")</f>
        <v>No</v>
      </c>
      <c r="S15" s="11"/>
      <c r="T15" s="11"/>
      <c r="U15" s="242"/>
      <c r="Z15" s="339"/>
      <c r="AA15" s="339"/>
      <c r="AB15" s="338"/>
      <c r="AC15" s="338"/>
      <c r="AD15" s="338"/>
      <c r="AE15" s="338"/>
    </row>
    <row r="16" spans="1:31" ht="14.25" customHeight="1" thickBot="1" x14ac:dyDescent="0.25">
      <c r="A16" s="464"/>
      <c r="B16" s="97" t="s">
        <v>9</v>
      </c>
      <c r="C16" s="96" t="s">
        <v>423</v>
      </c>
      <c r="D16" s="110">
        <v>72.555000000000007</v>
      </c>
      <c r="E16" s="110">
        <v>600</v>
      </c>
      <c r="F16" s="110">
        <v>249.06020000000001</v>
      </c>
      <c r="G16" s="271">
        <v>2</v>
      </c>
      <c r="H16" s="179">
        <f t="shared" si="3"/>
        <v>498.12040000000002</v>
      </c>
      <c r="I16" s="109">
        <f t="shared" si="7"/>
        <v>350.93979999999999</v>
      </c>
      <c r="J16" s="85">
        <f t="shared" ref="J16:J24" si="10">H16/E16*100</f>
        <v>83.020066666666665</v>
      </c>
      <c r="K16" s="108" t="s">
        <v>422</v>
      </c>
      <c r="L16" s="108">
        <v>258.625</v>
      </c>
      <c r="M16" s="108">
        <v>500</v>
      </c>
      <c r="N16" s="107">
        <f t="shared" si="8"/>
        <v>249.06020000000001</v>
      </c>
      <c r="O16" s="274">
        <v>2</v>
      </c>
      <c r="P16" s="240">
        <f t="shared" si="5"/>
        <v>498.12040000000002</v>
      </c>
      <c r="Q16" s="199">
        <f t="shared" ref="Q16:Q24" si="11">M16-P16</f>
        <v>1.8795999999999822</v>
      </c>
      <c r="R16" s="82" t="str">
        <f t="shared" si="9"/>
        <v>No</v>
      </c>
      <c r="S16" s="11"/>
      <c r="T16" s="11"/>
      <c r="U16" s="242"/>
      <c r="Z16" s="338"/>
      <c r="AA16" s="338"/>
      <c r="AB16" s="338"/>
      <c r="AC16" s="338"/>
      <c r="AD16" s="338"/>
      <c r="AE16" s="338"/>
    </row>
    <row r="17" spans="1:37" ht="14.25" customHeight="1" thickBot="1" x14ac:dyDescent="0.25">
      <c r="A17" s="464"/>
      <c r="B17" s="97" t="s">
        <v>10</v>
      </c>
      <c r="C17" s="96" t="s">
        <v>386</v>
      </c>
      <c r="D17" s="110">
        <v>894.93</v>
      </c>
      <c r="E17" s="110">
        <v>450</v>
      </c>
      <c r="F17" s="110">
        <v>185.4342</v>
      </c>
      <c r="G17" s="271">
        <v>2</v>
      </c>
      <c r="H17" s="179">
        <f t="shared" si="3"/>
        <v>370.86840000000001</v>
      </c>
      <c r="I17" s="109">
        <f t="shared" si="7"/>
        <v>264.56579999999997</v>
      </c>
      <c r="J17" s="85">
        <f t="shared" si="10"/>
        <v>82.415199999999999</v>
      </c>
      <c r="K17" s="108" t="s">
        <v>385</v>
      </c>
      <c r="L17" s="108">
        <v>975.03499999999997</v>
      </c>
      <c r="M17" s="108">
        <v>450</v>
      </c>
      <c r="N17" s="107">
        <f t="shared" si="8"/>
        <v>185.4342</v>
      </c>
      <c r="O17" s="274">
        <v>2</v>
      </c>
      <c r="P17" s="240">
        <f t="shared" si="5"/>
        <v>370.86840000000001</v>
      </c>
      <c r="Q17" s="199">
        <f t="shared" si="11"/>
        <v>79.131599999999992</v>
      </c>
      <c r="R17" s="82" t="str">
        <f t="shared" si="9"/>
        <v>No</v>
      </c>
      <c r="S17" s="11"/>
      <c r="T17" s="11"/>
      <c r="U17" s="242"/>
      <c r="Z17" s="339"/>
      <c r="AA17" s="339"/>
      <c r="AB17" s="339"/>
      <c r="AC17" s="339"/>
      <c r="AD17" s="339"/>
      <c r="AE17" s="339"/>
      <c r="AI17" s="541"/>
      <c r="AJ17" s="541"/>
    </row>
    <row r="18" spans="1:37" ht="14.25" customHeight="1" thickBot="1" x14ac:dyDescent="0.25">
      <c r="A18" s="464"/>
      <c r="B18" s="97" t="s">
        <v>11</v>
      </c>
      <c r="C18" s="96" t="s">
        <v>378</v>
      </c>
      <c r="D18" s="110">
        <v>839.23</v>
      </c>
      <c r="E18" s="110">
        <v>600</v>
      </c>
      <c r="F18" s="110">
        <v>213.84829999999999</v>
      </c>
      <c r="G18" s="271">
        <v>2</v>
      </c>
      <c r="H18" s="179">
        <f t="shared" si="3"/>
        <v>427.69659999999999</v>
      </c>
      <c r="I18" s="109">
        <f t="shared" si="7"/>
        <v>386.15170000000001</v>
      </c>
      <c r="J18" s="85">
        <f t="shared" si="10"/>
        <v>71.28276666666666</v>
      </c>
      <c r="K18" s="108" t="s">
        <v>421</v>
      </c>
      <c r="L18" s="108">
        <v>1025.3</v>
      </c>
      <c r="M18" s="108">
        <v>600</v>
      </c>
      <c r="N18" s="107">
        <f t="shared" si="8"/>
        <v>213.84829999999999</v>
      </c>
      <c r="O18" s="274">
        <v>2</v>
      </c>
      <c r="P18" s="240">
        <f t="shared" si="5"/>
        <v>427.69659999999999</v>
      </c>
      <c r="Q18" s="199">
        <f t="shared" si="11"/>
        <v>172.30340000000001</v>
      </c>
      <c r="R18" s="82" t="str">
        <f t="shared" si="9"/>
        <v>No</v>
      </c>
      <c r="S18" s="11"/>
      <c r="T18" s="11"/>
      <c r="U18" s="242"/>
      <c r="Z18" s="364"/>
      <c r="AA18" s="364"/>
      <c r="AB18" s="364"/>
      <c r="AC18" s="364"/>
      <c r="AD18" s="364"/>
      <c r="AE18" s="364"/>
      <c r="AF18" s="364"/>
      <c r="AG18" s="364"/>
      <c r="AI18" s="193"/>
      <c r="AJ18" s="193"/>
      <c r="AK18" s="304"/>
    </row>
    <row r="19" spans="1:37" ht="14.25" customHeight="1" thickBot="1" x14ac:dyDescent="0.25">
      <c r="A19" s="464"/>
      <c r="B19" s="97" t="s">
        <v>12</v>
      </c>
      <c r="C19" s="96" t="s">
        <v>52</v>
      </c>
      <c r="D19" s="110">
        <v>428.91</v>
      </c>
      <c r="E19" s="110">
        <v>800</v>
      </c>
      <c r="F19" s="110">
        <v>320.7817</v>
      </c>
      <c r="G19" s="271">
        <v>2</v>
      </c>
      <c r="H19" s="179">
        <f t="shared" si="3"/>
        <v>641.5634</v>
      </c>
      <c r="I19" s="109">
        <f t="shared" si="7"/>
        <v>479.2183</v>
      </c>
      <c r="J19" s="85">
        <f t="shared" si="10"/>
        <v>80.195425</v>
      </c>
      <c r="K19" s="108" t="s">
        <v>420</v>
      </c>
      <c r="L19" s="108">
        <v>440.09</v>
      </c>
      <c r="M19" s="108">
        <v>800</v>
      </c>
      <c r="N19" s="107">
        <f t="shared" si="8"/>
        <v>320.7817</v>
      </c>
      <c r="O19" s="274">
        <v>2</v>
      </c>
      <c r="P19" s="240">
        <f t="shared" si="5"/>
        <v>641.5634</v>
      </c>
      <c r="Q19" s="199">
        <f t="shared" si="11"/>
        <v>158.4366</v>
      </c>
      <c r="R19" s="82" t="str">
        <f t="shared" si="9"/>
        <v>No</v>
      </c>
      <c r="S19" s="11"/>
      <c r="T19" s="11"/>
      <c r="U19" s="242"/>
      <c r="Z19" s="461"/>
      <c r="AA19" s="461"/>
      <c r="AB19" s="461"/>
      <c r="AC19" s="364"/>
      <c r="AD19" s="364"/>
      <c r="AE19" s="364"/>
      <c r="AF19" s="364"/>
      <c r="AG19" s="364"/>
      <c r="AI19" s="304"/>
      <c r="AJ19" s="304"/>
      <c r="AK19" s="304"/>
    </row>
    <row r="20" spans="1:37" ht="14.25" customHeight="1" thickBot="1" x14ac:dyDescent="0.25">
      <c r="A20" s="464"/>
      <c r="B20" s="97" t="s">
        <v>419</v>
      </c>
      <c r="C20" s="96" t="s">
        <v>411</v>
      </c>
      <c r="D20" s="95">
        <v>530.30999999999995</v>
      </c>
      <c r="E20" s="95">
        <f>E13</f>
        <v>200</v>
      </c>
      <c r="F20" s="95">
        <v>22.35</v>
      </c>
      <c r="G20" s="271">
        <v>2</v>
      </c>
      <c r="H20" s="179">
        <f t="shared" si="3"/>
        <v>44.7</v>
      </c>
      <c r="I20" s="94">
        <f t="shared" si="7"/>
        <v>177.65</v>
      </c>
      <c r="J20" s="85">
        <f t="shared" si="10"/>
        <v>22.35</v>
      </c>
      <c r="K20" s="93" t="s">
        <v>418</v>
      </c>
      <c r="L20" s="93">
        <v>541.49</v>
      </c>
      <c r="M20" s="93">
        <v>200</v>
      </c>
      <c r="N20" s="92">
        <f t="shared" si="8"/>
        <v>22.35</v>
      </c>
      <c r="O20" s="274">
        <v>2</v>
      </c>
      <c r="P20" s="240">
        <f t="shared" si="5"/>
        <v>44.7</v>
      </c>
      <c r="Q20" s="199">
        <f t="shared" si="11"/>
        <v>155.30000000000001</v>
      </c>
      <c r="R20" s="82" t="str">
        <f t="shared" si="9"/>
        <v>No</v>
      </c>
      <c r="S20" s="11"/>
      <c r="T20" s="11"/>
      <c r="U20" s="242"/>
      <c r="Z20" s="364"/>
      <c r="AA20" s="364"/>
      <c r="AB20" s="461"/>
      <c r="AC20" s="461"/>
      <c r="AD20" s="461"/>
      <c r="AE20" s="461"/>
      <c r="AF20" s="364"/>
      <c r="AG20" s="364"/>
      <c r="AI20" s="345"/>
      <c r="AJ20" s="345"/>
      <c r="AK20" s="304"/>
    </row>
    <row r="21" spans="1:37" ht="13.5" thickBot="1" x14ac:dyDescent="0.25">
      <c r="A21" s="462" t="s">
        <v>413</v>
      </c>
      <c r="B21" s="87" t="s">
        <v>7</v>
      </c>
      <c r="C21" s="86" t="s">
        <v>48</v>
      </c>
      <c r="D21" s="85">
        <v>457.755</v>
      </c>
      <c r="E21" s="85">
        <f>E10</f>
        <v>600</v>
      </c>
      <c r="F21" s="85">
        <v>200.1122</v>
      </c>
      <c r="G21" s="269">
        <v>2</v>
      </c>
      <c r="H21" s="179">
        <f t="shared" si="3"/>
        <v>400.2244</v>
      </c>
      <c r="I21" s="84">
        <f t="shared" si="7"/>
        <v>399.88779999999997</v>
      </c>
      <c r="J21" s="85">
        <f t="shared" si="10"/>
        <v>66.704066666666677</v>
      </c>
      <c r="K21" s="83" t="s">
        <v>416</v>
      </c>
      <c r="L21" s="83">
        <v>733.18499999999995</v>
      </c>
      <c r="M21" s="83">
        <v>600</v>
      </c>
      <c r="N21" s="82">
        <f t="shared" si="8"/>
        <v>200.1122</v>
      </c>
      <c r="O21" s="273">
        <v>2</v>
      </c>
      <c r="P21" s="240">
        <f t="shared" si="5"/>
        <v>400.2244</v>
      </c>
      <c r="Q21" s="199">
        <f t="shared" si="11"/>
        <v>199.7756</v>
      </c>
      <c r="R21" s="197" t="str">
        <f t="shared" si="9"/>
        <v>No</v>
      </c>
      <c r="S21" s="11"/>
      <c r="T21" s="11"/>
      <c r="U21" s="242"/>
      <c r="Z21" s="363"/>
      <c r="AA21" s="363"/>
      <c r="AB21" s="363"/>
      <c r="AC21" s="363"/>
      <c r="AD21" s="363"/>
      <c r="AE21" s="363"/>
      <c r="AF21" s="364"/>
      <c r="AG21" s="364"/>
      <c r="AI21" s="304"/>
      <c r="AJ21" s="304"/>
      <c r="AK21" s="304"/>
    </row>
    <row r="22" spans="1:37" ht="14.25" customHeight="1" thickBot="1" x14ac:dyDescent="0.25">
      <c r="A22" s="464"/>
      <c r="B22" s="97" t="s">
        <v>415</v>
      </c>
      <c r="C22" s="96" t="s">
        <v>74</v>
      </c>
      <c r="D22" s="110">
        <v>632.29</v>
      </c>
      <c r="E22" s="110">
        <f>E11</f>
        <v>1050</v>
      </c>
      <c r="F22" s="110">
        <v>416.14780000000002</v>
      </c>
      <c r="G22" s="271">
        <v>2</v>
      </c>
      <c r="H22" s="179">
        <f t="shared" si="3"/>
        <v>832.29560000000004</v>
      </c>
      <c r="I22" s="109">
        <f t="shared" si="7"/>
        <v>633.85220000000004</v>
      </c>
      <c r="J22" s="85">
        <f t="shared" si="10"/>
        <v>79.266247619047618</v>
      </c>
      <c r="K22" s="108" t="s">
        <v>361</v>
      </c>
      <c r="L22" s="108">
        <v>692.19500000000005</v>
      </c>
      <c r="M22" s="108">
        <v>1050</v>
      </c>
      <c r="N22" s="107">
        <f t="shared" si="8"/>
        <v>416.14780000000002</v>
      </c>
      <c r="O22" s="274">
        <v>2</v>
      </c>
      <c r="P22" s="240">
        <f t="shared" si="5"/>
        <v>832.29560000000004</v>
      </c>
      <c r="Q22" s="199">
        <f t="shared" si="11"/>
        <v>217.70439999999996</v>
      </c>
      <c r="R22" s="82" t="str">
        <f t="shared" si="9"/>
        <v>No</v>
      </c>
      <c r="S22" s="11"/>
      <c r="T22" s="11"/>
      <c r="U22" s="242"/>
      <c r="Z22" s="364"/>
      <c r="AA22" s="364"/>
      <c r="AB22" s="364"/>
      <c r="AC22" s="364"/>
      <c r="AD22" s="364"/>
      <c r="AE22" s="364"/>
      <c r="AF22" s="364"/>
      <c r="AG22" s="364"/>
      <c r="AI22" s="304"/>
      <c r="AJ22" s="304"/>
      <c r="AK22" s="304"/>
    </row>
    <row r="23" spans="1:37" ht="14.25" customHeight="1" thickBot="1" x14ac:dyDescent="0.25">
      <c r="A23" s="464"/>
      <c r="B23" s="97" t="s">
        <v>414</v>
      </c>
      <c r="C23" s="96" t="s">
        <v>413</v>
      </c>
      <c r="D23" s="110">
        <v>370.31</v>
      </c>
      <c r="E23" s="110">
        <v>200</v>
      </c>
      <c r="F23" s="110">
        <v>24.103000000000002</v>
      </c>
      <c r="G23" s="271">
        <v>2</v>
      </c>
      <c r="H23" s="179">
        <f t="shared" si="3"/>
        <v>48.206000000000003</v>
      </c>
      <c r="I23" s="109">
        <f t="shared" si="7"/>
        <v>175.89699999999999</v>
      </c>
      <c r="J23" s="85">
        <f t="shared" si="10"/>
        <v>24.103000000000002</v>
      </c>
      <c r="K23" s="108" t="s">
        <v>412</v>
      </c>
      <c r="L23" s="108">
        <v>820.63</v>
      </c>
      <c r="M23" s="108">
        <v>200</v>
      </c>
      <c r="N23" s="107">
        <f t="shared" si="8"/>
        <v>24.103000000000002</v>
      </c>
      <c r="O23" s="274">
        <v>2</v>
      </c>
      <c r="P23" s="240">
        <f t="shared" si="5"/>
        <v>48.206000000000003</v>
      </c>
      <c r="Q23" s="199">
        <f t="shared" si="11"/>
        <v>151.79399999999998</v>
      </c>
      <c r="R23" s="82" t="str">
        <f t="shared" si="9"/>
        <v>No</v>
      </c>
      <c r="S23" s="11"/>
      <c r="T23" s="11"/>
      <c r="U23" s="242"/>
      <c r="V23" s="20"/>
      <c r="W23" s="58"/>
      <c r="Z23" s="364"/>
      <c r="AA23" s="364"/>
      <c r="AB23" s="364"/>
      <c r="AC23" s="364"/>
      <c r="AD23" s="364"/>
      <c r="AE23" s="364"/>
      <c r="AF23" s="364"/>
      <c r="AG23" s="364"/>
      <c r="AI23" s="304"/>
      <c r="AJ23" s="304"/>
      <c r="AK23" s="304"/>
    </row>
    <row r="24" spans="1:37" ht="14.25" customHeight="1" thickBot="1" x14ac:dyDescent="0.25">
      <c r="A24" s="464"/>
      <c r="B24" s="97" t="s">
        <v>396</v>
      </c>
      <c r="C24" s="96" t="s">
        <v>411</v>
      </c>
      <c r="D24" s="95">
        <v>530.30999999999995</v>
      </c>
      <c r="E24" s="95">
        <f>E13</f>
        <v>200</v>
      </c>
      <c r="F24" s="95">
        <v>22.35</v>
      </c>
      <c r="G24" s="270">
        <v>2</v>
      </c>
      <c r="H24" s="179">
        <f t="shared" si="3"/>
        <v>44.7</v>
      </c>
      <c r="I24" s="94">
        <f t="shared" si="7"/>
        <v>177.65</v>
      </c>
      <c r="J24" s="85">
        <f t="shared" si="10"/>
        <v>22.35</v>
      </c>
      <c r="K24" s="93" t="s">
        <v>410</v>
      </c>
      <c r="L24" s="93">
        <v>660.63</v>
      </c>
      <c r="M24" s="93">
        <v>200</v>
      </c>
      <c r="N24" s="92">
        <f t="shared" si="8"/>
        <v>22.35</v>
      </c>
      <c r="O24" s="275">
        <v>2</v>
      </c>
      <c r="P24" s="240">
        <f t="shared" si="5"/>
        <v>44.7</v>
      </c>
      <c r="Q24" s="199">
        <f t="shared" si="11"/>
        <v>155.30000000000001</v>
      </c>
      <c r="R24" s="82" t="str">
        <f t="shared" si="9"/>
        <v>No</v>
      </c>
      <c r="S24" s="11"/>
      <c r="T24" s="11"/>
      <c r="V24" s="528" t="s">
        <v>454</v>
      </c>
      <c r="W24" s="529"/>
      <c r="X24" s="267"/>
      <c r="Z24" s="364"/>
      <c r="AA24" s="364"/>
      <c r="AB24" s="364"/>
      <c r="AC24" s="364"/>
      <c r="AD24" s="364"/>
      <c r="AE24" s="364"/>
      <c r="AF24" s="364"/>
      <c r="AG24" s="364"/>
      <c r="AI24" s="304"/>
      <c r="AJ24" s="304"/>
      <c r="AK24" s="304"/>
    </row>
    <row r="25" spans="1:37" ht="13.5" thickBot="1" x14ac:dyDescent="0.25">
      <c r="A25" s="158" t="s">
        <v>409</v>
      </c>
      <c r="B25" s="87" t="s">
        <v>408</v>
      </c>
      <c r="C25" s="157"/>
      <c r="D25" s="85"/>
      <c r="E25" s="85"/>
      <c r="F25" s="85"/>
      <c r="G25" s="95">
        <v>2</v>
      </c>
      <c r="H25" s="179">
        <f t="shared" si="3"/>
        <v>0</v>
      </c>
      <c r="I25" s="84"/>
      <c r="J25" s="179"/>
      <c r="K25" s="83"/>
      <c r="L25" s="83"/>
      <c r="M25" s="83"/>
      <c r="N25" s="82"/>
      <c r="O25" s="91">
        <v>2</v>
      </c>
      <c r="P25" s="240">
        <f t="shared" si="5"/>
        <v>0</v>
      </c>
      <c r="Q25" s="81"/>
      <c r="R25" s="82"/>
      <c r="S25" s="266" t="s">
        <v>440</v>
      </c>
      <c r="T25" s="266" t="s">
        <v>456</v>
      </c>
      <c r="V25" s="90"/>
      <c r="W25" s="20"/>
      <c r="X25" s="100"/>
      <c r="Z25" s="364"/>
      <c r="AA25" s="364"/>
      <c r="AB25" s="364"/>
      <c r="AC25" s="364"/>
      <c r="AD25" s="364"/>
      <c r="AE25" s="364"/>
      <c r="AF25" s="364"/>
      <c r="AG25" s="364"/>
      <c r="AI25" s="304"/>
      <c r="AJ25" s="304"/>
      <c r="AK25" s="304"/>
    </row>
    <row r="26" spans="1:37" ht="15" customHeight="1" thickBot="1" x14ac:dyDescent="0.25">
      <c r="A26" s="480" t="s">
        <v>407</v>
      </c>
      <c r="B26" s="155" t="s">
        <v>14</v>
      </c>
      <c r="C26" s="86" t="s">
        <v>406</v>
      </c>
      <c r="D26" s="85">
        <v>391.72</v>
      </c>
      <c r="E26" s="84">
        <v>1600</v>
      </c>
      <c r="F26" s="85">
        <v>664.51419999999996</v>
      </c>
      <c r="G26" s="269">
        <v>2</v>
      </c>
      <c r="H26" s="179">
        <f t="shared" si="3"/>
        <v>1329.0283999999999</v>
      </c>
      <c r="I26" s="84">
        <f t="shared" ref="I26:I56" si="12">E26-F26</f>
        <v>935.48580000000004</v>
      </c>
      <c r="J26" s="84">
        <f>H26/E26*100</f>
        <v>83.064274999999995</v>
      </c>
      <c r="K26" s="83" t="s">
        <v>405</v>
      </c>
      <c r="L26" s="83">
        <v>799.22</v>
      </c>
      <c r="M26" s="83">
        <v>1200</v>
      </c>
      <c r="N26" s="82">
        <f t="shared" ref="N26:N56" si="13">F26</f>
        <v>664.51419999999996</v>
      </c>
      <c r="O26" s="273">
        <v>2</v>
      </c>
      <c r="P26" s="240">
        <f t="shared" si="5"/>
        <v>1329.0283999999999</v>
      </c>
      <c r="Q26" s="81">
        <f>M26-P26</f>
        <v>-129.02839999999992</v>
      </c>
      <c r="R26" s="214" t="str">
        <f t="shared" ref="R26:R56" si="14">IF(Q26&gt;=0,"No","Yes")</f>
        <v>Yes</v>
      </c>
      <c r="S26" s="532" t="s">
        <v>485</v>
      </c>
      <c r="T26" s="530">
        <v>6.5</v>
      </c>
      <c r="V26" s="292" t="s">
        <v>390</v>
      </c>
      <c r="W26" s="193" t="s">
        <v>389</v>
      </c>
      <c r="X26" s="293" t="s">
        <v>388</v>
      </c>
      <c r="Z26" s="364"/>
      <c r="AA26" s="364"/>
      <c r="AB26" s="364"/>
      <c r="AC26" s="364"/>
      <c r="AD26" s="364"/>
      <c r="AE26" s="364"/>
      <c r="AF26" s="364"/>
      <c r="AG26" s="364"/>
      <c r="AI26" s="304"/>
      <c r="AJ26" s="304"/>
      <c r="AK26" s="304"/>
    </row>
    <row r="27" spans="1:37" ht="14.25" customHeight="1" thickBot="1" x14ac:dyDescent="0.25">
      <c r="A27" s="481"/>
      <c r="B27" s="76" t="s">
        <v>360</v>
      </c>
      <c r="C27" s="75" t="s">
        <v>55</v>
      </c>
      <c r="D27" s="152">
        <v>566.26</v>
      </c>
      <c r="E27" s="152">
        <v>1050</v>
      </c>
      <c r="F27" s="152">
        <v>424.66829999999999</v>
      </c>
      <c r="G27" s="271">
        <v>2</v>
      </c>
      <c r="H27" s="179">
        <f t="shared" si="3"/>
        <v>849.33659999999998</v>
      </c>
      <c r="I27" s="151">
        <f t="shared" si="12"/>
        <v>625.33169999999996</v>
      </c>
      <c r="J27" s="84">
        <f t="shared" ref="J27:J56" si="15">H27/E27*100</f>
        <v>80.889199999999988</v>
      </c>
      <c r="K27" s="150" t="s">
        <v>404</v>
      </c>
      <c r="L27" s="150">
        <v>973.76</v>
      </c>
      <c r="M27" s="150">
        <v>1050</v>
      </c>
      <c r="N27" s="71">
        <f t="shared" si="13"/>
        <v>424.66829999999999</v>
      </c>
      <c r="O27" s="274">
        <v>2</v>
      </c>
      <c r="P27" s="240">
        <f t="shared" si="5"/>
        <v>849.33659999999998</v>
      </c>
      <c r="Q27" s="81">
        <f t="shared" ref="Q27:Q56" si="16">M27-P27</f>
        <v>200.66340000000002</v>
      </c>
      <c r="R27" s="197" t="str">
        <f t="shared" si="14"/>
        <v>No</v>
      </c>
      <c r="S27" s="533"/>
      <c r="T27" s="531"/>
      <c r="V27" s="133" t="s">
        <v>17</v>
      </c>
      <c r="W27" s="132">
        <v>330</v>
      </c>
      <c r="X27" s="100">
        <f>(W27/200)*100</f>
        <v>165</v>
      </c>
      <c r="Z27" s="364"/>
      <c r="AA27" s="364"/>
      <c r="AB27" s="364"/>
      <c r="AC27" s="364"/>
      <c r="AD27" s="364"/>
      <c r="AE27" s="364"/>
      <c r="AF27" s="364"/>
      <c r="AG27" s="364"/>
      <c r="AI27" s="304"/>
      <c r="AJ27" s="304"/>
      <c r="AK27" s="304"/>
    </row>
    <row r="28" spans="1:37" ht="15" customHeight="1" thickBot="1" x14ac:dyDescent="0.25">
      <c r="A28" s="464" t="s">
        <v>403</v>
      </c>
      <c r="B28" s="63" t="s">
        <v>6</v>
      </c>
      <c r="C28" s="116" t="s">
        <v>47</v>
      </c>
      <c r="D28" s="95">
        <v>341.46499999999997</v>
      </c>
      <c r="E28" s="94">
        <f>E15</f>
        <v>1000</v>
      </c>
      <c r="F28" s="95">
        <v>414.50749999999999</v>
      </c>
      <c r="G28" s="269">
        <v>2</v>
      </c>
      <c r="H28" s="179">
        <f t="shared" si="3"/>
        <v>829.01499999999999</v>
      </c>
      <c r="I28" s="94">
        <f t="shared" si="12"/>
        <v>585.49250000000006</v>
      </c>
      <c r="J28" s="84">
        <f t="shared" si="15"/>
        <v>82.901499999999999</v>
      </c>
      <c r="K28" s="93" t="s">
        <v>402</v>
      </c>
      <c r="L28" s="93">
        <v>849.47500000000002</v>
      </c>
      <c r="M28" s="93">
        <v>750</v>
      </c>
      <c r="N28" s="92">
        <f t="shared" si="13"/>
        <v>414.50749999999999</v>
      </c>
      <c r="O28" s="273">
        <v>2</v>
      </c>
      <c r="P28" s="240">
        <f t="shared" si="5"/>
        <v>829.01499999999999</v>
      </c>
      <c r="Q28" s="81">
        <f t="shared" si="16"/>
        <v>-79.014999999999986</v>
      </c>
      <c r="R28" s="197" t="str">
        <f t="shared" si="14"/>
        <v>Yes</v>
      </c>
      <c r="S28" s="532" t="s">
        <v>486</v>
      </c>
      <c r="T28" s="535">
        <v>57</v>
      </c>
      <c r="V28" s="133" t="s">
        <v>28</v>
      </c>
      <c r="W28" s="132">
        <v>525</v>
      </c>
      <c r="X28" s="100">
        <f>(W28/150)*100</f>
        <v>350</v>
      </c>
      <c r="Z28" s="364"/>
      <c r="AA28" s="364"/>
      <c r="AB28" s="364"/>
      <c r="AC28" s="364"/>
      <c r="AD28" s="364"/>
      <c r="AE28" s="364"/>
      <c r="AF28" s="364"/>
      <c r="AG28" s="364"/>
      <c r="AI28" s="304"/>
      <c r="AJ28" s="304"/>
      <c r="AK28" s="304"/>
    </row>
    <row r="29" spans="1:37" ht="14.25" customHeight="1" thickBot="1" x14ac:dyDescent="0.25">
      <c r="A29" s="464"/>
      <c r="B29" s="63" t="s">
        <v>401</v>
      </c>
      <c r="C29" s="116" t="s">
        <v>386</v>
      </c>
      <c r="D29" s="95">
        <v>894.93</v>
      </c>
      <c r="E29" s="94">
        <f>E17</f>
        <v>450</v>
      </c>
      <c r="F29" s="95">
        <v>185.4342</v>
      </c>
      <c r="G29" s="271">
        <v>2</v>
      </c>
      <c r="H29" s="179">
        <f t="shared" si="3"/>
        <v>370.86840000000001</v>
      </c>
      <c r="I29" s="94">
        <f t="shared" si="12"/>
        <v>264.56579999999997</v>
      </c>
      <c r="J29" s="84">
        <f t="shared" si="15"/>
        <v>82.415199999999999</v>
      </c>
      <c r="K29" s="93" t="s">
        <v>385</v>
      </c>
      <c r="L29" s="93">
        <v>975.03499999999997</v>
      </c>
      <c r="M29" s="93">
        <v>450</v>
      </c>
      <c r="N29" s="92">
        <f t="shared" si="13"/>
        <v>185.4342</v>
      </c>
      <c r="O29" s="274">
        <v>2</v>
      </c>
      <c r="P29" s="240">
        <f t="shared" si="5"/>
        <v>370.86840000000001</v>
      </c>
      <c r="Q29" s="81">
        <f t="shared" si="16"/>
        <v>79.131599999999992</v>
      </c>
      <c r="R29" s="197" t="str">
        <f t="shared" si="14"/>
        <v>No</v>
      </c>
      <c r="S29" s="534"/>
      <c r="T29" s="536"/>
      <c r="V29" s="133" t="s">
        <v>19</v>
      </c>
      <c r="W29" s="132">
        <v>106</v>
      </c>
      <c r="X29" s="100"/>
      <c r="Z29" s="364"/>
      <c r="AA29" s="364"/>
      <c r="AB29" s="364"/>
      <c r="AC29" s="364"/>
      <c r="AD29" s="364"/>
      <c r="AE29" s="364"/>
      <c r="AF29" s="364"/>
      <c r="AG29" s="364"/>
      <c r="AI29" s="304"/>
      <c r="AJ29" s="304"/>
      <c r="AK29" s="304"/>
    </row>
    <row r="30" spans="1:37" ht="14.25" customHeight="1" thickBot="1" x14ac:dyDescent="0.25">
      <c r="A30" s="464"/>
      <c r="B30" s="97" t="s">
        <v>400</v>
      </c>
      <c r="C30" s="96" t="s">
        <v>378</v>
      </c>
      <c r="D30" s="110">
        <v>839.23</v>
      </c>
      <c r="E30" s="110">
        <f>E18</f>
        <v>600</v>
      </c>
      <c r="F30" s="110">
        <v>213.84829999999999</v>
      </c>
      <c r="G30" s="271">
        <v>2</v>
      </c>
      <c r="H30" s="179">
        <f t="shared" si="3"/>
        <v>427.69659999999999</v>
      </c>
      <c r="I30" s="109">
        <f t="shared" si="12"/>
        <v>386.15170000000001</v>
      </c>
      <c r="J30" s="84">
        <f t="shared" si="15"/>
        <v>71.28276666666666</v>
      </c>
      <c r="K30" s="108" t="s">
        <v>399</v>
      </c>
      <c r="L30" s="108">
        <v>1347.24</v>
      </c>
      <c r="M30" s="108">
        <v>400</v>
      </c>
      <c r="N30" s="107">
        <f t="shared" si="13"/>
        <v>213.84829999999999</v>
      </c>
      <c r="O30" s="274">
        <v>2</v>
      </c>
      <c r="P30" s="240">
        <f t="shared" si="5"/>
        <v>427.69659999999999</v>
      </c>
      <c r="Q30" s="81">
        <f t="shared" si="16"/>
        <v>-27.696599999999989</v>
      </c>
      <c r="R30" s="214" t="str">
        <f t="shared" si="14"/>
        <v>Yes</v>
      </c>
      <c r="S30" s="534"/>
      <c r="T30" s="536"/>
      <c r="V30" s="90" t="s">
        <v>30</v>
      </c>
      <c r="W30" s="20">
        <v>450</v>
      </c>
      <c r="X30" s="100"/>
      <c r="Z30" s="18"/>
      <c r="AA30" s="18"/>
      <c r="AB30" s="364"/>
      <c r="AC30" s="18"/>
      <c r="AD30" s="364"/>
      <c r="AE30" s="364"/>
      <c r="AF30" s="340"/>
      <c r="AG30" s="364"/>
      <c r="AI30" s="304"/>
      <c r="AJ30" s="304"/>
      <c r="AK30" s="304"/>
    </row>
    <row r="31" spans="1:37" ht="14.25" customHeight="1" thickBot="1" x14ac:dyDescent="0.25">
      <c r="A31" s="464"/>
      <c r="B31" s="97" t="s">
        <v>398</v>
      </c>
      <c r="C31" s="96" t="s">
        <v>52</v>
      </c>
      <c r="D31" s="95">
        <v>428.91</v>
      </c>
      <c r="E31" s="94">
        <f>E12</f>
        <v>800</v>
      </c>
      <c r="F31" s="95">
        <v>320.7817</v>
      </c>
      <c r="G31" s="271">
        <v>2</v>
      </c>
      <c r="H31" s="179">
        <f t="shared" si="3"/>
        <v>641.5634</v>
      </c>
      <c r="I31" s="94">
        <f t="shared" si="12"/>
        <v>479.2183</v>
      </c>
      <c r="J31" s="84">
        <f t="shared" si="15"/>
        <v>80.195425</v>
      </c>
      <c r="K31" s="93" t="s">
        <v>397</v>
      </c>
      <c r="L31" s="93">
        <v>762.03</v>
      </c>
      <c r="M31" s="93">
        <v>600</v>
      </c>
      <c r="N31" s="92">
        <f t="shared" si="13"/>
        <v>320.7817</v>
      </c>
      <c r="O31" s="274">
        <v>2</v>
      </c>
      <c r="P31" s="240">
        <f t="shared" si="5"/>
        <v>641.5634</v>
      </c>
      <c r="Q31" s="81">
        <f t="shared" si="16"/>
        <v>-41.563400000000001</v>
      </c>
      <c r="R31" s="214" t="str">
        <f t="shared" si="14"/>
        <v>Yes</v>
      </c>
      <c r="S31" s="534"/>
      <c r="T31" s="536"/>
      <c r="V31" s="294" t="s">
        <v>31</v>
      </c>
      <c r="W31" s="230">
        <v>413</v>
      </c>
      <c r="X31" s="89"/>
      <c r="Y31" s="20"/>
      <c r="Z31" s="18"/>
      <c r="AA31" s="18"/>
      <c r="AB31" s="364"/>
      <c r="AC31" s="18"/>
      <c r="AD31" s="364"/>
      <c r="AE31" s="364"/>
      <c r="AF31" s="340"/>
      <c r="AG31" s="364"/>
      <c r="AI31" s="304"/>
      <c r="AJ31" s="304"/>
      <c r="AK31" s="304"/>
    </row>
    <row r="32" spans="1:37" ht="14.25" customHeight="1" thickBot="1" x14ac:dyDescent="0.25">
      <c r="A32" s="464"/>
      <c r="B32" s="97" t="s">
        <v>395</v>
      </c>
      <c r="C32" s="96" t="s">
        <v>56</v>
      </c>
      <c r="D32" s="95">
        <v>268.91000000000003</v>
      </c>
      <c r="E32" s="95">
        <v>750</v>
      </c>
      <c r="F32" s="95">
        <v>277.57420000000002</v>
      </c>
      <c r="G32" s="271">
        <v>2</v>
      </c>
      <c r="H32" s="179">
        <f t="shared" si="3"/>
        <v>555.14840000000004</v>
      </c>
      <c r="I32" s="94">
        <f t="shared" si="12"/>
        <v>472.42579999999998</v>
      </c>
      <c r="J32" s="84">
        <f t="shared" si="15"/>
        <v>74.019786666666676</v>
      </c>
      <c r="K32" s="93" t="s">
        <v>394</v>
      </c>
      <c r="L32" s="93">
        <v>922.03</v>
      </c>
      <c r="M32" s="93">
        <v>450</v>
      </c>
      <c r="N32" s="107">
        <f t="shared" si="13"/>
        <v>277.57420000000002</v>
      </c>
      <c r="O32" s="274">
        <v>2</v>
      </c>
      <c r="P32" s="240">
        <f t="shared" si="5"/>
        <v>555.14840000000004</v>
      </c>
      <c r="Q32" s="81">
        <f t="shared" si="16"/>
        <v>-105.14840000000004</v>
      </c>
      <c r="R32" s="197" t="str">
        <f t="shared" si="14"/>
        <v>Yes</v>
      </c>
      <c r="S32" s="533"/>
      <c r="T32" s="537"/>
      <c r="V32" s="5" t="s">
        <v>401</v>
      </c>
      <c r="W32" s="5">
        <v>57</v>
      </c>
      <c r="Y32" s="20"/>
      <c r="Z32" s="339"/>
      <c r="AA32" s="339"/>
      <c r="AB32" s="339"/>
      <c r="AC32" s="339"/>
      <c r="AD32" s="339"/>
      <c r="AE32" s="339"/>
    </row>
    <row r="33" spans="1:44" ht="13.5" thickBot="1" x14ac:dyDescent="0.25">
      <c r="A33" s="462" t="s">
        <v>382</v>
      </c>
      <c r="B33" s="87" t="s">
        <v>393</v>
      </c>
      <c r="C33" s="86" t="s">
        <v>392</v>
      </c>
      <c r="D33" s="85">
        <v>774.56</v>
      </c>
      <c r="E33" s="85">
        <f>E6</f>
        <v>1500</v>
      </c>
      <c r="F33" s="85">
        <v>593.39</v>
      </c>
      <c r="G33" s="269">
        <v>2</v>
      </c>
      <c r="H33" s="179">
        <f t="shared" si="3"/>
        <v>1186.78</v>
      </c>
      <c r="I33" s="84">
        <f t="shared" si="12"/>
        <v>906.61</v>
      </c>
      <c r="J33" s="84">
        <f t="shared" si="15"/>
        <v>79.118666666666655</v>
      </c>
      <c r="K33" s="83" t="s">
        <v>391</v>
      </c>
      <c r="L33" s="83">
        <v>778.62</v>
      </c>
      <c r="M33" s="83">
        <v>1500</v>
      </c>
      <c r="N33" s="82">
        <f t="shared" si="13"/>
        <v>593.39</v>
      </c>
      <c r="O33" s="273">
        <v>2</v>
      </c>
      <c r="P33" s="240">
        <f t="shared" si="5"/>
        <v>1186.78</v>
      </c>
      <c r="Q33" s="81">
        <f t="shared" si="16"/>
        <v>313.22000000000003</v>
      </c>
      <c r="R33" s="197" t="str">
        <f t="shared" si="14"/>
        <v>No</v>
      </c>
      <c r="S33" s="229"/>
      <c r="T33" s="229"/>
      <c r="U33" s="242"/>
      <c r="V33" s="5" t="s">
        <v>27</v>
      </c>
      <c r="W33" s="5">
        <v>108</v>
      </c>
    </row>
    <row r="34" spans="1:44" ht="14.25" customHeight="1" thickBot="1" x14ac:dyDescent="0.25">
      <c r="A34" s="464"/>
      <c r="B34" s="97" t="s">
        <v>387</v>
      </c>
      <c r="C34" s="96" t="s">
        <v>386</v>
      </c>
      <c r="D34" s="110">
        <v>894.93</v>
      </c>
      <c r="E34" s="109">
        <f>E17</f>
        <v>450</v>
      </c>
      <c r="F34" s="110">
        <v>185.4342</v>
      </c>
      <c r="G34" s="271">
        <v>2</v>
      </c>
      <c r="H34" s="179">
        <f t="shared" si="3"/>
        <v>370.86840000000001</v>
      </c>
      <c r="I34" s="109">
        <f t="shared" si="12"/>
        <v>264.56579999999997</v>
      </c>
      <c r="J34" s="84">
        <f t="shared" si="15"/>
        <v>82.415199999999999</v>
      </c>
      <c r="K34" s="108" t="s">
        <v>385</v>
      </c>
      <c r="L34" s="108">
        <v>975.03499999999997</v>
      </c>
      <c r="M34" s="108">
        <v>450</v>
      </c>
      <c r="N34" s="107">
        <f t="shared" si="13"/>
        <v>185.4342</v>
      </c>
      <c r="O34" s="274">
        <v>2</v>
      </c>
      <c r="P34" s="240">
        <f t="shared" si="5"/>
        <v>370.86840000000001</v>
      </c>
      <c r="Q34" s="81">
        <f t="shared" si="16"/>
        <v>79.131599999999992</v>
      </c>
      <c r="R34" s="197" t="str">
        <f t="shared" si="14"/>
        <v>No</v>
      </c>
      <c r="S34" s="11"/>
      <c r="T34" s="11"/>
      <c r="U34" s="242"/>
      <c r="V34" s="5" t="s">
        <v>18</v>
      </c>
      <c r="W34" s="5">
        <v>51</v>
      </c>
      <c r="X34" s="20"/>
    </row>
    <row r="35" spans="1:44" ht="14.25" customHeight="1" thickBot="1" x14ac:dyDescent="0.25">
      <c r="A35" s="464"/>
      <c r="B35" s="97" t="s">
        <v>383</v>
      </c>
      <c r="C35" s="96" t="s">
        <v>382</v>
      </c>
      <c r="D35" s="95">
        <v>553.46500000000003</v>
      </c>
      <c r="E35" s="94">
        <v>1200</v>
      </c>
      <c r="F35" s="95">
        <v>491.47570000000002</v>
      </c>
      <c r="G35" s="271">
        <v>2</v>
      </c>
      <c r="H35" s="179">
        <f t="shared" si="3"/>
        <v>982.95140000000004</v>
      </c>
      <c r="I35" s="94">
        <f t="shared" si="12"/>
        <v>708.52430000000004</v>
      </c>
      <c r="J35" s="84">
        <f t="shared" si="15"/>
        <v>81.912616666666665</v>
      </c>
      <c r="K35" s="93" t="s">
        <v>381</v>
      </c>
      <c r="L35" s="93">
        <v>660.12</v>
      </c>
      <c r="M35" s="93">
        <v>1200</v>
      </c>
      <c r="N35" s="92">
        <f t="shared" si="13"/>
        <v>491.47570000000002</v>
      </c>
      <c r="O35" s="274">
        <v>2</v>
      </c>
      <c r="P35" s="240">
        <f t="shared" si="5"/>
        <v>982.95140000000004</v>
      </c>
      <c r="Q35" s="81">
        <f t="shared" si="16"/>
        <v>217.04859999999996</v>
      </c>
      <c r="R35" s="197" t="str">
        <f t="shared" si="14"/>
        <v>No</v>
      </c>
      <c r="S35" s="11"/>
      <c r="T35" s="11"/>
      <c r="U35" s="242"/>
      <c r="V35" s="160" t="s">
        <v>369</v>
      </c>
      <c r="W35" s="247">
        <f>SUM(W27:W34)</f>
        <v>2040</v>
      </c>
      <c r="X35" s="20"/>
      <c r="Y35" s="20"/>
    </row>
    <row r="36" spans="1:44" ht="13.5" thickBot="1" x14ac:dyDescent="0.25">
      <c r="A36" s="462" t="s">
        <v>375</v>
      </c>
      <c r="B36" s="87" t="s">
        <v>379</v>
      </c>
      <c r="C36" s="86" t="s">
        <v>378</v>
      </c>
      <c r="D36" s="85">
        <v>839.23</v>
      </c>
      <c r="E36" s="84">
        <f>E18</f>
        <v>600</v>
      </c>
      <c r="F36" s="85">
        <v>213.84829999999999</v>
      </c>
      <c r="G36" s="269">
        <v>2</v>
      </c>
      <c r="H36" s="179">
        <f t="shared" si="3"/>
        <v>427.69659999999999</v>
      </c>
      <c r="I36" s="84">
        <f t="shared" si="12"/>
        <v>386.15170000000001</v>
      </c>
      <c r="J36" s="84">
        <f t="shared" si="15"/>
        <v>71.28276666666666</v>
      </c>
      <c r="K36" s="83" t="s">
        <v>377</v>
      </c>
      <c r="L36" s="83">
        <v>844.89</v>
      </c>
      <c r="M36" s="83">
        <v>600</v>
      </c>
      <c r="N36" s="82">
        <f t="shared" si="13"/>
        <v>213.84829999999999</v>
      </c>
      <c r="O36" s="273">
        <v>2</v>
      </c>
      <c r="P36" s="240">
        <f t="shared" si="5"/>
        <v>427.69659999999999</v>
      </c>
      <c r="Q36" s="81">
        <f t="shared" si="16"/>
        <v>172.30340000000001</v>
      </c>
      <c r="R36" s="197" t="str">
        <f t="shared" si="14"/>
        <v>No</v>
      </c>
      <c r="S36" s="11"/>
      <c r="T36" s="11"/>
      <c r="U36" s="242"/>
      <c r="V36" s="246" t="s">
        <v>365</v>
      </c>
      <c r="W36" s="245">
        <f>W35/E57</f>
        <v>5.5737704918032788E-2</v>
      </c>
    </row>
    <row r="37" spans="1:44" ht="14.25" customHeight="1" thickBot="1" x14ac:dyDescent="0.25">
      <c r="A37" s="464"/>
      <c r="B37" s="97" t="s">
        <v>376</v>
      </c>
      <c r="C37" s="96" t="s">
        <v>375</v>
      </c>
      <c r="D37" s="95">
        <v>497.76499999999999</v>
      </c>
      <c r="E37" s="95">
        <v>2800</v>
      </c>
      <c r="F37" s="95">
        <v>1151.328</v>
      </c>
      <c r="G37" s="270">
        <v>2</v>
      </c>
      <c r="H37" s="179">
        <f t="shared" si="3"/>
        <v>2302.6559999999999</v>
      </c>
      <c r="I37" s="94">
        <f t="shared" si="12"/>
        <v>1648.672</v>
      </c>
      <c r="J37" s="84">
        <f t="shared" si="15"/>
        <v>82.237714285714276</v>
      </c>
      <c r="K37" s="93" t="s">
        <v>374</v>
      </c>
      <c r="L37" s="93">
        <v>503.42500000000001</v>
      </c>
      <c r="M37" s="93">
        <v>2800</v>
      </c>
      <c r="N37" s="92">
        <f t="shared" si="13"/>
        <v>1151.328</v>
      </c>
      <c r="O37" s="275">
        <v>2</v>
      </c>
      <c r="P37" s="240">
        <f t="shared" si="5"/>
        <v>2302.6559999999999</v>
      </c>
      <c r="Q37" s="81">
        <f t="shared" si="16"/>
        <v>497.34400000000005</v>
      </c>
      <c r="R37" s="197" t="str">
        <f t="shared" si="14"/>
        <v>No</v>
      </c>
      <c r="S37" s="244"/>
      <c r="T37" s="244"/>
      <c r="U37" s="242"/>
      <c r="AD37" s="491" t="s">
        <v>601</v>
      </c>
      <c r="AE37" s="492"/>
      <c r="AF37" s="492"/>
      <c r="AG37" s="492"/>
      <c r="AH37" s="492"/>
      <c r="AI37" s="493"/>
      <c r="AJ37" s="161"/>
      <c r="AO37" s="459"/>
      <c r="AP37" s="459"/>
      <c r="AQ37" s="459"/>
      <c r="AR37" s="459"/>
    </row>
    <row r="38" spans="1:44" ht="13.5" thickBot="1" x14ac:dyDescent="0.25">
      <c r="A38" s="114" t="s">
        <v>372</v>
      </c>
      <c r="B38" s="87" t="s">
        <v>373</v>
      </c>
      <c r="C38" s="86" t="s">
        <v>372</v>
      </c>
      <c r="D38" s="85">
        <v>285.27999999999997</v>
      </c>
      <c r="E38" s="85">
        <v>2000</v>
      </c>
      <c r="F38" s="85">
        <v>779.52329999999995</v>
      </c>
      <c r="G38" s="95">
        <v>2</v>
      </c>
      <c r="H38" s="179">
        <f t="shared" si="3"/>
        <v>1559.0465999999999</v>
      </c>
      <c r="I38" s="84">
        <f t="shared" si="12"/>
        <v>1220.4767000000002</v>
      </c>
      <c r="J38" s="84">
        <f t="shared" si="15"/>
        <v>77.952329999999989</v>
      </c>
      <c r="K38" s="83" t="s">
        <v>371</v>
      </c>
      <c r="L38" s="83">
        <v>539.80499999999995</v>
      </c>
      <c r="M38" s="83">
        <v>1200</v>
      </c>
      <c r="N38" s="82">
        <f t="shared" si="13"/>
        <v>779.52329999999995</v>
      </c>
      <c r="O38" s="91">
        <v>2</v>
      </c>
      <c r="P38" s="240">
        <f t="shared" si="5"/>
        <v>1559.0465999999999</v>
      </c>
      <c r="Q38" s="81">
        <f t="shared" si="16"/>
        <v>-359.0465999999999</v>
      </c>
      <c r="R38" s="214" t="str">
        <f t="shared" si="14"/>
        <v>Yes</v>
      </c>
      <c r="S38" s="216" t="s">
        <v>487</v>
      </c>
      <c r="T38" s="215">
        <v>108</v>
      </c>
      <c r="AD38" s="346" t="s">
        <v>528</v>
      </c>
      <c r="AE38" s="348" t="s">
        <v>529</v>
      </c>
      <c r="AF38" s="348" t="s">
        <v>530</v>
      </c>
      <c r="AG38" s="348" t="s">
        <v>531</v>
      </c>
      <c r="AH38" s="348" t="s">
        <v>532</v>
      </c>
      <c r="AI38" s="349" t="s">
        <v>582</v>
      </c>
      <c r="AJ38" s="328" t="s">
        <v>417</v>
      </c>
      <c r="AO38" s="459"/>
      <c r="AP38" s="459"/>
      <c r="AQ38" s="459"/>
      <c r="AR38" s="342"/>
    </row>
    <row r="39" spans="1:44" ht="13.5" thickBot="1" x14ac:dyDescent="0.25">
      <c r="A39" s="462" t="s">
        <v>60</v>
      </c>
      <c r="B39" s="87" t="s">
        <v>368</v>
      </c>
      <c r="C39" s="86" t="s">
        <v>367</v>
      </c>
      <c r="D39" s="85">
        <v>239.47</v>
      </c>
      <c r="E39" s="84">
        <v>2250</v>
      </c>
      <c r="F39" s="85">
        <v>886.15449999999998</v>
      </c>
      <c r="G39" s="269">
        <v>2</v>
      </c>
      <c r="H39" s="179">
        <f t="shared" si="3"/>
        <v>1772.309</v>
      </c>
      <c r="I39" s="84">
        <f t="shared" si="12"/>
        <v>1363.8454999999999</v>
      </c>
      <c r="J39" s="84">
        <f t="shared" si="15"/>
        <v>78.769288888888894</v>
      </c>
      <c r="K39" s="83" t="s">
        <v>366</v>
      </c>
      <c r="L39" s="83">
        <v>585.61500000000001</v>
      </c>
      <c r="M39" s="83">
        <v>1350</v>
      </c>
      <c r="N39" s="82">
        <f t="shared" si="13"/>
        <v>886.15449999999998</v>
      </c>
      <c r="O39" s="273">
        <v>2</v>
      </c>
      <c r="P39" s="240">
        <f t="shared" si="5"/>
        <v>1772.309</v>
      </c>
      <c r="Q39" s="81">
        <f t="shared" si="16"/>
        <v>-422.30899999999997</v>
      </c>
      <c r="R39" s="214" t="str">
        <f t="shared" si="14"/>
        <v>Yes</v>
      </c>
      <c r="S39" s="213" t="s">
        <v>488</v>
      </c>
      <c r="T39" s="212" t="s">
        <v>489</v>
      </c>
      <c r="AD39" s="60" t="s">
        <v>84</v>
      </c>
      <c r="AE39" s="350">
        <v>0</v>
      </c>
      <c r="AF39" s="350">
        <v>0</v>
      </c>
      <c r="AG39" s="351">
        <v>0</v>
      </c>
      <c r="AH39" s="351">
        <v>0</v>
      </c>
      <c r="AI39" s="352">
        <v>0</v>
      </c>
      <c r="AJ39" s="353">
        <f>SUM(AE39:AI39)</f>
        <v>0</v>
      </c>
      <c r="AO39" s="459"/>
      <c r="AP39" s="459"/>
      <c r="AQ39" s="459"/>
      <c r="AR39" s="459"/>
    </row>
    <row r="40" spans="1:44" ht="14.25" customHeight="1" thickBot="1" x14ac:dyDescent="0.25">
      <c r="A40" s="463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271">
        <v>2</v>
      </c>
      <c r="H40" s="179">
        <f t="shared" si="3"/>
        <v>467.61399999999998</v>
      </c>
      <c r="I40" s="73">
        <f t="shared" si="12"/>
        <v>366.19299999999998</v>
      </c>
      <c r="J40" s="84">
        <f t="shared" si="15"/>
        <v>77.935666666666663</v>
      </c>
      <c r="K40" s="72" t="s">
        <v>328</v>
      </c>
      <c r="L40" s="72">
        <v>673.16499999999996</v>
      </c>
      <c r="M40" s="72">
        <v>450</v>
      </c>
      <c r="N40" s="121">
        <f t="shared" si="13"/>
        <v>233.80699999999999</v>
      </c>
      <c r="O40" s="274">
        <v>2</v>
      </c>
      <c r="P40" s="240">
        <f t="shared" si="5"/>
        <v>467.61399999999998</v>
      </c>
      <c r="Q40" s="81">
        <f t="shared" si="16"/>
        <v>-17.613999999999976</v>
      </c>
      <c r="R40" s="197" t="str">
        <f t="shared" si="14"/>
        <v>Yes</v>
      </c>
      <c r="S40" s="211" t="s">
        <v>468</v>
      </c>
      <c r="T40" s="210" t="s">
        <v>490</v>
      </c>
      <c r="AD40" s="60" t="s">
        <v>85</v>
      </c>
      <c r="AE40" s="350">
        <v>1</v>
      </c>
      <c r="AF40" s="350">
        <v>0</v>
      </c>
      <c r="AG40" s="350">
        <v>0</v>
      </c>
      <c r="AH40" s="350">
        <v>0</v>
      </c>
      <c r="AI40" s="352">
        <v>0</v>
      </c>
      <c r="AJ40" s="60">
        <f t="shared" ref="AJ40:AJ50" si="17">SUM(AE40:AI40)</f>
        <v>1</v>
      </c>
      <c r="AO40" s="459"/>
      <c r="AP40" s="459"/>
      <c r="AQ40" s="459"/>
      <c r="AR40" s="459"/>
    </row>
    <row r="41" spans="1:44" ht="15" customHeight="1" thickBot="1" x14ac:dyDescent="0.25">
      <c r="A41" s="464" t="s">
        <v>363</v>
      </c>
      <c r="B41" s="63" t="s">
        <v>362</v>
      </c>
      <c r="C41" s="116" t="s">
        <v>74</v>
      </c>
      <c r="D41" s="95">
        <v>632.29499999999996</v>
      </c>
      <c r="E41" s="95">
        <f>E22</f>
        <v>1050</v>
      </c>
      <c r="F41" s="95">
        <v>416.14780000000002</v>
      </c>
      <c r="G41" s="269">
        <v>2</v>
      </c>
      <c r="H41" s="179">
        <f t="shared" si="3"/>
        <v>832.29560000000004</v>
      </c>
      <c r="I41" s="94">
        <f t="shared" si="12"/>
        <v>633.85220000000004</v>
      </c>
      <c r="J41" s="84">
        <f t="shared" si="15"/>
        <v>79.266247619047618</v>
      </c>
      <c r="K41" s="93" t="s">
        <v>361</v>
      </c>
      <c r="L41" s="93">
        <v>692.19500000000005</v>
      </c>
      <c r="M41" s="93">
        <v>1050</v>
      </c>
      <c r="N41" s="92">
        <f t="shared" si="13"/>
        <v>416.14780000000002</v>
      </c>
      <c r="O41" s="273">
        <v>2</v>
      </c>
      <c r="P41" s="240">
        <f t="shared" si="5"/>
        <v>832.29560000000004</v>
      </c>
      <c r="Q41" s="81">
        <f t="shared" si="16"/>
        <v>217.70439999999996</v>
      </c>
      <c r="R41" s="201" t="str">
        <f t="shared" si="14"/>
        <v>No</v>
      </c>
      <c r="S41" s="538" t="s">
        <v>351</v>
      </c>
      <c r="T41" s="523"/>
      <c r="AD41" s="60" t="s">
        <v>86</v>
      </c>
      <c r="AE41" s="350">
        <v>0</v>
      </c>
      <c r="AF41" s="350">
        <v>0</v>
      </c>
      <c r="AG41" s="350">
        <v>0</v>
      </c>
      <c r="AH41" s="350">
        <v>0</v>
      </c>
      <c r="AI41" s="352">
        <v>0</v>
      </c>
      <c r="AJ41" s="60">
        <f t="shared" si="17"/>
        <v>0</v>
      </c>
      <c r="AL41" s="457" t="s">
        <v>534</v>
      </c>
      <c r="AM41" s="457" t="s">
        <v>535</v>
      </c>
      <c r="AN41" s="355" t="s">
        <v>536</v>
      </c>
      <c r="AO41" s="459"/>
      <c r="AP41" s="459"/>
    </row>
    <row r="42" spans="1:44" ht="14.25" customHeight="1" thickBot="1" x14ac:dyDescent="0.25">
      <c r="A42" s="464"/>
      <c r="B42" s="97" t="s">
        <v>360</v>
      </c>
      <c r="C42" s="96" t="s">
        <v>55</v>
      </c>
      <c r="D42" s="110">
        <v>566.26</v>
      </c>
      <c r="E42" s="110">
        <f>E27</f>
        <v>1050</v>
      </c>
      <c r="F42" s="110">
        <v>424.66829999999999</v>
      </c>
      <c r="G42" s="271">
        <v>2</v>
      </c>
      <c r="H42" s="179">
        <f t="shared" si="3"/>
        <v>849.33659999999998</v>
      </c>
      <c r="I42" s="109">
        <f t="shared" si="12"/>
        <v>625.33169999999996</v>
      </c>
      <c r="J42" s="84">
        <f t="shared" si="15"/>
        <v>80.889199999999988</v>
      </c>
      <c r="K42" s="108" t="s">
        <v>359</v>
      </c>
      <c r="L42" s="108">
        <v>1033.6600000000001</v>
      </c>
      <c r="M42" s="108">
        <v>1050</v>
      </c>
      <c r="N42" s="107">
        <f t="shared" si="13"/>
        <v>424.66829999999999</v>
      </c>
      <c r="O42" s="274">
        <v>2</v>
      </c>
      <c r="P42" s="240">
        <f t="shared" si="5"/>
        <v>849.33659999999998</v>
      </c>
      <c r="Q42" s="81">
        <f t="shared" si="16"/>
        <v>200.66340000000002</v>
      </c>
      <c r="R42" s="201" t="str">
        <f t="shared" si="14"/>
        <v>No</v>
      </c>
      <c r="S42" s="539"/>
      <c r="T42" s="525"/>
      <c r="U42" s="242"/>
      <c r="AD42" s="60" t="s">
        <v>87</v>
      </c>
      <c r="AE42" s="350">
        <v>3</v>
      </c>
      <c r="AF42" s="350">
        <v>2</v>
      </c>
      <c r="AG42" s="350">
        <v>0</v>
      </c>
      <c r="AH42" s="350">
        <v>0</v>
      </c>
      <c r="AI42" s="352">
        <v>0</v>
      </c>
      <c r="AJ42" s="60">
        <f t="shared" si="17"/>
        <v>5</v>
      </c>
      <c r="AL42" s="61" t="s">
        <v>529</v>
      </c>
      <c r="AM42" s="61">
        <v>100</v>
      </c>
      <c r="AN42" s="454">
        <v>15</v>
      </c>
      <c r="AO42" s="459"/>
      <c r="AP42" s="459"/>
    </row>
    <row r="43" spans="1:44" ht="14.25" customHeight="1" thickBot="1" x14ac:dyDescent="0.25">
      <c r="A43" s="464"/>
      <c r="B43" s="97" t="s">
        <v>358</v>
      </c>
      <c r="C43" s="96" t="s">
        <v>62</v>
      </c>
      <c r="D43" s="95">
        <v>174.54</v>
      </c>
      <c r="E43" s="95">
        <v>250</v>
      </c>
      <c r="F43" s="95">
        <v>80.336669999999998</v>
      </c>
      <c r="G43" s="270">
        <v>2</v>
      </c>
      <c r="H43" s="179">
        <f t="shared" si="3"/>
        <v>160.67334</v>
      </c>
      <c r="I43" s="94">
        <f t="shared" si="12"/>
        <v>169.66333</v>
      </c>
      <c r="J43" s="84">
        <f t="shared" si="15"/>
        <v>64.269335999999996</v>
      </c>
      <c r="K43" s="93" t="s">
        <v>357</v>
      </c>
      <c r="L43" s="93">
        <v>811.21</v>
      </c>
      <c r="M43" s="93">
        <v>150</v>
      </c>
      <c r="N43" s="107">
        <f t="shared" si="13"/>
        <v>80.336669999999998</v>
      </c>
      <c r="O43" s="275">
        <v>2</v>
      </c>
      <c r="P43" s="240">
        <f t="shared" si="5"/>
        <v>160.67334</v>
      </c>
      <c r="Q43" s="81">
        <f t="shared" si="16"/>
        <v>-10.673339999999996</v>
      </c>
      <c r="R43" s="201" t="str">
        <f t="shared" si="14"/>
        <v>Yes</v>
      </c>
      <c r="S43" s="540"/>
      <c r="T43" s="527"/>
      <c r="U43" s="242"/>
      <c r="AD43" s="60" t="s">
        <v>88</v>
      </c>
      <c r="AE43" s="350">
        <v>1</v>
      </c>
      <c r="AF43" s="350">
        <v>0</v>
      </c>
      <c r="AG43" s="350">
        <v>0</v>
      </c>
      <c r="AH43" s="350">
        <v>0</v>
      </c>
      <c r="AI43" s="352">
        <v>0</v>
      </c>
      <c r="AJ43" s="60">
        <f t="shared" si="17"/>
        <v>1</v>
      </c>
      <c r="AK43" s="364"/>
      <c r="AL43" s="356" t="s">
        <v>530</v>
      </c>
      <c r="AM43" s="356">
        <v>150</v>
      </c>
      <c r="AN43" s="455">
        <v>16.3689</v>
      </c>
      <c r="AO43" s="459"/>
      <c r="AP43" s="459"/>
      <c r="AR43" s="459"/>
    </row>
    <row r="44" spans="1:44" ht="13.5" thickBot="1" x14ac:dyDescent="0.25">
      <c r="A44" s="114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95">
        <v>2</v>
      </c>
      <c r="H44" s="179">
        <f t="shared" si="3"/>
        <v>134.48365999999999</v>
      </c>
      <c r="I44" s="84">
        <f t="shared" si="12"/>
        <v>132.75817000000001</v>
      </c>
      <c r="J44" s="84">
        <f t="shared" si="15"/>
        <v>67.241829999999993</v>
      </c>
      <c r="K44" s="83" t="s">
        <v>354</v>
      </c>
      <c r="L44" s="83">
        <v>607.995</v>
      </c>
      <c r="M44" s="83">
        <v>150</v>
      </c>
      <c r="N44" s="82">
        <f t="shared" si="13"/>
        <v>67.241829999999993</v>
      </c>
      <c r="O44" s="91">
        <v>2</v>
      </c>
      <c r="P44" s="240">
        <f t="shared" si="5"/>
        <v>134.48365999999999</v>
      </c>
      <c r="Q44" s="81">
        <f t="shared" si="16"/>
        <v>15.516340000000014</v>
      </c>
      <c r="R44" s="197" t="str">
        <f t="shared" si="14"/>
        <v>No</v>
      </c>
      <c r="S44" s="11"/>
      <c r="T44" s="11"/>
      <c r="U44" s="242"/>
      <c r="AD44" s="60" t="s">
        <v>89</v>
      </c>
      <c r="AE44" s="350">
        <v>0</v>
      </c>
      <c r="AF44" s="350">
        <v>0</v>
      </c>
      <c r="AG44" s="350">
        <v>0</v>
      </c>
      <c r="AH44" s="350">
        <v>0</v>
      </c>
      <c r="AI44" s="352">
        <v>0</v>
      </c>
      <c r="AJ44" s="60">
        <f t="shared" si="17"/>
        <v>0</v>
      </c>
      <c r="AK44" s="363"/>
      <c r="AL44" s="356" t="s">
        <v>531</v>
      </c>
      <c r="AM44" s="356">
        <v>200</v>
      </c>
      <c r="AN44" s="455">
        <v>16.746700000000001</v>
      </c>
      <c r="AO44" s="459"/>
      <c r="AP44" s="459"/>
      <c r="AR44" s="459"/>
    </row>
    <row r="45" spans="1:44" ht="13.5" thickBot="1" x14ac:dyDescent="0.25">
      <c r="A45" s="462" t="s">
        <v>349</v>
      </c>
      <c r="B45" s="87" t="s">
        <v>353</v>
      </c>
      <c r="C45" s="86" t="s">
        <v>342</v>
      </c>
      <c r="D45" s="85">
        <v>592.98500000000001</v>
      </c>
      <c r="E45" s="85">
        <v>450</v>
      </c>
      <c r="F45" s="85">
        <v>175.91919999999999</v>
      </c>
      <c r="G45" s="269">
        <v>2</v>
      </c>
      <c r="H45" s="179">
        <f t="shared" si="3"/>
        <v>351.83839999999998</v>
      </c>
      <c r="I45" s="84">
        <f t="shared" si="12"/>
        <v>274.08080000000001</v>
      </c>
      <c r="J45" s="84">
        <f t="shared" si="15"/>
        <v>78.18631111111111</v>
      </c>
      <c r="K45" s="83" t="s">
        <v>352</v>
      </c>
      <c r="L45" s="83">
        <v>1051.23</v>
      </c>
      <c r="M45" s="83">
        <v>450</v>
      </c>
      <c r="N45" s="82">
        <f t="shared" si="13"/>
        <v>175.91919999999999</v>
      </c>
      <c r="O45" s="273">
        <v>2</v>
      </c>
      <c r="P45" s="240">
        <f t="shared" si="5"/>
        <v>351.83839999999998</v>
      </c>
      <c r="Q45" s="81">
        <f t="shared" si="16"/>
        <v>98.161600000000021</v>
      </c>
      <c r="R45" s="197" t="str">
        <f t="shared" si="14"/>
        <v>No</v>
      </c>
      <c r="S45" s="11"/>
      <c r="T45" s="11"/>
      <c r="U45" s="242"/>
      <c r="AD45" s="60" t="s">
        <v>90</v>
      </c>
      <c r="AE45" s="350">
        <v>0</v>
      </c>
      <c r="AF45" s="350">
        <v>0</v>
      </c>
      <c r="AG45" s="350">
        <v>0</v>
      </c>
      <c r="AH45" s="350">
        <v>0</v>
      </c>
      <c r="AI45" s="352">
        <v>0</v>
      </c>
      <c r="AJ45" s="60">
        <f t="shared" si="17"/>
        <v>0</v>
      </c>
      <c r="AK45" s="363"/>
      <c r="AL45" s="356" t="s">
        <v>532</v>
      </c>
      <c r="AM45" s="356">
        <v>250</v>
      </c>
      <c r="AN45" s="455">
        <v>16.886600000000001</v>
      </c>
      <c r="AO45" s="459"/>
      <c r="AP45" s="459"/>
      <c r="AR45" s="459"/>
    </row>
    <row r="46" spans="1:44" ht="14.25" customHeight="1" thickBot="1" x14ac:dyDescent="0.25">
      <c r="A46" s="464"/>
      <c r="B46" s="97" t="s">
        <v>350</v>
      </c>
      <c r="C46" s="96" t="s">
        <v>349</v>
      </c>
      <c r="D46" s="110">
        <v>374.84</v>
      </c>
      <c r="E46" s="110">
        <v>400</v>
      </c>
      <c r="F46" s="110">
        <v>115.1143</v>
      </c>
      <c r="G46" s="271">
        <v>2</v>
      </c>
      <c r="H46" s="179">
        <f t="shared" si="3"/>
        <v>230.2286</v>
      </c>
      <c r="I46" s="109">
        <f t="shared" si="12"/>
        <v>284.88569999999999</v>
      </c>
      <c r="J46" s="84">
        <f t="shared" si="15"/>
        <v>57.55715</v>
      </c>
      <c r="K46" s="108" t="s">
        <v>348</v>
      </c>
      <c r="L46" s="108">
        <v>838.745</v>
      </c>
      <c r="M46" s="108">
        <v>300</v>
      </c>
      <c r="N46" s="107">
        <f t="shared" si="13"/>
        <v>115.1143</v>
      </c>
      <c r="O46" s="274">
        <v>2</v>
      </c>
      <c r="P46" s="240">
        <f t="shared" si="5"/>
        <v>230.2286</v>
      </c>
      <c r="Q46" s="81">
        <f t="shared" si="16"/>
        <v>69.7714</v>
      </c>
      <c r="R46" s="197" t="str">
        <f t="shared" si="14"/>
        <v>No</v>
      </c>
      <c r="S46" s="11"/>
      <c r="T46" s="11"/>
      <c r="U46" s="242"/>
      <c r="AD46" s="60" t="s">
        <v>91</v>
      </c>
      <c r="AE46" s="350">
        <v>3</v>
      </c>
      <c r="AF46" s="350">
        <v>4</v>
      </c>
      <c r="AG46" s="352">
        <v>0</v>
      </c>
      <c r="AH46" s="352">
        <v>0</v>
      </c>
      <c r="AI46" s="352">
        <v>0</v>
      </c>
      <c r="AJ46" s="60">
        <f t="shared" si="17"/>
        <v>7</v>
      </c>
      <c r="AK46" s="364"/>
      <c r="AL46" s="357" t="s">
        <v>582</v>
      </c>
      <c r="AM46" s="357">
        <v>300</v>
      </c>
      <c r="AN46" s="456">
        <v>17</v>
      </c>
      <c r="AO46" s="459"/>
      <c r="AP46" s="459"/>
      <c r="AR46" s="459"/>
    </row>
    <row r="47" spans="1:44" ht="14.25" customHeight="1" thickBot="1" x14ac:dyDescent="0.25">
      <c r="A47" s="464"/>
      <c r="B47" s="97" t="s">
        <v>347</v>
      </c>
      <c r="C47" s="96" t="s">
        <v>335</v>
      </c>
      <c r="D47" s="110">
        <v>675.17499999999995</v>
      </c>
      <c r="E47" s="110">
        <v>300</v>
      </c>
      <c r="F47" s="110">
        <v>87.5685</v>
      </c>
      <c r="G47" s="271">
        <v>2</v>
      </c>
      <c r="H47" s="179">
        <f t="shared" si="3"/>
        <v>175.137</v>
      </c>
      <c r="I47" s="109">
        <f t="shared" si="12"/>
        <v>212.4315</v>
      </c>
      <c r="J47" s="84">
        <f t="shared" si="15"/>
        <v>58.379000000000005</v>
      </c>
      <c r="K47" s="108" t="s">
        <v>346</v>
      </c>
      <c r="L47" s="108">
        <v>792.93499999999995</v>
      </c>
      <c r="M47" s="108">
        <v>300</v>
      </c>
      <c r="N47" s="107">
        <f t="shared" si="13"/>
        <v>87.5685</v>
      </c>
      <c r="O47" s="274">
        <v>2</v>
      </c>
      <c r="P47" s="240">
        <f t="shared" si="5"/>
        <v>175.137</v>
      </c>
      <c r="Q47" s="81">
        <f t="shared" si="16"/>
        <v>124.863</v>
      </c>
      <c r="R47" s="197" t="str">
        <f t="shared" si="14"/>
        <v>No</v>
      </c>
      <c r="S47" s="11"/>
      <c r="T47" s="11"/>
      <c r="U47" s="242"/>
      <c r="AD47" s="60" t="s">
        <v>92</v>
      </c>
      <c r="AE47" s="352">
        <v>2</v>
      </c>
      <c r="AF47" s="352">
        <v>1</v>
      </c>
      <c r="AG47" s="352">
        <v>1</v>
      </c>
      <c r="AH47" s="352">
        <v>0</v>
      </c>
      <c r="AI47" s="352">
        <v>0</v>
      </c>
      <c r="AJ47" s="60">
        <f t="shared" si="17"/>
        <v>4</v>
      </c>
      <c r="AK47" s="364"/>
      <c r="AL47" s="459"/>
      <c r="AM47" s="459"/>
      <c r="AO47" s="459"/>
      <c r="AP47" s="459"/>
      <c r="AR47" s="459"/>
    </row>
    <row r="48" spans="1:44" ht="14.25" customHeight="1" thickBot="1" x14ac:dyDescent="0.25">
      <c r="A48" s="464"/>
      <c r="B48" s="97" t="s">
        <v>339</v>
      </c>
      <c r="C48" s="96" t="s">
        <v>338</v>
      </c>
      <c r="D48" s="95">
        <v>768.38499999999999</v>
      </c>
      <c r="E48" s="95">
        <v>150</v>
      </c>
      <c r="F48" s="95">
        <v>46.164000000000001</v>
      </c>
      <c r="G48" s="271">
        <v>2</v>
      </c>
      <c r="H48" s="179">
        <f t="shared" si="3"/>
        <v>92.328000000000003</v>
      </c>
      <c r="I48" s="94">
        <f t="shared" si="12"/>
        <v>103.836</v>
      </c>
      <c r="J48" s="84">
        <f t="shared" si="15"/>
        <v>61.552000000000007</v>
      </c>
      <c r="K48" s="93" t="s">
        <v>345</v>
      </c>
      <c r="L48" s="93">
        <v>934.80499999999995</v>
      </c>
      <c r="M48" s="93">
        <v>150</v>
      </c>
      <c r="N48" s="92">
        <f t="shared" si="13"/>
        <v>46.164000000000001</v>
      </c>
      <c r="O48" s="274">
        <v>2</v>
      </c>
      <c r="P48" s="240">
        <f t="shared" si="5"/>
        <v>92.328000000000003</v>
      </c>
      <c r="Q48" s="81">
        <f t="shared" si="16"/>
        <v>57.671999999999997</v>
      </c>
      <c r="R48" s="197" t="str">
        <f t="shared" si="14"/>
        <v>No</v>
      </c>
      <c r="S48" s="11"/>
      <c r="T48" s="11"/>
      <c r="U48" s="242"/>
      <c r="AD48" s="60" t="s">
        <v>93</v>
      </c>
      <c r="AE48" s="352">
        <v>1</v>
      </c>
      <c r="AF48" s="350">
        <v>2</v>
      </c>
      <c r="AG48" s="352">
        <v>1</v>
      </c>
      <c r="AH48" s="352">
        <v>0</v>
      </c>
      <c r="AI48" s="352">
        <v>0</v>
      </c>
      <c r="AJ48" s="60">
        <f t="shared" si="17"/>
        <v>4</v>
      </c>
      <c r="AK48" s="364"/>
      <c r="AL48" s="459"/>
      <c r="AM48" s="459"/>
      <c r="AO48" s="459"/>
      <c r="AP48" s="459"/>
      <c r="AQ48" s="341"/>
      <c r="AR48" s="459"/>
    </row>
    <row r="49" spans="1:44" ht="13.5" thickBot="1" x14ac:dyDescent="0.25">
      <c r="A49" s="462" t="s">
        <v>344</v>
      </c>
      <c r="B49" s="87" t="s">
        <v>343</v>
      </c>
      <c r="C49" s="86" t="s">
        <v>342</v>
      </c>
      <c r="D49" s="85">
        <v>592.98500000000001</v>
      </c>
      <c r="E49" s="85">
        <f>E45</f>
        <v>450</v>
      </c>
      <c r="F49" s="85">
        <v>175.91919999999999</v>
      </c>
      <c r="G49" s="269">
        <v>2</v>
      </c>
      <c r="H49" s="179">
        <f t="shared" si="3"/>
        <v>351.83839999999998</v>
      </c>
      <c r="I49" s="84">
        <f t="shared" si="12"/>
        <v>274.08080000000001</v>
      </c>
      <c r="J49" s="84">
        <f t="shared" si="15"/>
        <v>78.18631111111111</v>
      </c>
      <c r="K49" s="83" t="s">
        <v>341</v>
      </c>
      <c r="L49" s="83">
        <v>992.44500000000005</v>
      </c>
      <c r="M49" s="83">
        <v>450</v>
      </c>
      <c r="N49" s="82">
        <f t="shared" si="13"/>
        <v>175.91919999999999</v>
      </c>
      <c r="O49" s="273">
        <v>2</v>
      </c>
      <c r="P49" s="240">
        <f t="shared" si="5"/>
        <v>351.83839999999998</v>
      </c>
      <c r="Q49" s="81">
        <f t="shared" si="16"/>
        <v>98.161600000000021</v>
      </c>
      <c r="R49" s="197" t="str">
        <f t="shared" si="14"/>
        <v>No</v>
      </c>
      <c r="S49" s="11"/>
      <c r="T49" s="11"/>
      <c r="U49" s="242"/>
      <c r="AD49" s="60" t="s">
        <v>94</v>
      </c>
      <c r="AE49" s="352">
        <v>3</v>
      </c>
      <c r="AF49" s="350">
        <v>5</v>
      </c>
      <c r="AG49" s="352">
        <v>2</v>
      </c>
      <c r="AH49" s="352">
        <v>0</v>
      </c>
      <c r="AI49" s="352">
        <v>0</v>
      </c>
      <c r="AJ49" s="60">
        <f t="shared" si="17"/>
        <v>10</v>
      </c>
      <c r="AK49" s="18"/>
      <c r="AL49" s="18"/>
      <c r="AM49" s="459"/>
      <c r="AO49" s="459"/>
      <c r="AP49" s="459"/>
      <c r="AR49" s="459"/>
    </row>
    <row r="50" spans="1:44" ht="14.25" customHeight="1" thickBot="1" x14ac:dyDescent="0.25">
      <c r="A50" s="464"/>
      <c r="B50" s="97" t="s">
        <v>339</v>
      </c>
      <c r="C50" s="96" t="s">
        <v>338</v>
      </c>
      <c r="D50" s="95">
        <v>768.38499999999999</v>
      </c>
      <c r="E50" s="95">
        <f>E48</f>
        <v>150</v>
      </c>
      <c r="F50" s="95">
        <v>46.164000000000001</v>
      </c>
      <c r="G50" s="271">
        <v>2</v>
      </c>
      <c r="H50" s="179">
        <f t="shared" si="3"/>
        <v>92.328000000000003</v>
      </c>
      <c r="I50" s="94">
        <f t="shared" si="12"/>
        <v>103.836</v>
      </c>
      <c r="J50" s="84">
        <f t="shared" si="15"/>
        <v>61.552000000000007</v>
      </c>
      <c r="K50" s="93" t="s">
        <v>337</v>
      </c>
      <c r="L50" s="93">
        <v>817.04499999999996</v>
      </c>
      <c r="M50" s="93">
        <v>150</v>
      </c>
      <c r="N50" s="92">
        <f t="shared" si="13"/>
        <v>46.164000000000001</v>
      </c>
      <c r="O50" s="274">
        <v>2</v>
      </c>
      <c r="P50" s="240">
        <f t="shared" si="5"/>
        <v>92.328000000000003</v>
      </c>
      <c r="Q50" s="81">
        <f t="shared" si="16"/>
        <v>57.671999999999997</v>
      </c>
      <c r="R50" s="197" t="str">
        <f t="shared" si="14"/>
        <v>No</v>
      </c>
      <c r="S50" s="11"/>
      <c r="T50" s="11"/>
      <c r="U50" s="242"/>
      <c r="AD50" s="358" t="s">
        <v>508</v>
      </c>
      <c r="AE50" s="359">
        <v>0</v>
      </c>
      <c r="AF50" s="359">
        <v>0</v>
      </c>
      <c r="AG50" s="359">
        <v>0</v>
      </c>
      <c r="AH50" s="359">
        <v>0</v>
      </c>
      <c r="AI50" s="359">
        <v>0</v>
      </c>
      <c r="AJ50" s="358">
        <f t="shared" si="17"/>
        <v>0</v>
      </c>
      <c r="AK50" s="364"/>
      <c r="AL50" s="491" t="s">
        <v>602</v>
      </c>
      <c r="AM50" s="492"/>
      <c r="AN50" s="492"/>
      <c r="AO50" s="492"/>
      <c r="AP50" s="492"/>
      <c r="AQ50" s="493"/>
      <c r="AR50" s="161"/>
    </row>
    <row r="51" spans="1:44" ht="13.5" thickBot="1" x14ac:dyDescent="0.25">
      <c r="A51" s="462" t="s">
        <v>340</v>
      </c>
      <c r="B51" s="87" t="s">
        <v>339</v>
      </c>
      <c r="C51" s="86" t="s">
        <v>338</v>
      </c>
      <c r="D51" s="85">
        <v>768.38499999999999</v>
      </c>
      <c r="E51" s="85">
        <f>E50</f>
        <v>150</v>
      </c>
      <c r="F51" s="85">
        <v>46.164000000000001</v>
      </c>
      <c r="G51" s="269">
        <v>2</v>
      </c>
      <c r="H51" s="179">
        <f t="shared" si="3"/>
        <v>92.328000000000003</v>
      </c>
      <c r="I51" s="84">
        <f t="shared" si="12"/>
        <v>103.836</v>
      </c>
      <c r="J51" s="84">
        <f t="shared" si="15"/>
        <v>61.552000000000007</v>
      </c>
      <c r="K51" s="83" t="s">
        <v>337</v>
      </c>
      <c r="L51" s="83">
        <v>817.04499999999996</v>
      </c>
      <c r="M51" s="83">
        <v>150</v>
      </c>
      <c r="N51" s="82">
        <f t="shared" si="13"/>
        <v>46.164000000000001</v>
      </c>
      <c r="O51" s="273">
        <v>2</v>
      </c>
      <c r="P51" s="240">
        <f t="shared" si="5"/>
        <v>92.328000000000003</v>
      </c>
      <c r="Q51" s="81">
        <f t="shared" si="16"/>
        <v>57.671999999999997</v>
      </c>
      <c r="R51" s="197" t="str">
        <f t="shared" si="14"/>
        <v>No</v>
      </c>
      <c r="S51" s="11"/>
      <c r="T51" s="11"/>
      <c r="U51" s="242"/>
      <c r="AD51" s="328" t="s">
        <v>537</v>
      </c>
      <c r="AE51" s="360">
        <f t="shared" ref="AE51:AJ51" si="18">SUM(AE39:AE50)</f>
        <v>14</v>
      </c>
      <c r="AF51" s="360">
        <f t="shared" si="18"/>
        <v>14</v>
      </c>
      <c r="AG51" s="360">
        <f t="shared" si="18"/>
        <v>4</v>
      </c>
      <c r="AH51" s="360">
        <f t="shared" si="18"/>
        <v>0</v>
      </c>
      <c r="AI51" s="360">
        <f t="shared" si="18"/>
        <v>0</v>
      </c>
      <c r="AJ51" s="361">
        <f t="shared" si="18"/>
        <v>32</v>
      </c>
      <c r="AK51" s="364"/>
      <c r="AL51" s="346" t="s">
        <v>528</v>
      </c>
      <c r="AM51" s="348" t="s">
        <v>529</v>
      </c>
      <c r="AN51" s="348" t="s">
        <v>530</v>
      </c>
      <c r="AO51" s="348" t="s">
        <v>531</v>
      </c>
      <c r="AP51" s="348" t="s">
        <v>532</v>
      </c>
      <c r="AQ51" s="349" t="s">
        <v>582</v>
      </c>
      <c r="AR51" s="328" t="s">
        <v>417</v>
      </c>
    </row>
    <row r="52" spans="1:44" ht="14.25" customHeight="1" thickBot="1" x14ac:dyDescent="0.25">
      <c r="A52" s="464"/>
      <c r="B52" s="97" t="s">
        <v>30</v>
      </c>
      <c r="C52" s="96" t="s">
        <v>326</v>
      </c>
      <c r="D52" s="95">
        <v>317.27</v>
      </c>
      <c r="E52" s="95">
        <v>400</v>
      </c>
      <c r="F52" s="95">
        <v>136.87530000000001</v>
      </c>
      <c r="G52" s="271">
        <v>2</v>
      </c>
      <c r="H52" s="179">
        <f t="shared" si="3"/>
        <v>273.75060000000002</v>
      </c>
      <c r="I52" s="94">
        <f t="shared" si="12"/>
        <v>263.12469999999996</v>
      </c>
      <c r="J52" s="84">
        <f t="shared" si="15"/>
        <v>68.437650000000005</v>
      </c>
      <c r="K52" s="93" t="s">
        <v>325</v>
      </c>
      <c r="L52" s="93">
        <v>518.48</v>
      </c>
      <c r="M52" s="93">
        <v>400</v>
      </c>
      <c r="N52" s="92">
        <f t="shared" si="13"/>
        <v>136.87530000000001</v>
      </c>
      <c r="O52" s="274">
        <v>2</v>
      </c>
      <c r="P52" s="240">
        <f t="shared" si="5"/>
        <v>273.75060000000002</v>
      </c>
      <c r="Q52" s="81">
        <f t="shared" si="16"/>
        <v>126.24939999999998</v>
      </c>
      <c r="R52" s="197" t="str">
        <f t="shared" si="14"/>
        <v>No</v>
      </c>
      <c r="S52" s="11"/>
      <c r="T52" s="11"/>
      <c r="U52" s="242"/>
      <c r="AD52" s="328" t="s">
        <v>536</v>
      </c>
      <c r="AE52" s="362">
        <f>PRODUCT(AE51*AN42)</f>
        <v>210</v>
      </c>
      <c r="AF52" s="362">
        <f>PRODUCT(AF51*AN43)</f>
        <v>229.16460000000001</v>
      </c>
      <c r="AG52" s="362">
        <f>PRODUCT(AG51*AN44)</f>
        <v>66.986800000000002</v>
      </c>
      <c r="AH52" s="362">
        <f>PRODUCT(AH51*AN45)</f>
        <v>0</v>
      </c>
      <c r="AI52" s="362">
        <f>PRODUCT(AI51*AN46)</f>
        <v>0</v>
      </c>
      <c r="AJ52" s="328">
        <f>SUM(AE52:AI52)</f>
        <v>506.15140000000002</v>
      </c>
      <c r="AK52" s="364"/>
      <c r="AL52" s="60" t="s">
        <v>84</v>
      </c>
      <c r="AM52" s="352">
        <f>AE39+AE59</f>
        <v>0</v>
      </c>
      <c r="AN52" s="352">
        <f t="shared" ref="AN52:AQ63" si="19">AF39+AF59</f>
        <v>10</v>
      </c>
      <c r="AO52" s="352">
        <f t="shared" si="19"/>
        <v>3</v>
      </c>
      <c r="AP52" s="352">
        <f t="shared" si="19"/>
        <v>2</v>
      </c>
      <c r="AQ52" s="352">
        <f t="shared" si="19"/>
        <v>0</v>
      </c>
      <c r="AR52" s="353">
        <f>SUM(AM52:AQ52)</f>
        <v>15</v>
      </c>
    </row>
    <row r="53" spans="1:44" ht="13.5" thickBot="1" x14ac:dyDescent="0.25">
      <c r="A53" s="462" t="s">
        <v>336</v>
      </c>
      <c r="B53" s="87" t="s">
        <v>28</v>
      </c>
      <c r="C53" s="86" t="s">
        <v>335</v>
      </c>
      <c r="D53" s="85">
        <v>675.17499999999995</v>
      </c>
      <c r="E53" s="85">
        <f>E47</f>
        <v>300</v>
      </c>
      <c r="F53" s="85">
        <v>87.5685</v>
      </c>
      <c r="G53" s="269">
        <v>2</v>
      </c>
      <c r="H53" s="179">
        <f t="shared" si="3"/>
        <v>175.137</v>
      </c>
      <c r="I53" s="84">
        <f t="shared" si="12"/>
        <v>212.4315</v>
      </c>
      <c r="J53" s="84">
        <f t="shared" si="15"/>
        <v>58.379000000000005</v>
      </c>
      <c r="K53" s="83" t="s">
        <v>334</v>
      </c>
      <c r="L53" s="83">
        <v>792.93499999999995</v>
      </c>
      <c r="M53" s="83">
        <v>300</v>
      </c>
      <c r="N53" s="82">
        <f t="shared" si="13"/>
        <v>87.5685</v>
      </c>
      <c r="O53" s="273">
        <v>2</v>
      </c>
      <c r="P53" s="240">
        <f t="shared" si="5"/>
        <v>175.137</v>
      </c>
      <c r="Q53" s="81">
        <f t="shared" si="16"/>
        <v>124.863</v>
      </c>
      <c r="R53" s="197" t="str">
        <f t="shared" si="14"/>
        <v>No</v>
      </c>
      <c r="S53" s="11"/>
      <c r="T53" s="11"/>
      <c r="U53" s="242"/>
      <c r="AD53" s="328" t="s">
        <v>535</v>
      </c>
      <c r="AE53" s="362">
        <f>AE51*AM42</f>
        <v>1400</v>
      </c>
      <c r="AF53" s="362">
        <f>AF51*AM43</f>
        <v>2100</v>
      </c>
      <c r="AG53" s="362">
        <f>AG51*AM44</f>
        <v>800</v>
      </c>
      <c r="AH53" s="362">
        <f>AH51*AM45</f>
        <v>0</v>
      </c>
      <c r="AI53" s="362">
        <f>AI51*AM46</f>
        <v>0</v>
      </c>
      <c r="AJ53" s="328">
        <f>SUM(AE53:AI53)</f>
        <v>4300</v>
      </c>
      <c r="AK53" s="364"/>
      <c r="AL53" s="60" t="s">
        <v>85</v>
      </c>
      <c r="AM53" s="352">
        <f t="shared" ref="AM53:AM63" si="20">AE40+AE60</f>
        <v>1</v>
      </c>
      <c r="AN53" s="352">
        <f t="shared" si="19"/>
        <v>14</v>
      </c>
      <c r="AO53" s="352">
        <f t="shared" si="19"/>
        <v>8</v>
      </c>
      <c r="AP53" s="352">
        <f t="shared" si="19"/>
        <v>0</v>
      </c>
      <c r="AQ53" s="352">
        <f t="shared" si="19"/>
        <v>5</v>
      </c>
      <c r="AR53" s="60">
        <f t="shared" ref="AR53:AR63" si="21">SUM(AM53:AQ53)</f>
        <v>28</v>
      </c>
    </row>
    <row r="54" spans="1:44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95">
        <v>200</v>
      </c>
      <c r="F54" s="95">
        <v>33.29833</v>
      </c>
      <c r="G54" s="271">
        <v>2</v>
      </c>
      <c r="H54" s="179">
        <f t="shared" si="3"/>
        <v>66.59666</v>
      </c>
      <c r="I54" s="94">
        <f t="shared" si="12"/>
        <v>166.70167000000001</v>
      </c>
      <c r="J54" s="84">
        <f t="shared" si="15"/>
        <v>33.29833</v>
      </c>
      <c r="K54" s="93" t="s">
        <v>331</v>
      </c>
      <c r="L54" s="93">
        <v>524.75</v>
      </c>
      <c r="M54" s="93">
        <v>200</v>
      </c>
      <c r="N54" s="92">
        <f t="shared" si="13"/>
        <v>33.29833</v>
      </c>
      <c r="O54" s="274">
        <v>2</v>
      </c>
      <c r="P54" s="240">
        <f t="shared" si="5"/>
        <v>66.59666</v>
      </c>
      <c r="Q54" s="81">
        <f t="shared" si="16"/>
        <v>133.40334000000001</v>
      </c>
      <c r="R54" s="197" t="str">
        <f t="shared" si="14"/>
        <v>No</v>
      </c>
      <c r="S54" s="11"/>
      <c r="T54" s="11"/>
      <c r="U54" s="242"/>
      <c r="AD54" s="364"/>
      <c r="AE54" s="364"/>
      <c r="AF54" s="364"/>
      <c r="AG54" s="364"/>
      <c r="AH54" s="364"/>
      <c r="AI54" s="364"/>
      <c r="AJ54" s="364"/>
      <c r="AK54" s="364"/>
      <c r="AL54" s="60" t="s">
        <v>86</v>
      </c>
      <c r="AM54" s="352">
        <f t="shared" si="20"/>
        <v>0</v>
      </c>
      <c r="AN54" s="352">
        <f t="shared" si="19"/>
        <v>0</v>
      </c>
      <c r="AO54" s="352">
        <f t="shared" si="19"/>
        <v>5</v>
      </c>
      <c r="AP54" s="352">
        <f t="shared" si="19"/>
        <v>0</v>
      </c>
      <c r="AQ54" s="352">
        <f t="shared" si="19"/>
        <v>3</v>
      </c>
      <c r="AR54" s="60">
        <f t="shared" si="21"/>
        <v>8</v>
      </c>
    </row>
    <row r="55" spans="1:44" ht="13.5" thickBot="1" x14ac:dyDescent="0.25">
      <c r="A55" s="462" t="s">
        <v>330</v>
      </c>
      <c r="B55" s="87" t="s">
        <v>329</v>
      </c>
      <c r="C55" s="86" t="s">
        <v>61</v>
      </c>
      <c r="D55" s="85">
        <v>381.34</v>
      </c>
      <c r="E55" s="85">
        <f>E40</f>
        <v>600</v>
      </c>
      <c r="F55" s="85">
        <v>233.80699999999999</v>
      </c>
      <c r="G55" s="269">
        <v>2</v>
      </c>
      <c r="H55" s="179">
        <f t="shared" si="3"/>
        <v>467.61399999999998</v>
      </c>
      <c r="I55" s="84">
        <f t="shared" si="12"/>
        <v>366.19299999999998</v>
      </c>
      <c r="J55" s="84">
        <f t="shared" si="15"/>
        <v>77.935666666666663</v>
      </c>
      <c r="K55" s="83" t="s">
        <v>328</v>
      </c>
      <c r="L55" s="83">
        <v>673.16499999999996</v>
      </c>
      <c r="M55" s="83">
        <v>450</v>
      </c>
      <c r="N55" s="82">
        <f t="shared" si="13"/>
        <v>233.80699999999999</v>
      </c>
      <c r="O55" s="273">
        <v>2</v>
      </c>
      <c r="P55" s="240">
        <f t="shared" si="5"/>
        <v>467.61399999999998</v>
      </c>
      <c r="Q55" s="81">
        <f t="shared" si="16"/>
        <v>-17.613999999999976</v>
      </c>
      <c r="R55" s="201" t="str">
        <f t="shared" si="14"/>
        <v>Yes</v>
      </c>
      <c r="S55" s="538" t="s">
        <v>351</v>
      </c>
      <c r="T55" s="523"/>
      <c r="U55" s="242"/>
      <c r="AD55" s="364"/>
      <c r="AE55" s="364"/>
      <c r="AF55" s="364"/>
      <c r="AG55" s="364"/>
      <c r="AH55" s="364"/>
      <c r="AI55" s="364"/>
      <c r="AJ55" s="364"/>
      <c r="AK55" s="364"/>
      <c r="AL55" s="60" t="s">
        <v>87</v>
      </c>
      <c r="AM55" s="352">
        <f t="shared" si="20"/>
        <v>3</v>
      </c>
      <c r="AN55" s="352">
        <f t="shared" si="19"/>
        <v>27</v>
      </c>
      <c r="AO55" s="352">
        <f t="shared" si="19"/>
        <v>34</v>
      </c>
      <c r="AP55" s="352">
        <f t="shared" si="19"/>
        <v>20</v>
      </c>
      <c r="AQ55" s="352">
        <f t="shared" si="19"/>
        <v>0</v>
      </c>
      <c r="AR55" s="60">
        <f t="shared" si="21"/>
        <v>84</v>
      </c>
    </row>
    <row r="56" spans="1:44" ht="14.25" customHeight="1" thickBot="1" x14ac:dyDescent="0.25">
      <c r="A56" s="463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270">
        <v>2</v>
      </c>
      <c r="H56" s="179">
        <f t="shared" si="3"/>
        <v>273.75060000000002</v>
      </c>
      <c r="I56" s="73">
        <f t="shared" si="12"/>
        <v>263.12469999999996</v>
      </c>
      <c r="J56" s="84">
        <f t="shared" si="15"/>
        <v>68.437650000000005</v>
      </c>
      <c r="K56" s="72" t="s">
        <v>325</v>
      </c>
      <c r="L56" s="72">
        <v>518.48</v>
      </c>
      <c r="M56" s="72">
        <v>400</v>
      </c>
      <c r="N56" s="71">
        <f t="shared" si="13"/>
        <v>136.87530000000001</v>
      </c>
      <c r="O56" s="275">
        <v>2</v>
      </c>
      <c r="P56" s="240">
        <f t="shared" si="5"/>
        <v>273.75060000000002</v>
      </c>
      <c r="Q56" s="81">
        <f t="shared" si="16"/>
        <v>126.24939999999998</v>
      </c>
      <c r="R56" s="420" t="str">
        <f t="shared" si="14"/>
        <v>No</v>
      </c>
      <c r="S56" s="540"/>
      <c r="T56" s="527"/>
      <c r="U56" s="242"/>
      <c r="AD56" s="364"/>
      <c r="AE56" s="364"/>
      <c r="AF56" s="364"/>
      <c r="AG56" s="364"/>
      <c r="AH56" s="364"/>
      <c r="AI56" s="364"/>
      <c r="AJ56" s="364"/>
      <c r="AK56" s="364"/>
      <c r="AL56" s="60" t="s">
        <v>88</v>
      </c>
      <c r="AM56" s="352">
        <f t="shared" si="20"/>
        <v>1</v>
      </c>
      <c r="AN56" s="352">
        <f t="shared" si="19"/>
        <v>0</v>
      </c>
      <c r="AO56" s="352">
        <f t="shared" si="19"/>
        <v>16</v>
      </c>
      <c r="AP56" s="352">
        <f t="shared" si="19"/>
        <v>1</v>
      </c>
      <c r="AQ56" s="352">
        <f t="shared" si="19"/>
        <v>0</v>
      </c>
      <c r="AR56" s="60">
        <f t="shared" si="21"/>
        <v>18</v>
      </c>
    </row>
    <row r="57" spans="1:44" x14ac:dyDescent="0.2">
      <c r="A57" s="20"/>
      <c r="B57" s="64"/>
      <c r="C57" s="20"/>
      <c r="D57" s="20" t="s">
        <v>369</v>
      </c>
      <c r="E57" s="20">
        <f>SUM(E3:E56)</f>
        <v>36600</v>
      </c>
      <c r="F57" s="64"/>
      <c r="G57" s="64"/>
      <c r="H57" s="64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11"/>
      <c r="T57" s="11"/>
      <c r="AD57" s="491" t="s">
        <v>600</v>
      </c>
      <c r="AE57" s="492"/>
      <c r="AF57" s="492"/>
      <c r="AG57" s="492"/>
      <c r="AH57" s="492"/>
      <c r="AI57" s="493"/>
      <c r="AJ57" s="161"/>
      <c r="AL57" s="60" t="s">
        <v>89</v>
      </c>
      <c r="AM57" s="352">
        <f t="shared" si="20"/>
        <v>0</v>
      </c>
      <c r="AN57" s="352">
        <f t="shared" si="19"/>
        <v>16</v>
      </c>
      <c r="AO57" s="352">
        <f t="shared" si="19"/>
        <v>1</v>
      </c>
      <c r="AP57" s="352">
        <f t="shared" si="19"/>
        <v>1</v>
      </c>
      <c r="AQ57" s="352">
        <f t="shared" si="19"/>
        <v>0</v>
      </c>
      <c r="AR57" s="60">
        <f t="shared" si="21"/>
        <v>18</v>
      </c>
    </row>
    <row r="58" spans="1:44" x14ac:dyDescent="0.2">
      <c r="A58" s="20"/>
      <c r="B58" s="64"/>
      <c r="C58" s="20"/>
      <c r="D58" s="20"/>
      <c r="E58" s="20"/>
      <c r="F58" s="64"/>
      <c r="G58" s="64"/>
      <c r="H58" s="64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11"/>
      <c r="T58" s="11"/>
      <c r="AD58" s="346" t="s">
        <v>528</v>
      </c>
      <c r="AE58" s="348" t="s">
        <v>529</v>
      </c>
      <c r="AF58" s="348" t="s">
        <v>530</v>
      </c>
      <c r="AG58" s="348" t="s">
        <v>531</v>
      </c>
      <c r="AH58" s="348" t="s">
        <v>532</v>
      </c>
      <c r="AI58" s="349" t="s">
        <v>582</v>
      </c>
      <c r="AJ58" s="328" t="s">
        <v>417</v>
      </c>
      <c r="AL58" s="60" t="s">
        <v>90</v>
      </c>
      <c r="AM58" s="352">
        <f t="shared" si="20"/>
        <v>0</v>
      </c>
      <c r="AN58" s="352">
        <f t="shared" si="19"/>
        <v>0</v>
      </c>
      <c r="AO58" s="352">
        <f t="shared" si="19"/>
        <v>1</v>
      </c>
      <c r="AP58" s="352">
        <f t="shared" si="19"/>
        <v>3</v>
      </c>
      <c r="AQ58" s="352">
        <f t="shared" si="19"/>
        <v>2</v>
      </c>
      <c r="AR58" s="60">
        <f t="shared" si="21"/>
        <v>6</v>
      </c>
    </row>
    <row r="59" spans="1:44" x14ac:dyDescent="0.2">
      <c r="A59" s="20"/>
      <c r="B59" s="64"/>
      <c r="C59" s="20"/>
      <c r="D59" s="20"/>
      <c r="E59" s="20"/>
      <c r="F59" s="64"/>
      <c r="G59" s="64"/>
      <c r="H59" s="64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11"/>
      <c r="T59" s="20"/>
      <c r="AD59" s="60" t="s">
        <v>84</v>
      </c>
      <c r="AE59" s="352">
        <v>0</v>
      </c>
      <c r="AF59" s="352">
        <f>10</f>
        <v>10</v>
      </c>
      <c r="AG59" s="450">
        <f>2+1</f>
        <v>3</v>
      </c>
      <c r="AH59" s="450">
        <f>2</f>
        <v>2</v>
      </c>
      <c r="AI59" s="352">
        <v>0</v>
      </c>
      <c r="AJ59" s="353">
        <f>SUM(AE59:AI59)</f>
        <v>15</v>
      </c>
      <c r="AL59" s="60" t="s">
        <v>91</v>
      </c>
      <c r="AM59" s="352">
        <f t="shared" si="20"/>
        <v>3</v>
      </c>
      <c r="AN59" s="352">
        <f t="shared" si="19"/>
        <v>23</v>
      </c>
      <c r="AO59" s="352">
        <f t="shared" si="19"/>
        <v>3</v>
      </c>
      <c r="AP59" s="352">
        <f t="shared" si="19"/>
        <v>2</v>
      </c>
      <c r="AQ59" s="352">
        <f t="shared" si="19"/>
        <v>0</v>
      </c>
      <c r="AR59" s="60">
        <f t="shared" si="21"/>
        <v>31</v>
      </c>
    </row>
    <row r="60" spans="1:44" x14ac:dyDescent="0.2">
      <c r="A60" s="20"/>
      <c r="B60" s="64"/>
      <c r="C60" s="20"/>
      <c r="D60" s="20"/>
      <c r="E60" s="20"/>
      <c r="F60" s="64"/>
      <c r="G60" s="64"/>
      <c r="H60" s="64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1"/>
      <c r="T60" s="20"/>
      <c r="AD60" s="60" t="s">
        <v>85</v>
      </c>
      <c r="AE60" s="352">
        <v>0</v>
      </c>
      <c r="AF60" s="352">
        <f>7+3+4</f>
        <v>14</v>
      </c>
      <c r="AG60" s="352">
        <f>5+3</f>
        <v>8</v>
      </c>
      <c r="AH60" s="352">
        <v>0</v>
      </c>
      <c r="AI60" s="352">
        <f>3+2</f>
        <v>5</v>
      </c>
      <c r="AJ60" s="60">
        <f t="shared" ref="AJ60:AJ70" si="22">SUM(AE60:AI60)</f>
        <v>27</v>
      </c>
      <c r="AL60" s="60" t="s">
        <v>92</v>
      </c>
      <c r="AM60" s="352">
        <f t="shared" si="20"/>
        <v>2</v>
      </c>
      <c r="AN60" s="352">
        <f t="shared" si="19"/>
        <v>8</v>
      </c>
      <c r="AO60" s="352">
        <f t="shared" si="19"/>
        <v>17</v>
      </c>
      <c r="AP60" s="352">
        <f t="shared" si="19"/>
        <v>0</v>
      </c>
      <c r="AQ60" s="352">
        <f t="shared" si="19"/>
        <v>0</v>
      </c>
      <c r="AR60" s="60">
        <f t="shared" si="21"/>
        <v>27</v>
      </c>
    </row>
    <row r="61" spans="1:44" x14ac:dyDescent="0.2">
      <c r="A61" s="20"/>
      <c r="B61" s="64"/>
      <c r="C61" s="20"/>
      <c r="D61" s="20"/>
      <c r="E61" s="20"/>
      <c r="F61" s="64"/>
      <c r="G61" s="64"/>
      <c r="H61" s="64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1"/>
      <c r="T61" s="20"/>
      <c r="AD61" s="60" t="s">
        <v>86</v>
      </c>
      <c r="AE61" s="352">
        <v>0</v>
      </c>
      <c r="AF61" s="352">
        <v>0</v>
      </c>
      <c r="AG61" s="350">
        <f>4+1</f>
        <v>5</v>
      </c>
      <c r="AH61" s="352">
        <v>0</v>
      </c>
      <c r="AI61" s="352">
        <f>3</f>
        <v>3</v>
      </c>
      <c r="AJ61" s="60">
        <f t="shared" si="22"/>
        <v>8</v>
      </c>
      <c r="AL61" s="60" t="s">
        <v>93</v>
      </c>
      <c r="AM61" s="352">
        <f t="shared" si="20"/>
        <v>1</v>
      </c>
      <c r="AN61" s="352">
        <f t="shared" si="19"/>
        <v>2</v>
      </c>
      <c r="AO61" s="352">
        <f t="shared" si="19"/>
        <v>4</v>
      </c>
      <c r="AP61" s="352">
        <f t="shared" si="19"/>
        <v>8</v>
      </c>
      <c r="AQ61" s="352">
        <f t="shared" si="19"/>
        <v>0</v>
      </c>
      <c r="AR61" s="60">
        <f t="shared" si="21"/>
        <v>15</v>
      </c>
    </row>
    <row r="62" spans="1:44" x14ac:dyDescent="0.2">
      <c r="A62" s="20"/>
      <c r="B62" s="65"/>
      <c r="C62" s="20"/>
      <c r="D62" s="20"/>
      <c r="E62" s="20"/>
      <c r="F62" s="64"/>
      <c r="G62" s="64"/>
      <c r="H62" s="64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1"/>
      <c r="T62" s="20"/>
      <c r="AD62" s="60" t="s">
        <v>87</v>
      </c>
      <c r="AE62" s="352">
        <v>0</v>
      </c>
      <c r="AF62" s="451">
        <f>10+7+8</f>
        <v>25</v>
      </c>
      <c r="AG62" s="352">
        <f>5+4+8+14+3</f>
        <v>34</v>
      </c>
      <c r="AH62" s="352">
        <f>3+8+9</f>
        <v>20</v>
      </c>
      <c r="AI62" s="352">
        <v>0</v>
      </c>
      <c r="AJ62" s="60">
        <f t="shared" si="22"/>
        <v>79</v>
      </c>
      <c r="AL62" s="60" t="s">
        <v>94</v>
      </c>
      <c r="AM62" s="352">
        <f t="shared" si="20"/>
        <v>3</v>
      </c>
      <c r="AN62" s="352">
        <f t="shared" si="19"/>
        <v>7</v>
      </c>
      <c r="AO62" s="352">
        <f t="shared" si="19"/>
        <v>5</v>
      </c>
      <c r="AP62" s="352">
        <f t="shared" si="19"/>
        <v>9</v>
      </c>
      <c r="AQ62" s="352">
        <f t="shared" si="19"/>
        <v>0</v>
      </c>
      <c r="AR62" s="60">
        <f t="shared" si="21"/>
        <v>24</v>
      </c>
    </row>
    <row r="63" spans="1:44" x14ac:dyDescent="0.2">
      <c r="A63" s="20"/>
      <c r="B63" s="65"/>
      <c r="C63" s="20"/>
      <c r="D63" s="20"/>
      <c r="E63" s="20"/>
      <c r="F63" s="64"/>
      <c r="G63" s="64"/>
      <c r="H63" s="64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1"/>
      <c r="T63" s="20"/>
      <c r="AD63" s="60" t="s">
        <v>88</v>
      </c>
      <c r="AE63" s="352">
        <v>0</v>
      </c>
      <c r="AF63" s="352">
        <v>0</v>
      </c>
      <c r="AG63" s="352">
        <f>2+3+1+8+1+1</f>
        <v>16</v>
      </c>
      <c r="AH63" s="352">
        <f>1</f>
        <v>1</v>
      </c>
      <c r="AI63" s="352">
        <v>0</v>
      </c>
      <c r="AJ63" s="60">
        <f t="shared" si="22"/>
        <v>17</v>
      </c>
      <c r="AL63" s="358" t="s">
        <v>508</v>
      </c>
      <c r="AM63" s="352">
        <f t="shared" si="20"/>
        <v>0</v>
      </c>
      <c r="AN63" s="352">
        <f t="shared" si="19"/>
        <v>1</v>
      </c>
      <c r="AO63" s="352">
        <f t="shared" si="19"/>
        <v>3</v>
      </c>
      <c r="AP63" s="352">
        <f t="shared" si="19"/>
        <v>0</v>
      </c>
      <c r="AQ63" s="352">
        <f t="shared" si="19"/>
        <v>0</v>
      </c>
      <c r="AR63" s="358">
        <f t="shared" si="21"/>
        <v>4</v>
      </c>
    </row>
    <row r="64" spans="1:44" x14ac:dyDescent="0.2">
      <c r="A64" s="20"/>
      <c r="B64" s="65"/>
      <c r="C64" s="20"/>
      <c r="D64" s="20"/>
      <c r="E64" s="20"/>
      <c r="F64" s="64"/>
      <c r="G64" s="64"/>
      <c r="H64" s="64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11"/>
      <c r="T64" s="20"/>
      <c r="AD64" s="60" t="s">
        <v>89</v>
      </c>
      <c r="AE64" s="352">
        <v>0</v>
      </c>
      <c r="AF64" s="352">
        <f>7+7+2</f>
        <v>16</v>
      </c>
      <c r="AG64" s="352">
        <f>1</f>
        <v>1</v>
      </c>
      <c r="AH64" s="352">
        <f>1</f>
        <v>1</v>
      </c>
      <c r="AI64" s="352">
        <v>0</v>
      </c>
      <c r="AJ64" s="60">
        <f t="shared" si="22"/>
        <v>18</v>
      </c>
      <c r="AL64" s="328" t="s">
        <v>537</v>
      </c>
      <c r="AM64" s="360">
        <f t="shared" ref="AM64:AR64" si="23">SUM(AM52:AM63)</f>
        <v>14</v>
      </c>
      <c r="AN64" s="360">
        <f t="shared" si="23"/>
        <v>108</v>
      </c>
      <c r="AO64" s="360">
        <f t="shared" si="23"/>
        <v>100</v>
      </c>
      <c r="AP64" s="360">
        <f t="shared" si="23"/>
        <v>46</v>
      </c>
      <c r="AQ64" s="360">
        <f t="shared" si="23"/>
        <v>10</v>
      </c>
      <c r="AR64" s="361">
        <f t="shared" si="23"/>
        <v>278</v>
      </c>
    </row>
    <row r="65" spans="1:44" x14ac:dyDescent="0.2">
      <c r="A65" s="20"/>
      <c r="B65" s="64"/>
      <c r="C65" s="20"/>
      <c r="D65" s="20"/>
      <c r="M65" s="20"/>
      <c r="N65" s="20"/>
      <c r="O65" s="20"/>
      <c r="P65" s="20"/>
      <c r="R65" s="20"/>
      <c r="S65" s="11"/>
      <c r="T65" s="20"/>
      <c r="AD65" s="60" t="s">
        <v>90</v>
      </c>
      <c r="AE65" s="352">
        <v>0</v>
      </c>
      <c r="AF65" s="350">
        <v>0</v>
      </c>
      <c r="AG65" s="350">
        <f>1</f>
        <v>1</v>
      </c>
      <c r="AH65" s="352">
        <f>3</f>
        <v>3</v>
      </c>
      <c r="AI65" s="352">
        <f>2</f>
        <v>2</v>
      </c>
      <c r="AJ65" s="60">
        <f t="shared" si="22"/>
        <v>6</v>
      </c>
      <c r="AL65" s="328" t="s">
        <v>536</v>
      </c>
      <c r="AM65" s="362">
        <f>PRODUCT(AM64*AN42)</f>
        <v>210</v>
      </c>
      <c r="AN65" s="452">
        <f>PRODUCT(AN64*AN43)</f>
        <v>1767.8412000000001</v>
      </c>
      <c r="AO65" s="452">
        <f>PRODUCT(AO64*AN44)</f>
        <v>1674.67</v>
      </c>
      <c r="AP65" s="452">
        <f>PRODUCT(AP64*AN45)</f>
        <v>776.78360000000009</v>
      </c>
      <c r="AQ65" s="452">
        <f>PRODUCT(AQ64*AN46)</f>
        <v>170</v>
      </c>
      <c r="AR65" s="453">
        <f>SUM(AM65:AQ65)</f>
        <v>4599.2947999999997</v>
      </c>
    </row>
    <row r="66" spans="1:44" x14ac:dyDescent="0.2">
      <c r="A66" s="20"/>
      <c r="B66" s="64"/>
      <c r="C66" s="20"/>
      <c r="D66" s="20"/>
      <c r="M66" s="20"/>
      <c r="N66" s="20"/>
      <c r="O66" s="20"/>
      <c r="P66" s="20"/>
      <c r="R66" s="20"/>
      <c r="S66" s="11"/>
      <c r="T66" s="20"/>
      <c r="AD66" s="60" t="s">
        <v>91</v>
      </c>
      <c r="AE66" s="352">
        <v>0</v>
      </c>
      <c r="AF66" s="350">
        <f>3+8+2+3+2+1</f>
        <v>19</v>
      </c>
      <c r="AG66" s="352">
        <f>1+2</f>
        <v>3</v>
      </c>
      <c r="AH66" s="352">
        <f>2</f>
        <v>2</v>
      </c>
      <c r="AI66" s="352">
        <v>0</v>
      </c>
      <c r="AJ66" s="60">
        <f t="shared" si="22"/>
        <v>24</v>
      </c>
      <c r="AL66" s="328" t="s">
        <v>583</v>
      </c>
      <c r="AM66" s="362">
        <f>AM64*AM42</f>
        <v>1400</v>
      </c>
      <c r="AN66" s="362">
        <f>AN64*AM43</f>
        <v>16200</v>
      </c>
      <c r="AO66" s="362">
        <f>AO64*AM44</f>
        <v>20000</v>
      </c>
      <c r="AP66" s="362">
        <f>AP64*AM45</f>
        <v>11500</v>
      </c>
      <c r="AQ66" s="362">
        <f>AQ64*AM46</f>
        <v>3000</v>
      </c>
      <c r="AR66" s="328">
        <f>SUM(AM66:AQ66)</f>
        <v>52100</v>
      </c>
    </row>
    <row r="67" spans="1:44" x14ac:dyDescent="0.2">
      <c r="A67" s="20"/>
      <c r="B67" s="64"/>
      <c r="C67" s="20"/>
      <c r="D67" s="20"/>
      <c r="M67" s="20"/>
      <c r="N67" s="20"/>
      <c r="O67" s="20"/>
      <c r="P67" s="20"/>
      <c r="R67" s="20"/>
      <c r="S67" s="11"/>
      <c r="T67" s="20"/>
      <c r="AD67" s="60" t="s">
        <v>92</v>
      </c>
      <c r="AE67" s="352">
        <v>0</v>
      </c>
      <c r="AF67" s="350">
        <f>4+3</f>
        <v>7</v>
      </c>
      <c r="AG67" s="352">
        <f>14+2</f>
        <v>16</v>
      </c>
      <c r="AH67" s="352">
        <v>0</v>
      </c>
      <c r="AI67" s="352">
        <v>0</v>
      </c>
      <c r="AJ67" s="60">
        <f t="shared" si="22"/>
        <v>23</v>
      </c>
      <c r="AM67" s="459"/>
      <c r="AN67" s="350"/>
      <c r="AO67" s="350"/>
      <c r="AP67" s="352"/>
      <c r="AQ67" s="352"/>
      <c r="AR67" s="352"/>
    </row>
    <row r="68" spans="1:44" x14ac:dyDescent="0.2">
      <c r="A68" s="20"/>
      <c r="B68" s="64"/>
      <c r="C68" s="20"/>
      <c r="D68" s="20"/>
      <c r="E68" s="20"/>
      <c r="F68" s="64"/>
      <c r="G68" s="64"/>
      <c r="H68" s="64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11"/>
      <c r="T68" s="20"/>
      <c r="AD68" s="60" t="s">
        <v>93</v>
      </c>
      <c r="AE68" s="352">
        <v>0</v>
      </c>
      <c r="AF68" s="350">
        <v>0</v>
      </c>
      <c r="AG68" s="352">
        <f>2+1</f>
        <v>3</v>
      </c>
      <c r="AH68" s="352">
        <f>8</f>
        <v>8</v>
      </c>
      <c r="AI68" s="352">
        <v>0</v>
      </c>
      <c r="AJ68" s="60">
        <f t="shared" si="22"/>
        <v>11</v>
      </c>
      <c r="AM68" s="459"/>
      <c r="AN68" s="352"/>
      <c r="AO68" s="352"/>
      <c r="AP68" s="352"/>
      <c r="AQ68" s="352"/>
      <c r="AR68" s="352"/>
    </row>
    <row r="69" spans="1:44" ht="15" x14ac:dyDescent="0.25">
      <c r="B69" s="64"/>
      <c r="C69" s="20"/>
      <c r="D69" s="20"/>
      <c r="E69" s="20"/>
      <c r="F69" s="64"/>
      <c r="G69" s="64"/>
      <c r="H69" s="64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11"/>
      <c r="T69" s="20"/>
      <c r="V69" s="58"/>
      <c r="W69" s="58"/>
      <c r="AD69" s="60" t="s">
        <v>94</v>
      </c>
      <c r="AE69" s="352">
        <v>0</v>
      </c>
      <c r="AF69" s="451">
        <f>2</f>
        <v>2</v>
      </c>
      <c r="AG69" s="352">
        <f>2+1</f>
        <v>3</v>
      </c>
      <c r="AH69" s="352">
        <f>9</f>
        <v>9</v>
      </c>
      <c r="AI69" s="352"/>
      <c r="AJ69" s="60">
        <f t="shared" si="22"/>
        <v>14</v>
      </c>
      <c r="AL69" s="438">
        <f>AJ51+AJ71</f>
        <v>278</v>
      </c>
      <c r="AM69" s="459"/>
      <c r="AN69" s="352"/>
      <c r="AO69" s="350"/>
      <c r="AP69" s="352"/>
      <c r="AQ69" s="352"/>
      <c r="AR69" s="352"/>
    </row>
    <row r="70" spans="1:44" ht="15" x14ac:dyDescent="0.25">
      <c r="B70" s="64"/>
      <c r="C70" s="20"/>
      <c r="D70" s="20"/>
      <c r="E70" s="20"/>
      <c r="F70" s="64"/>
      <c r="G70" s="64"/>
      <c r="H70" s="64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11"/>
      <c r="T70" s="20"/>
      <c r="V70" s="58"/>
      <c r="W70" s="58"/>
      <c r="AD70" s="358" t="s">
        <v>508</v>
      </c>
      <c r="AE70" s="352">
        <v>0</v>
      </c>
      <c r="AF70" s="359">
        <f>1</f>
        <v>1</v>
      </c>
      <c r="AG70" s="359">
        <f>3</f>
        <v>3</v>
      </c>
      <c r="AH70" s="359">
        <v>0</v>
      </c>
      <c r="AI70" s="352">
        <v>0</v>
      </c>
      <c r="AJ70" s="358">
        <f t="shared" si="22"/>
        <v>4</v>
      </c>
      <c r="AL70" s="550">
        <f>AJ52+AJ72</f>
        <v>4599.2948000000006</v>
      </c>
      <c r="AM70" s="459"/>
      <c r="AN70" s="352"/>
      <c r="AO70" s="350"/>
      <c r="AP70" s="352"/>
      <c r="AQ70" s="352"/>
      <c r="AR70" s="352"/>
    </row>
    <row r="71" spans="1:44" x14ac:dyDescent="0.2">
      <c r="B71" s="64"/>
      <c r="C71" s="20"/>
      <c r="D71" s="20"/>
      <c r="E71" s="20"/>
      <c r="F71" s="64"/>
      <c r="G71" s="64"/>
      <c r="H71" s="64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11"/>
      <c r="T71" s="20"/>
      <c r="V71" s="58"/>
      <c r="W71" s="58"/>
      <c r="AD71" s="328" t="s">
        <v>537</v>
      </c>
      <c r="AE71" s="360">
        <f t="shared" ref="AE71:AJ71" si="24">SUM(AE59:AE70)</f>
        <v>0</v>
      </c>
      <c r="AF71" s="360">
        <f t="shared" si="24"/>
        <v>94</v>
      </c>
      <c r="AG71" s="360">
        <f t="shared" si="24"/>
        <v>96</v>
      </c>
      <c r="AH71" s="360">
        <f t="shared" si="24"/>
        <v>46</v>
      </c>
      <c r="AI71" s="360">
        <f t="shared" si="24"/>
        <v>10</v>
      </c>
      <c r="AJ71" s="361">
        <f t="shared" si="24"/>
        <v>246</v>
      </c>
      <c r="AL71" s="352">
        <f>AJ53+AJ73</f>
        <v>52100</v>
      </c>
      <c r="AM71" s="459"/>
      <c r="AN71" s="352"/>
      <c r="AO71" s="352"/>
      <c r="AP71" s="352"/>
      <c r="AQ71" s="352"/>
      <c r="AR71" s="352"/>
    </row>
    <row r="72" spans="1:44" x14ac:dyDescent="0.2">
      <c r="B72" s="64"/>
      <c r="C72" s="20"/>
      <c r="D72" s="20"/>
      <c r="E72" s="20"/>
      <c r="F72" s="64"/>
      <c r="G72" s="64"/>
      <c r="H72" s="64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11"/>
      <c r="T72" s="20"/>
      <c r="V72" s="58"/>
      <c r="W72" s="58"/>
      <c r="AD72" s="328" t="s">
        <v>536</v>
      </c>
      <c r="AE72" s="452">
        <f>PRODUCT(AE71*AN42)</f>
        <v>0</v>
      </c>
      <c r="AF72" s="452">
        <f>PRODUCT(AF71*AN43)</f>
        <v>1538.6766</v>
      </c>
      <c r="AG72" s="452">
        <f>PRODUCT(AG71*AN44)</f>
        <v>1607.6831999999999</v>
      </c>
      <c r="AH72" s="452">
        <f>PRODUCT(AH71*AN45)</f>
        <v>776.78360000000009</v>
      </c>
      <c r="AI72" s="452">
        <f>PRODUCT(AI71*AN46)</f>
        <v>170</v>
      </c>
      <c r="AJ72" s="453">
        <f>SUM(AE72:AI72)</f>
        <v>4093.1434000000004</v>
      </c>
    </row>
    <row r="73" spans="1:44" x14ac:dyDescent="0.2">
      <c r="B73" s="64"/>
      <c r="C73" s="20"/>
      <c r="D73" s="20"/>
      <c r="E73" s="20"/>
      <c r="F73" s="64"/>
      <c r="G73" s="64"/>
      <c r="H73" s="64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11"/>
      <c r="T73" s="20"/>
      <c r="V73" s="58"/>
      <c r="AD73" s="328" t="s">
        <v>583</v>
      </c>
      <c r="AE73" s="362">
        <f>AE71*AM42</f>
        <v>0</v>
      </c>
      <c r="AF73" s="362">
        <f>AF71*AM43</f>
        <v>14100</v>
      </c>
      <c r="AG73" s="362">
        <f>AG71*AM44</f>
        <v>19200</v>
      </c>
      <c r="AH73" s="362">
        <f>AH71*AM45</f>
        <v>11500</v>
      </c>
      <c r="AI73" s="362">
        <f>AI71*AM46</f>
        <v>3000</v>
      </c>
      <c r="AJ73" s="328">
        <f>SUM(AE73:AI73)</f>
        <v>47800</v>
      </c>
    </row>
    <row r="74" spans="1:44" x14ac:dyDescent="0.2">
      <c r="B74" s="64"/>
      <c r="C74" s="20"/>
      <c r="D74" s="20"/>
      <c r="E74" s="20"/>
      <c r="F74" s="64"/>
      <c r="G74" s="64"/>
      <c r="H74" s="64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11"/>
      <c r="T74" s="20"/>
      <c r="V74" s="58"/>
    </row>
    <row r="75" spans="1:44" x14ac:dyDescent="0.2">
      <c r="B75" s="64"/>
      <c r="C75" s="20"/>
      <c r="D75" s="20"/>
      <c r="E75" s="20"/>
      <c r="F75" s="64"/>
      <c r="G75" s="64"/>
      <c r="H75" s="64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11"/>
      <c r="T75" s="20"/>
    </row>
    <row r="76" spans="1:44" x14ac:dyDescent="0.2">
      <c r="B76" s="64"/>
      <c r="C76" s="20"/>
      <c r="D76" s="20"/>
      <c r="E76" s="20"/>
      <c r="F76" s="64"/>
      <c r="G76" s="64"/>
      <c r="H76" s="64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11"/>
      <c r="T76" s="20"/>
    </row>
    <row r="77" spans="1:44" x14ac:dyDescent="0.2">
      <c r="B77" s="64"/>
      <c r="C77" s="20"/>
      <c r="D77" s="20"/>
      <c r="E77" s="20"/>
      <c r="F77" s="64"/>
      <c r="G77" s="64"/>
      <c r="H77" s="64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11"/>
      <c r="T77" s="20"/>
    </row>
    <row r="78" spans="1:44" x14ac:dyDescent="0.2">
      <c r="B78" s="64"/>
      <c r="C78" s="20"/>
      <c r="D78" s="20"/>
      <c r="E78" s="20"/>
      <c r="F78" s="64"/>
      <c r="G78" s="64"/>
      <c r="H78" s="64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11"/>
      <c r="T78" s="20"/>
    </row>
    <row r="79" spans="1:44" x14ac:dyDescent="0.2">
      <c r="B79" s="64"/>
      <c r="C79" s="20"/>
      <c r="D79" s="20"/>
      <c r="E79" s="20"/>
      <c r="F79" s="64"/>
      <c r="G79" s="64"/>
      <c r="H79" s="64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11"/>
      <c r="T79" s="20"/>
    </row>
    <row r="80" spans="1:44" x14ac:dyDescent="0.2">
      <c r="B80" s="64"/>
      <c r="C80" s="20"/>
      <c r="D80" s="20"/>
      <c r="E80" s="20"/>
      <c r="F80" s="64"/>
      <c r="G80" s="64"/>
      <c r="H80" s="64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11"/>
      <c r="T80" s="20"/>
    </row>
    <row r="81" spans="2:20" x14ac:dyDescent="0.2">
      <c r="B81" s="64"/>
      <c r="C81" s="20"/>
      <c r="D81" s="20"/>
      <c r="E81" s="20"/>
      <c r="F81" s="64"/>
      <c r="G81" s="64"/>
      <c r="H81" s="64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11"/>
      <c r="T81" s="20"/>
    </row>
    <row r="82" spans="2:20" x14ac:dyDescent="0.2">
      <c r="B82" s="64"/>
      <c r="C82" s="20"/>
      <c r="D82" s="20"/>
      <c r="E82" s="20"/>
      <c r="F82" s="64"/>
      <c r="G82" s="64"/>
      <c r="H82" s="64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11"/>
      <c r="T82" s="20"/>
    </row>
    <row r="83" spans="2:20" x14ac:dyDescent="0.2">
      <c r="B83" s="64"/>
      <c r="C83" s="20"/>
      <c r="D83" s="20"/>
      <c r="E83" s="20"/>
      <c r="F83" s="64"/>
      <c r="G83" s="64"/>
      <c r="H83" s="64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11"/>
      <c r="T83" s="20"/>
    </row>
    <row r="84" spans="2:20" x14ac:dyDescent="0.2">
      <c r="B84" s="64"/>
      <c r="C84" s="20"/>
      <c r="D84" s="20"/>
      <c r="E84" s="20"/>
      <c r="F84" s="64"/>
      <c r="G84" s="64"/>
      <c r="H84" s="64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11"/>
      <c r="T84" s="20"/>
    </row>
    <row r="85" spans="2:20" x14ac:dyDescent="0.2">
      <c r="B85" s="64"/>
      <c r="C85" s="20"/>
      <c r="D85" s="20"/>
      <c r="E85" s="20"/>
      <c r="F85" s="64"/>
      <c r="G85" s="64"/>
      <c r="H85" s="64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11"/>
      <c r="T85" s="20"/>
    </row>
    <row r="86" spans="2:20" x14ac:dyDescent="0.2">
      <c r="B86" s="64"/>
      <c r="C86" s="20"/>
      <c r="D86" s="20"/>
      <c r="E86" s="20"/>
      <c r="F86" s="64"/>
      <c r="G86" s="64"/>
      <c r="H86" s="64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11"/>
      <c r="T86" s="20"/>
    </row>
    <row r="87" spans="2:20" x14ac:dyDescent="0.2">
      <c r="B87" s="64"/>
      <c r="C87" s="20"/>
      <c r="D87" s="20"/>
      <c r="E87" s="20"/>
      <c r="F87" s="64"/>
      <c r="G87" s="64"/>
      <c r="H87" s="64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11"/>
      <c r="T87" s="20"/>
    </row>
    <row r="88" spans="2:20" x14ac:dyDescent="0.2">
      <c r="B88" s="64"/>
      <c r="C88" s="20"/>
      <c r="D88" s="20"/>
      <c r="E88" s="20"/>
      <c r="F88" s="64"/>
      <c r="G88" s="64"/>
      <c r="H88" s="64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11"/>
      <c r="T88" s="20"/>
    </row>
    <row r="89" spans="2:20" x14ac:dyDescent="0.2">
      <c r="B89" s="64"/>
      <c r="C89" s="20"/>
      <c r="D89" s="20"/>
      <c r="E89" s="20"/>
      <c r="F89" s="64"/>
      <c r="G89" s="64"/>
      <c r="H89" s="64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11"/>
      <c r="T89" s="20"/>
    </row>
    <row r="90" spans="2:20" x14ac:dyDescent="0.2">
      <c r="B90" s="64"/>
      <c r="C90" s="20"/>
      <c r="D90" s="20"/>
      <c r="E90" s="20"/>
      <c r="F90" s="64"/>
      <c r="G90" s="64"/>
      <c r="H90" s="64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11"/>
      <c r="T90" s="20"/>
    </row>
    <row r="91" spans="2:20" x14ac:dyDescent="0.2">
      <c r="B91" s="64"/>
      <c r="C91" s="20"/>
      <c r="D91" s="20"/>
      <c r="E91" s="20"/>
      <c r="F91" s="64"/>
      <c r="G91" s="64"/>
      <c r="H91" s="64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11"/>
      <c r="T91" s="20"/>
    </row>
    <row r="92" spans="2:20" x14ac:dyDescent="0.2">
      <c r="B92" s="64"/>
      <c r="C92" s="20"/>
      <c r="D92" s="20"/>
      <c r="E92" s="20"/>
      <c r="F92" s="64"/>
      <c r="G92" s="64"/>
      <c r="H92" s="64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11"/>
      <c r="T92" s="20"/>
    </row>
    <row r="93" spans="2:20" x14ac:dyDescent="0.2">
      <c r="B93" s="64"/>
      <c r="C93" s="20"/>
      <c r="D93" s="20"/>
      <c r="E93" s="20"/>
      <c r="F93" s="64"/>
      <c r="G93" s="64"/>
      <c r="H93" s="64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11"/>
      <c r="T93" s="20"/>
    </row>
    <row r="94" spans="2:20" x14ac:dyDescent="0.2">
      <c r="B94" s="64"/>
      <c r="C94" s="20"/>
      <c r="D94" s="20"/>
      <c r="E94" s="20"/>
      <c r="F94" s="64"/>
      <c r="G94" s="64"/>
      <c r="H94" s="64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11"/>
      <c r="T94" s="20"/>
    </row>
    <row r="95" spans="2:20" x14ac:dyDescent="0.2">
      <c r="B95" s="64"/>
      <c r="C95" s="20"/>
      <c r="D95" s="20"/>
      <c r="E95" s="20"/>
      <c r="F95" s="64"/>
      <c r="G95" s="64"/>
      <c r="H95" s="64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11"/>
      <c r="T95" s="20"/>
    </row>
    <row r="96" spans="2:20" x14ac:dyDescent="0.2">
      <c r="B96" s="64"/>
      <c r="C96" s="20"/>
      <c r="D96" s="20"/>
      <c r="E96" s="20"/>
      <c r="F96" s="64"/>
      <c r="G96" s="64"/>
      <c r="H96" s="64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11"/>
      <c r="T96" s="20"/>
    </row>
    <row r="97" spans="2:20" x14ac:dyDescent="0.2">
      <c r="B97" s="64"/>
      <c r="C97" s="20"/>
      <c r="D97" s="20"/>
      <c r="E97" s="20"/>
      <c r="F97" s="64"/>
      <c r="G97" s="64"/>
      <c r="H97" s="64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11"/>
      <c r="T97" s="20"/>
    </row>
    <row r="98" spans="2:20" x14ac:dyDescent="0.2">
      <c r="B98" s="64"/>
      <c r="C98" s="20"/>
      <c r="D98" s="20"/>
      <c r="E98" s="20"/>
      <c r="F98" s="64"/>
      <c r="G98" s="64"/>
      <c r="H98" s="64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11"/>
      <c r="T98" s="20"/>
    </row>
    <row r="99" spans="2:20" x14ac:dyDescent="0.2">
      <c r="B99" s="64"/>
      <c r="C99" s="20"/>
      <c r="D99" s="20"/>
      <c r="E99" s="20"/>
      <c r="F99" s="64"/>
      <c r="G99" s="64"/>
      <c r="H99" s="64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11"/>
      <c r="T99" s="20"/>
    </row>
    <row r="100" spans="2:20" x14ac:dyDescent="0.2">
      <c r="B100" s="64"/>
      <c r="C100" s="20"/>
      <c r="D100" s="20"/>
      <c r="E100" s="20"/>
      <c r="F100" s="64"/>
      <c r="G100" s="64"/>
      <c r="H100" s="64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11"/>
      <c r="T100" s="20"/>
    </row>
    <row r="101" spans="2:20" x14ac:dyDescent="0.2">
      <c r="B101" s="64"/>
      <c r="C101" s="20"/>
      <c r="D101" s="20"/>
      <c r="E101" s="20"/>
      <c r="F101" s="64"/>
      <c r="G101" s="64"/>
      <c r="H101" s="64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11"/>
      <c r="T101" s="20"/>
    </row>
    <row r="102" spans="2:20" x14ac:dyDescent="0.2">
      <c r="B102" s="64"/>
      <c r="C102" s="20"/>
      <c r="D102" s="20"/>
      <c r="E102" s="20"/>
      <c r="F102" s="64"/>
      <c r="G102" s="64"/>
      <c r="H102" s="64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11"/>
      <c r="T102" s="20"/>
    </row>
    <row r="103" spans="2:20" x14ac:dyDescent="0.2">
      <c r="B103" s="64"/>
      <c r="C103" s="20"/>
      <c r="D103" s="20"/>
      <c r="E103" s="20"/>
      <c r="F103" s="64"/>
      <c r="G103" s="64"/>
      <c r="H103" s="64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11"/>
      <c r="T103" s="20"/>
    </row>
    <row r="104" spans="2:20" x14ac:dyDescent="0.2">
      <c r="B104" s="64"/>
      <c r="C104" s="20"/>
      <c r="D104" s="20"/>
      <c r="E104" s="20"/>
      <c r="F104" s="64"/>
      <c r="G104" s="64"/>
      <c r="H104" s="64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11"/>
      <c r="T104" s="20"/>
    </row>
    <row r="105" spans="2:20" x14ac:dyDescent="0.2">
      <c r="B105" s="64"/>
      <c r="C105" s="20"/>
      <c r="D105" s="20"/>
      <c r="E105" s="20"/>
      <c r="F105" s="64"/>
      <c r="G105" s="64"/>
      <c r="H105" s="64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11"/>
      <c r="T105" s="20"/>
    </row>
    <row r="106" spans="2:20" x14ac:dyDescent="0.2">
      <c r="B106" s="64"/>
      <c r="C106" s="20"/>
      <c r="D106" s="20"/>
      <c r="E106" s="20"/>
      <c r="F106" s="64"/>
      <c r="G106" s="64"/>
      <c r="H106" s="64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11"/>
      <c r="T106" s="20"/>
    </row>
    <row r="107" spans="2:20" x14ac:dyDescent="0.2">
      <c r="B107" s="64"/>
      <c r="C107" s="20"/>
      <c r="D107" s="20"/>
      <c r="E107" s="20"/>
      <c r="F107" s="64"/>
      <c r="G107" s="64"/>
      <c r="H107" s="64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11"/>
      <c r="T107" s="20"/>
    </row>
    <row r="108" spans="2:20" x14ac:dyDescent="0.2">
      <c r="B108" s="64"/>
      <c r="C108" s="20"/>
      <c r="D108" s="20"/>
      <c r="E108" s="20"/>
      <c r="F108" s="64"/>
      <c r="G108" s="64"/>
      <c r="H108" s="64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11"/>
      <c r="T108" s="20"/>
    </row>
    <row r="109" spans="2:20" x14ac:dyDescent="0.2">
      <c r="B109" s="64"/>
      <c r="C109" s="20"/>
      <c r="D109" s="20"/>
      <c r="E109" s="20"/>
      <c r="F109" s="64"/>
      <c r="G109" s="64"/>
      <c r="H109" s="64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11"/>
      <c r="T109" s="20"/>
    </row>
    <row r="110" spans="2:20" x14ac:dyDescent="0.2">
      <c r="B110" s="64"/>
      <c r="C110" s="20"/>
      <c r="D110" s="20"/>
      <c r="E110" s="20"/>
      <c r="F110" s="64"/>
      <c r="G110" s="64"/>
      <c r="H110" s="64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11"/>
      <c r="T110" s="20"/>
    </row>
    <row r="111" spans="2:20" x14ac:dyDescent="0.2">
      <c r="B111" s="64"/>
      <c r="C111" s="20"/>
      <c r="D111" s="20"/>
      <c r="E111" s="20"/>
      <c r="F111" s="64"/>
      <c r="G111" s="64"/>
      <c r="H111" s="64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11"/>
      <c r="T111" s="20"/>
    </row>
    <row r="112" spans="2:20" x14ac:dyDescent="0.2">
      <c r="B112" s="64"/>
      <c r="C112" s="20"/>
      <c r="D112" s="20"/>
      <c r="E112" s="20"/>
      <c r="F112" s="64"/>
      <c r="G112" s="64"/>
      <c r="H112" s="64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11"/>
      <c r="T112" s="20"/>
    </row>
    <row r="113" spans="1:20" x14ac:dyDescent="0.2">
      <c r="B113" s="64"/>
      <c r="C113" s="20"/>
      <c r="D113" s="20"/>
      <c r="E113" s="20"/>
      <c r="F113" s="64"/>
      <c r="G113" s="64"/>
      <c r="H113" s="64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11"/>
      <c r="T113" s="20"/>
    </row>
    <row r="114" spans="1:20" x14ac:dyDescent="0.2">
      <c r="B114" s="64"/>
      <c r="C114" s="20"/>
      <c r="D114" s="20"/>
      <c r="E114" s="20"/>
      <c r="F114" s="64"/>
      <c r="G114" s="64"/>
      <c r="H114" s="64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11"/>
      <c r="T114" s="20"/>
    </row>
    <row r="115" spans="1:20" x14ac:dyDescent="0.2">
      <c r="B115" s="64"/>
      <c r="C115" s="20"/>
      <c r="D115" s="20"/>
      <c r="E115" s="20"/>
      <c r="F115" s="64"/>
      <c r="G115" s="64"/>
      <c r="H115" s="64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11"/>
      <c r="T115" s="20"/>
    </row>
    <row r="116" spans="1:20" x14ac:dyDescent="0.2">
      <c r="B116" s="64"/>
      <c r="C116" s="20"/>
      <c r="D116" s="20"/>
      <c r="E116" s="20"/>
      <c r="F116" s="64"/>
      <c r="G116" s="64"/>
      <c r="H116" s="64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11"/>
      <c r="T116" s="20"/>
    </row>
    <row r="117" spans="1:20" x14ac:dyDescent="0.2">
      <c r="B117" s="64"/>
      <c r="C117" s="20"/>
      <c r="D117" s="20"/>
      <c r="E117" s="20"/>
      <c r="F117" s="64"/>
      <c r="G117" s="64"/>
      <c r="H117" s="64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11"/>
      <c r="T117" s="20"/>
    </row>
    <row r="118" spans="1:20" x14ac:dyDescent="0.2">
      <c r="B118" s="64"/>
      <c r="C118" s="20"/>
      <c r="D118" s="20"/>
      <c r="E118" s="20"/>
      <c r="F118" s="64"/>
      <c r="G118" s="64"/>
      <c r="H118" s="64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11"/>
      <c r="T118" s="20"/>
    </row>
    <row r="119" spans="1:20" x14ac:dyDescent="0.2">
      <c r="B119" s="64"/>
      <c r="C119" s="20"/>
      <c r="D119" s="20"/>
      <c r="E119" s="20"/>
      <c r="F119" s="64"/>
      <c r="G119" s="64"/>
      <c r="H119" s="64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11"/>
      <c r="T119" s="20"/>
    </row>
    <row r="120" spans="1:20" x14ac:dyDescent="0.2">
      <c r="B120" s="64"/>
      <c r="C120" s="20"/>
      <c r="D120" s="20"/>
      <c r="E120" s="20"/>
      <c r="F120" s="64"/>
      <c r="G120" s="64"/>
      <c r="H120" s="64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11"/>
      <c r="T120" s="20"/>
    </row>
    <row r="121" spans="1:20" x14ac:dyDescent="0.2">
      <c r="B121" s="64"/>
      <c r="C121" s="20"/>
      <c r="D121" s="20"/>
      <c r="E121" s="20"/>
      <c r="F121" s="64"/>
      <c r="G121" s="64"/>
      <c r="H121" s="64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11"/>
      <c r="T121" s="20"/>
    </row>
    <row r="122" spans="1:20" x14ac:dyDescent="0.2">
      <c r="B122" s="64"/>
      <c r="C122" s="20"/>
      <c r="D122" s="20"/>
      <c r="E122" s="20"/>
      <c r="F122" s="64"/>
      <c r="G122" s="64"/>
      <c r="H122" s="64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11"/>
      <c r="T122" s="20"/>
    </row>
    <row r="123" spans="1:20" x14ac:dyDescent="0.2">
      <c r="B123" s="64"/>
      <c r="C123" s="20"/>
      <c r="D123" s="20"/>
      <c r="E123" s="20"/>
      <c r="F123" s="64"/>
      <c r="G123" s="64"/>
      <c r="H123" s="64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11"/>
      <c r="T123" s="20"/>
    </row>
    <row r="124" spans="1:20" x14ac:dyDescent="0.2">
      <c r="A124" s="20"/>
      <c r="B124" s="64"/>
      <c r="C124" s="20"/>
      <c r="D124" s="20"/>
      <c r="E124" s="20"/>
      <c r="F124" s="64"/>
      <c r="G124" s="64"/>
      <c r="H124" s="64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11"/>
      <c r="T124" s="20"/>
    </row>
    <row r="125" spans="1:20" x14ac:dyDescent="0.2">
      <c r="A125" s="20"/>
      <c r="B125" s="64"/>
      <c r="C125" s="20"/>
      <c r="D125" s="20"/>
      <c r="E125" s="20"/>
      <c r="F125" s="64"/>
      <c r="G125" s="64"/>
      <c r="H125" s="64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11"/>
      <c r="T125" s="20"/>
    </row>
    <row r="126" spans="1:20" x14ac:dyDescent="0.2">
      <c r="A126" s="20"/>
      <c r="B126" s="64"/>
      <c r="C126" s="20"/>
      <c r="D126" s="20"/>
      <c r="E126" s="20"/>
      <c r="F126" s="64"/>
      <c r="G126" s="64"/>
      <c r="H126" s="64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11"/>
      <c r="T126" s="20"/>
    </row>
    <row r="127" spans="1:20" x14ac:dyDescent="0.2">
      <c r="A127" s="20"/>
      <c r="B127" s="64"/>
      <c r="C127" s="20"/>
      <c r="D127" s="20"/>
      <c r="E127" s="20"/>
      <c r="F127" s="64"/>
      <c r="G127" s="64"/>
      <c r="H127" s="64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11"/>
      <c r="T127" s="20"/>
    </row>
    <row r="128" spans="1:20" x14ac:dyDescent="0.2">
      <c r="A128" s="20"/>
      <c r="B128" s="64"/>
      <c r="C128" s="20"/>
      <c r="D128" s="20"/>
      <c r="E128" s="20"/>
      <c r="F128" s="64"/>
      <c r="G128" s="64"/>
      <c r="H128" s="64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11"/>
      <c r="T128" s="20"/>
    </row>
    <row r="129" spans="1:20" x14ac:dyDescent="0.2">
      <c r="A129" s="20"/>
      <c r="B129" s="64"/>
      <c r="C129" s="20"/>
      <c r="D129" s="20"/>
      <c r="E129" s="20"/>
      <c r="F129" s="64"/>
      <c r="G129" s="64"/>
      <c r="H129" s="64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11"/>
      <c r="T129" s="20"/>
    </row>
    <row r="130" spans="1:20" x14ac:dyDescent="0.2">
      <c r="A130" s="20"/>
      <c r="B130" s="64"/>
      <c r="C130" s="20"/>
      <c r="D130" s="20"/>
      <c r="E130" s="20"/>
      <c r="F130" s="64"/>
      <c r="G130" s="64"/>
      <c r="H130" s="64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11"/>
      <c r="T130" s="20"/>
    </row>
    <row r="131" spans="1:20" x14ac:dyDescent="0.2">
      <c r="A131" s="20"/>
      <c r="B131" s="64"/>
      <c r="C131" s="20"/>
      <c r="D131" s="20"/>
      <c r="E131" s="20"/>
      <c r="F131" s="64"/>
      <c r="G131" s="64"/>
      <c r="H131" s="64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11"/>
      <c r="T131" s="20"/>
    </row>
    <row r="132" spans="1:20" x14ac:dyDescent="0.2">
      <c r="A132" s="20"/>
      <c r="B132" s="64"/>
      <c r="C132" s="20"/>
      <c r="D132" s="20"/>
      <c r="E132" s="20"/>
      <c r="F132" s="64"/>
      <c r="G132" s="64"/>
      <c r="H132" s="64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11"/>
      <c r="T132" s="20"/>
    </row>
    <row r="133" spans="1:20" x14ac:dyDescent="0.2">
      <c r="A133" s="20"/>
      <c r="B133" s="64"/>
      <c r="C133" s="20"/>
      <c r="D133" s="20"/>
      <c r="E133" s="20"/>
      <c r="F133" s="64"/>
      <c r="G133" s="64"/>
      <c r="H133" s="64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11"/>
      <c r="T133" s="20"/>
    </row>
    <row r="134" spans="1:20" x14ac:dyDescent="0.2">
      <c r="A134" s="20"/>
      <c r="B134" s="64"/>
      <c r="C134" s="20"/>
      <c r="D134" s="20"/>
      <c r="E134" s="20"/>
      <c r="F134" s="64"/>
      <c r="G134" s="64"/>
      <c r="H134" s="64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11"/>
      <c r="T134" s="20"/>
    </row>
    <row r="135" spans="1:20" x14ac:dyDescent="0.2">
      <c r="A135" s="20"/>
      <c r="B135" s="64"/>
      <c r="C135" s="20"/>
      <c r="D135" s="20"/>
      <c r="E135" s="20"/>
      <c r="F135" s="64"/>
      <c r="G135" s="64"/>
      <c r="H135" s="64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11"/>
      <c r="T135" s="20"/>
    </row>
    <row r="136" spans="1:20" x14ac:dyDescent="0.2">
      <c r="A136" s="20"/>
      <c r="B136" s="64"/>
      <c r="C136" s="20"/>
      <c r="D136" s="20"/>
      <c r="E136" s="20"/>
      <c r="F136" s="64"/>
      <c r="G136" s="64"/>
      <c r="H136" s="64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11"/>
      <c r="T136" s="20"/>
    </row>
    <row r="137" spans="1:20" x14ac:dyDescent="0.2">
      <c r="A137" s="20"/>
      <c r="B137" s="64"/>
      <c r="C137" s="20"/>
      <c r="D137" s="20"/>
      <c r="E137" s="20"/>
      <c r="F137" s="64"/>
      <c r="G137" s="64"/>
      <c r="H137" s="64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11"/>
      <c r="T137" s="20"/>
    </row>
    <row r="138" spans="1:20" x14ac:dyDescent="0.2">
      <c r="A138" s="20"/>
      <c r="B138" s="64"/>
      <c r="C138" s="20"/>
      <c r="D138" s="20"/>
      <c r="E138" s="20"/>
      <c r="F138" s="64"/>
      <c r="G138" s="64"/>
      <c r="H138" s="64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11"/>
      <c r="T138" s="20"/>
    </row>
    <row r="139" spans="1:20" x14ac:dyDescent="0.2">
      <c r="A139" s="20"/>
      <c r="B139" s="64"/>
      <c r="C139" s="20"/>
      <c r="D139" s="20"/>
      <c r="E139" s="20"/>
      <c r="F139" s="64"/>
      <c r="G139" s="64"/>
      <c r="H139" s="64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11"/>
      <c r="T139" s="20"/>
    </row>
    <row r="140" spans="1:20" x14ac:dyDescent="0.2">
      <c r="A140" s="20"/>
      <c r="B140" s="64"/>
      <c r="C140" s="20"/>
      <c r="D140" s="20"/>
      <c r="E140" s="20"/>
      <c r="F140" s="64"/>
      <c r="G140" s="64"/>
      <c r="H140" s="64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11"/>
      <c r="T140" s="20"/>
    </row>
    <row r="141" spans="1:20" x14ac:dyDescent="0.2">
      <c r="A141" s="20"/>
      <c r="B141" s="64"/>
      <c r="C141" s="20"/>
      <c r="D141" s="20"/>
      <c r="E141" s="20"/>
      <c r="F141" s="64"/>
      <c r="G141" s="64"/>
      <c r="H141" s="64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11"/>
      <c r="T141" s="20"/>
    </row>
    <row r="142" spans="1:20" x14ac:dyDescent="0.2">
      <c r="A142" s="20"/>
      <c r="B142" s="64"/>
      <c r="C142" s="20"/>
      <c r="D142" s="20"/>
      <c r="E142" s="20"/>
      <c r="F142" s="64"/>
      <c r="G142" s="64"/>
      <c r="H142" s="64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11"/>
      <c r="T142" s="20"/>
    </row>
    <row r="143" spans="1:20" x14ac:dyDescent="0.2">
      <c r="A143" s="20"/>
      <c r="B143" s="64"/>
      <c r="C143" s="20"/>
      <c r="D143" s="20"/>
      <c r="E143" s="20"/>
      <c r="F143" s="64"/>
      <c r="G143" s="64"/>
      <c r="H143" s="64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11"/>
      <c r="T143" s="20"/>
    </row>
    <row r="144" spans="1:20" x14ac:dyDescent="0.2">
      <c r="A144" s="20"/>
      <c r="B144" s="64"/>
      <c r="C144" s="20"/>
      <c r="D144" s="20"/>
      <c r="E144" s="20"/>
      <c r="F144" s="64"/>
      <c r="G144" s="64"/>
      <c r="H144" s="64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11"/>
      <c r="T144" s="20"/>
    </row>
    <row r="145" spans="1:20" x14ac:dyDescent="0.2">
      <c r="A145" s="20"/>
      <c r="B145" s="64"/>
      <c r="C145" s="20"/>
      <c r="D145" s="20"/>
      <c r="E145" s="20"/>
      <c r="F145" s="64"/>
      <c r="G145" s="64"/>
      <c r="H145" s="64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11"/>
      <c r="T145" s="20"/>
    </row>
    <row r="146" spans="1:20" x14ac:dyDescent="0.2">
      <c r="A146" s="20"/>
      <c r="B146" s="64"/>
      <c r="C146" s="20"/>
      <c r="D146" s="20"/>
      <c r="E146" s="20"/>
      <c r="F146" s="64"/>
      <c r="G146" s="64"/>
      <c r="H146" s="64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11"/>
      <c r="T146" s="20"/>
    </row>
    <row r="147" spans="1:20" x14ac:dyDescent="0.2">
      <c r="A147" s="20"/>
      <c r="B147" s="64"/>
      <c r="C147" s="20"/>
      <c r="D147" s="20"/>
      <c r="E147" s="20"/>
      <c r="F147" s="64"/>
      <c r="G147" s="64"/>
      <c r="H147" s="64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11"/>
      <c r="T147" s="20"/>
    </row>
    <row r="148" spans="1:20" x14ac:dyDescent="0.2">
      <c r="A148" s="20"/>
      <c r="B148" s="64"/>
      <c r="C148" s="20"/>
      <c r="D148" s="20"/>
      <c r="E148" s="20"/>
      <c r="F148" s="64"/>
      <c r="G148" s="64"/>
      <c r="H148" s="64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11"/>
      <c r="T148" s="20"/>
    </row>
    <row r="149" spans="1:20" x14ac:dyDescent="0.2">
      <c r="A149" s="20"/>
      <c r="B149" s="64"/>
      <c r="C149" s="20"/>
      <c r="D149" s="20"/>
      <c r="E149" s="20"/>
      <c r="F149" s="64"/>
      <c r="G149" s="64"/>
      <c r="H149" s="64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11"/>
      <c r="T149" s="20"/>
    </row>
    <row r="150" spans="1:20" x14ac:dyDescent="0.2">
      <c r="A150" s="20"/>
      <c r="B150" s="64"/>
      <c r="C150" s="20"/>
      <c r="D150" s="20"/>
      <c r="E150" s="20"/>
      <c r="F150" s="64"/>
      <c r="G150" s="64"/>
      <c r="H150" s="64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11"/>
      <c r="T150" s="20"/>
    </row>
    <row r="151" spans="1:20" x14ac:dyDescent="0.2">
      <c r="A151" s="20"/>
      <c r="B151" s="64"/>
      <c r="C151" s="20"/>
      <c r="D151" s="20"/>
      <c r="E151" s="20"/>
      <c r="F151" s="64"/>
      <c r="G151" s="64"/>
      <c r="H151" s="64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11"/>
      <c r="T151" s="20"/>
    </row>
    <row r="152" spans="1:20" x14ac:dyDescent="0.2">
      <c r="A152" s="20"/>
      <c r="B152" s="64"/>
      <c r="C152" s="20"/>
      <c r="D152" s="20"/>
      <c r="E152" s="20"/>
      <c r="F152" s="64"/>
      <c r="G152" s="64"/>
      <c r="H152" s="64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11"/>
      <c r="T152" s="20"/>
    </row>
    <row r="153" spans="1:20" x14ac:dyDescent="0.2">
      <c r="A153" s="20"/>
      <c r="B153" s="64"/>
      <c r="C153" s="20"/>
      <c r="D153" s="20"/>
      <c r="E153" s="20"/>
      <c r="F153" s="64"/>
      <c r="G153" s="64"/>
      <c r="H153" s="64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11"/>
      <c r="T153" s="20"/>
    </row>
    <row r="154" spans="1:20" x14ac:dyDescent="0.2">
      <c r="A154" s="20"/>
      <c r="B154" s="64"/>
      <c r="C154" s="20"/>
      <c r="D154" s="20"/>
      <c r="E154" s="20"/>
      <c r="F154" s="64"/>
      <c r="G154" s="64"/>
      <c r="H154" s="64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11"/>
      <c r="T154" s="20"/>
    </row>
    <row r="155" spans="1:20" x14ac:dyDescent="0.2">
      <c r="A155" s="20"/>
      <c r="B155" s="64"/>
      <c r="C155" s="20"/>
      <c r="D155" s="20"/>
      <c r="E155" s="20"/>
      <c r="F155" s="64"/>
      <c r="G155" s="64"/>
      <c r="H155" s="64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11"/>
      <c r="T155" s="20"/>
    </row>
    <row r="156" spans="1:20" x14ac:dyDescent="0.2">
      <c r="A156" s="20"/>
      <c r="B156" s="64"/>
      <c r="C156" s="20"/>
      <c r="D156" s="20"/>
      <c r="E156" s="20"/>
      <c r="F156" s="64"/>
      <c r="G156" s="64"/>
      <c r="H156" s="64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11"/>
      <c r="T156" s="20"/>
    </row>
    <row r="157" spans="1:20" x14ac:dyDescent="0.2">
      <c r="A157" s="20"/>
      <c r="B157" s="64"/>
      <c r="C157" s="20"/>
      <c r="D157" s="20"/>
      <c r="E157" s="20"/>
      <c r="F157" s="64"/>
      <c r="G157" s="64"/>
      <c r="H157" s="64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11"/>
      <c r="T157" s="20"/>
    </row>
    <row r="158" spans="1:20" x14ac:dyDescent="0.2">
      <c r="A158" s="20"/>
      <c r="B158" s="64"/>
      <c r="C158" s="20"/>
      <c r="D158" s="20"/>
      <c r="E158" s="20"/>
      <c r="F158" s="64"/>
      <c r="G158" s="64"/>
      <c r="H158" s="64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11"/>
      <c r="T158" s="20"/>
    </row>
    <row r="159" spans="1:20" x14ac:dyDescent="0.2">
      <c r="A159" s="20"/>
      <c r="B159" s="64"/>
      <c r="C159" s="20"/>
      <c r="D159" s="20"/>
      <c r="E159" s="20"/>
      <c r="F159" s="64"/>
      <c r="G159" s="64"/>
      <c r="H159" s="64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11"/>
      <c r="T159" s="20"/>
    </row>
    <row r="160" spans="1:20" x14ac:dyDescent="0.2">
      <c r="A160" s="20"/>
      <c r="B160" s="64"/>
      <c r="C160" s="20"/>
      <c r="D160" s="20"/>
      <c r="E160" s="20"/>
      <c r="F160" s="64"/>
      <c r="G160" s="64"/>
      <c r="H160" s="64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11"/>
      <c r="T160" s="20"/>
    </row>
    <row r="161" spans="1:20" x14ac:dyDescent="0.2">
      <c r="A161" s="20"/>
      <c r="B161" s="64"/>
      <c r="C161" s="20"/>
      <c r="D161" s="20"/>
      <c r="E161" s="20"/>
      <c r="F161" s="64"/>
      <c r="G161" s="64"/>
      <c r="H161" s="64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11"/>
      <c r="T161" s="20"/>
    </row>
    <row r="162" spans="1:20" x14ac:dyDescent="0.2">
      <c r="A162" s="20"/>
      <c r="B162" s="64"/>
      <c r="C162" s="20"/>
      <c r="D162" s="20"/>
      <c r="E162" s="20"/>
      <c r="F162" s="64"/>
      <c r="G162" s="64"/>
      <c r="H162" s="64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11"/>
      <c r="T162" s="20"/>
    </row>
    <row r="163" spans="1:20" x14ac:dyDescent="0.2">
      <c r="A163" s="20"/>
      <c r="B163" s="64"/>
      <c r="C163" s="20"/>
      <c r="D163" s="20"/>
      <c r="E163" s="20"/>
      <c r="F163" s="64"/>
      <c r="G163" s="64"/>
      <c r="H163" s="64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11"/>
      <c r="T163" s="20"/>
    </row>
    <row r="164" spans="1:20" x14ac:dyDescent="0.2">
      <c r="A164" s="20"/>
      <c r="B164" s="64"/>
      <c r="C164" s="20"/>
      <c r="D164" s="20"/>
      <c r="E164" s="20"/>
      <c r="F164" s="64"/>
      <c r="G164" s="64"/>
      <c r="H164" s="64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11"/>
      <c r="T164" s="20"/>
    </row>
    <row r="165" spans="1:20" x14ac:dyDescent="0.2">
      <c r="A165" s="20"/>
      <c r="B165" s="64"/>
      <c r="C165" s="20"/>
      <c r="D165" s="20"/>
      <c r="E165" s="20"/>
      <c r="F165" s="64"/>
      <c r="G165" s="64"/>
      <c r="H165" s="64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11"/>
      <c r="T165" s="20"/>
    </row>
    <row r="166" spans="1:20" x14ac:dyDescent="0.2">
      <c r="A166" s="20"/>
      <c r="B166" s="64"/>
      <c r="C166" s="20"/>
      <c r="D166" s="20"/>
      <c r="E166" s="20"/>
      <c r="F166" s="64"/>
      <c r="G166" s="64"/>
      <c r="H166" s="64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11"/>
      <c r="T166" s="20"/>
    </row>
    <row r="167" spans="1:20" x14ac:dyDescent="0.2">
      <c r="A167" s="20"/>
      <c r="B167" s="64"/>
      <c r="C167" s="20"/>
      <c r="D167" s="20"/>
      <c r="E167" s="20"/>
      <c r="F167" s="64"/>
      <c r="G167" s="64"/>
      <c r="H167" s="64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11"/>
      <c r="T167" s="20"/>
    </row>
    <row r="168" spans="1:20" x14ac:dyDescent="0.2">
      <c r="A168" s="20"/>
      <c r="B168" s="64"/>
      <c r="C168" s="20"/>
      <c r="D168" s="20"/>
      <c r="E168" s="20"/>
      <c r="F168" s="64"/>
      <c r="G168" s="64"/>
      <c r="H168" s="64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11"/>
      <c r="T168" s="20"/>
    </row>
    <row r="169" spans="1:20" x14ac:dyDescent="0.2">
      <c r="A169" s="20"/>
      <c r="B169" s="64"/>
      <c r="C169" s="20"/>
      <c r="D169" s="20"/>
      <c r="E169" s="20"/>
      <c r="F169" s="64"/>
      <c r="G169" s="64"/>
      <c r="H169" s="64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11"/>
      <c r="T169" s="20"/>
    </row>
    <row r="170" spans="1:20" x14ac:dyDescent="0.2">
      <c r="A170" s="20"/>
      <c r="B170" s="64"/>
      <c r="C170" s="20"/>
      <c r="D170" s="20"/>
      <c r="E170" s="20"/>
      <c r="F170" s="64"/>
      <c r="G170" s="64"/>
      <c r="H170" s="64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11"/>
      <c r="T170" s="20"/>
    </row>
    <row r="171" spans="1:20" x14ac:dyDescent="0.2">
      <c r="A171" s="20"/>
      <c r="B171" s="64"/>
      <c r="C171" s="20"/>
      <c r="D171" s="20"/>
      <c r="E171" s="20"/>
      <c r="F171" s="64"/>
      <c r="G171" s="64"/>
      <c r="H171" s="64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11"/>
      <c r="T171" s="20"/>
    </row>
    <row r="172" spans="1:20" x14ac:dyDescent="0.2">
      <c r="A172" s="20"/>
      <c r="B172" s="64"/>
      <c r="C172" s="20"/>
      <c r="D172" s="20"/>
      <c r="E172" s="20"/>
      <c r="F172" s="64"/>
      <c r="G172" s="64"/>
      <c r="H172" s="64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11"/>
      <c r="T172" s="20"/>
    </row>
    <row r="173" spans="1:20" x14ac:dyDescent="0.2">
      <c r="A173" s="20"/>
      <c r="B173" s="64"/>
      <c r="C173" s="20"/>
      <c r="D173" s="20"/>
      <c r="E173" s="20"/>
      <c r="F173" s="64"/>
      <c r="G173" s="64"/>
      <c r="H173" s="64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11"/>
      <c r="T173" s="20"/>
    </row>
    <row r="174" spans="1:20" x14ac:dyDescent="0.2">
      <c r="A174" s="20"/>
      <c r="B174" s="64"/>
      <c r="C174" s="20"/>
      <c r="D174" s="20"/>
      <c r="E174" s="20"/>
      <c r="F174" s="64"/>
      <c r="G174" s="64"/>
      <c r="H174" s="64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11"/>
      <c r="T174" s="20"/>
    </row>
    <row r="175" spans="1:20" x14ac:dyDescent="0.2">
      <c r="A175" s="20"/>
      <c r="B175" s="64"/>
      <c r="C175" s="20"/>
      <c r="D175" s="20"/>
      <c r="E175" s="20"/>
      <c r="F175" s="64"/>
      <c r="G175" s="64"/>
      <c r="H175" s="64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11"/>
      <c r="T175" s="20"/>
    </row>
    <row r="176" spans="1:20" x14ac:dyDescent="0.2">
      <c r="A176" s="20"/>
      <c r="B176" s="64"/>
      <c r="C176" s="20"/>
      <c r="D176" s="20"/>
      <c r="E176" s="20"/>
      <c r="F176" s="64"/>
      <c r="G176" s="64"/>
      <c r="H176" s="64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11"/>
      <c r="T176" s="20"/>
    </row>
    <row r="177" spans="1:20" x14ac:dyDescent="0.2">
      <c r="A177" s="20"/>
      <c r="B177" s="64"/>
      <c r="C177" s="20"/>
      <c r="D177" s="20"/>
      <c r="E177" s="20"/>
      <c r="F177" s="64"/>
      <c r="G177" s="64"/>
      <c r="H177" s="64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11"/>
      <c r="T177" s="20"/>
    </row>
    <row r="178" spans="1:20" x14ac:dyDescent="0.2">
      <c r="A178" s="20"/>
      <c r="B178" s="64"/>
      <c r="C178" s="20"/>
      <c r="D178" s="20"/>
      <c r="E178" s="20"/>
      <c r="F178" s="64"/>
      <c r="G178" s="64"/>
      <c r="H178" s="64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11"/>
      <c r="T178" s="20"/>
    </row>
    <row r="179" spans="1:20" x14ac:dyDescent="0.2">
      <c r="A179" s="20"/>
      <c r="B179" s="64"/>
      <c r="C179" s="20"/>
      <c r="D179" s="20"/>
      <c r="E179" s="20"/>
      <c r="F179" s="64"/>
      <c r="G179" s="64"/>
      <c r="H179" s="64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11"/>
      <c r="T179" s="20"/>
    </row>
  </sheetData>
  <dataConsolidate/>
  <mergeCells count="33">
    <mergeCell ref="AD57:AI57"/>
    <mergeCell ref="AL50:AQ50"/>
    <mergeCell ref="S4:T5"/>
    <mergeCell ref="Z19:AB19"/>
    <mergeCell ref="AB20:AC20"/>
    <mergeCell ref="AD20:AE20"/>
    <mergeCell ref="AI17:AJ17"/>
    <mergeCell ref="AD37:AI37"/>
    <mergeCell ref="V24:W24"/>
    <mergeCell ref="A55:A56"/>
    <mergeCell ref="A36:A37"/>
    <mergeCell ref="A39:A40"/>
    <mergeCell ref="A41:A43"/>
    <mergeCell ref="A21:A24"/>
    <mergeCell ref="A26:A27"/>
    <mergeCell ref="T26:T27"/>
    <mergeCell ref="S26:S27"/>
    <mergeCell ref="S28:S32"/>
    <mergeCell ref="T28:T32"/>
    <mergeCell ref="S41:T43"/>
    <mergeCell ref="S55:T56"/>
    <mergeCell ref="K1:R1"/>
    <mergeCell ref="A28:A32"/>
    <mergeCell ref="A49:A50"/>
    <mergeCell ref="A51:A52"/>
    <mergeCell ref="A53:A54"/>
    <mergeCell ref="A33:A35"/>
    <mergeCell ref="A45:A48"/>
    <mergeCell ref="C1:I1"/>
    <mergeCell ref="A4:A5"/>
    <mergeCell ref="A6:A8"/>
    <mergeCell ref="A9:A13"/>
    <mergeCell ref="A15:A20"/>
  </mergeCells>
  <conditionalFormatting sqref="Q3:Q56">
    <cfRule type="cellIs" dxfId="82" priority="9" operator="lessThan">
      <formula>0</formula>
    </cfRule>
  </conditionalFormatting>
  <conditionalFormatting sqref="R3:R56">
    <cfRule type="containsText" dxfId="81" priority="8" operator="containsText" text="Yes">
      <formula>NOT(ISERROR(SEARCH("Yes",R3)))</formula>
    </cfRule>
  </conditionalFormatting>
  <conditionalFormatting sqref="M3:M56">
    <cfRule type="expression" dxfId="80" priority="7">
      <formula>(M3&lt;F3)</formula>
    </cfRule>
  </conditionalFormatting>
  <conditionalFormatting sqref="AE39:AJ50">
    <cfRule type="cellIs" dxfId="79" priority="6" operator="greaterThan">
      <formula>0</formula>
    </cfRule>
  </conditionalFormatting>
  <conditionalFormatting sqref="AJ59:AJ70">
    <cfRule type="cellIs" dxfId="78" priority="5" operator="greaterThan">
      <formula>0</formula>
    </cfRule>
  </conditionalFormatting>
  <conditionalFormatting sqref="AF59:AI70">
    <cfRule type="cellIs" dxfId="77" priority="4" operator="greaterThan">
      <formula>0</formula>
    </cfRule>
  </conditionalFormatting>
  <conditionalFormatting sqref="AE59:AE70">
    <cfRule type="cellIs" dxfId="76" priority="3" operator="greaterThan">
      <formula>0</formula>
    </cfRule>
  </conditionalFormatting>
  <conditionalFormatting sqref="AN67:AR71">
    <cfRule type="cellIs" dxfId="75" priority="2" operator="greaterThan">
      <formula>0</formula>
    </cfRule>
  </conditionalFormatting>
  <conditionalFormatting sqref="AM52:AR63">
    <cfRule type="cellIs" dxfId="74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tabSelected="1" topLeftCell="R1" zoomScale="90" zoomScaleNormal="90" workbookViewId="0">
      <selection activeCell="AD48" sqref="AD48"/>
    </sheetView>
  </sheetViews>
  <sheetFormatPr defaultColWidth="9" defaultRowHeight="12.75" x14ac:dyDescent="0.2"/>
  <cols>
    <col min="1" max="1" width="12.140625" style="261" customWidth="1"/>
    <col min="2" max="2" width="14.28515625" style="261" customWidth="1"/>
    <col min="3" max="3" width="25.42578125" style="261" customWidth="1"/>
    <col min="4" max="4" width="14.28515625" style="261" customWidth="1"/>
    <col min="5" max="5" width="16.5703125" style="261" customWidth="1"/>
    <col min="6" max="7" width="15" style="261" customWidth="1"/>
    <col min="8" max="8" width="18" style="261" customWidth="1"/>
    <col min="9" max="9" width="15.5703125" style="261" customWidth="1"/>
    <col min="10" max="10" width="25.42578125" style="261" customWidth="1"/>
    <col min="11" max="11" width="14.7109375" style="261" customWidth="1"/>
    <col min="12" max="12" width="16.42578125" style="261" customWidth="1"/>
    <col min="13" max="13" width="15.85546875" style="261" customWidth="1"/>
    <col min="14" max="14" width="18" style="261" customWidth="1"/>
    <col min="15" max="15" width="16.7109375" style="261" customWidth="1"/>
    <col min="16" max="16" width="29.7109375" style="261" customWidth="1"/>
    <col min="17" max="17" width="30.42578125" style="261" customWidth="1"/>
    <col min="18" max="19" width="9" style="261"/>
    <col min="20" max="20" width="15" style="261" customWidth="1"/>
    <col min="21" max="22" width="22" style="261" customWidth="1"/>
    <col min="23" max="23" width="32" style="261" customWidth="1"/>
    <col min="24" max="27" width="9" style="261"/>
    <col min="28" max="28" width="15.5703125" style="261" customWidth="1"/>
    <col min="29" max="16384" width="9" style="261"/>
  </cols>
  <sheetData>
    <row r="1" spans="1:34" x14ac:dyDescent="0.2">
      <c r="A1" s="193"/>
      <c r="B1" s="194"/>
      <c r="C1" s="467" t="s">
        <v>452</v>
      </c>
      <c r="D1" s="468"/>
      <c r="E1" s="468"/>
      <c r="F1" s="468"/>
      <c r="G1" s="468"/>
      <c r="H1" s="468"/>
      <c r="I1" s="469"/>
      <c r="J1" s="465" t="s">
        <v>451</v>
      </c>
      <c r="K1" s="466"/>
      <c r="L1" s="466"/>
      <c r="M1" s="466"/>
      <c r="N1" s="466"/>
      <c r="O1" s="520"/>
      <c r="P1" s="7"/>
      <c r="Q1" s="7"/>
    </row>
    <row r="2" spans="1:34" ht="13.5" thickBot="1" x14ac:dyDescent="0.25">
      <c r="A2" s="193" t="s">
        <v>450</v>
      </c>
      <c r="B2" s="192" t="s">
        <v>449</v>
      </c>
      <c r="C2" s="191" t="s">
        <v>448</v>
      </c>
      <c r="D2" s="190" t="s">
        <v>34</v>
      </c>
      <c r="E2" s="190" t="s">
        <v>33</v>
      </c>
      <c r="F2" s="190" t="s">
        <v>447</v>
      </c>
      <c r="G2" s="190" t="s">
        <v>459</v>
      </c>
      <c r="H2" s="190" t="s">
        <v>461</v>
      </c>
      <c r="I2" s="189" t="s">
        <v>444</v>
      </c>
      <c r="J2" s="188" t="s">
        <v>446</v>
      </c>
      <c r="K2" s="188" t="s">
        <v>34</v>
      </c>
      <c r="L2" s="188" t="s">
        <v>33</v>
      </c>
      <c r="M2" s="187" t="s">
        <v>445</v>
      </c>
      <c r="N2" s="186" t="s">
        <v>444</v>
      </c>
      <c r="O2" s="241" t="s">
        <v>457</v>
      </c>
      <c r="P2" s="11"/>
      <c r="Q2" s="20"/>
      <c r="T2" s="491" t="s">
        <v>603</v>
      </c>
      <c r="U2" s="492"/>
      <c r="V2" s="492"/>
      <c r="W2" s="492"/>
      <c r="X2" s="492"/>
      <c r="Y2" s="493"/>
      <c r="Z2" s="161"/>
      <c r="AA2" s="5"/>
      <c r="AB2" s="5"/>
      <c r="AC2" s="5"/>
      <c r="AD2" s="5"/>
      <c r="AE2" s="459"/>
      <c r="AF2" s="459"/>
      <c r="AG2" s="459"/>
      <c r="AH2" s="459"/>
    </row>
    <row r="3" spans="1:34" ht="13.5" thickBot="1" x14ac:dyDescent="0.25">
      <c r="A3" s="158" t="s">
        <v>438</v>
      </c>
      <c r="B3" s="181" t="s">
        <v>437</v>
      </c>
      <c r="C3" s="180" t="s">
        <v>436</v>
      </c>
      <c r="D3" s="179">
        <v>386.9</v>
      </c>
      <c r="E3" s="179">
        <v>400</v>
      </c>
      <c r="F3" s="179">
        <v>131.95400000000001</v>
      </c>
      <c r="G3" s="179">
        <v>2</v>
      </c>
      <c r="H3" s="179">
        <f>G3*F3</f>
        <v>263.90800000000002</v>
      </c>
      <c r="I3" s="178">
        <f>E3-H3</f>
        <v>136.09199999999998</v>
      </c>
      <c r="J3" s="177" t="s">
        <v>435</v>
      </c>
      <c r="K3" s="177">
        <v>598.85</v>
      </c>
      <c r="L3" s="287">
        <v>300</v>
      </c>
      <c r="M3" s="176">
        <f t="shared" ref="M3:M13" si="0">F3</f>
        <v>131.95400000000001</v>
      </c>
      <c r="N3" s="280">
        <f>L3-H3</f>
        <v>36.091999999999985</v>
      </c>
      <c r="O3" s="232" t="str">
        <f t="shared" ref="O3:O9" si="1">IF(N3&gt;=0,"No","Yes")</f>
        <v>No</v>
      </c>
      <c r="P3" s="239" t="s">
        <v>440</v>
      </c>
      <c r="Q3" s="260" t="s">
        <v>439</v>
      </c>
      <c r="T3" s="346" t="s">
        <v>528</v>
      </c>
      <c r="U3" s="348" t="s">
        <v>529</v>
      </c>
      <c r="V3" s="348" t="s">
        <v>530</v>
      </c>
      <c r="W3" s="348" t="s">
        <v>531</v>
      </c>
      <c r="X3" s="348" t="s">
        <v>532</v>
      </c>
      <c r="Y3" s="349" t="s">
        <v>582</v>
      </c>
      <c r="Z3" s="328" t="s">
        <v>417</v>
      </c>
      <c r="AA3" s="5"/>
      <c r="AB3" s="5"/>
      <c r="AC3" s="5"/>
      <c r="AD3" s="5"/>
      <c r="AE3" s="459"/>
      <c r="AF3" s="459"/>
      <c r="AG3" s="459"/>
      <c r="AH3" s="342"/>
    </row>
    <row r="4" spans="1:34" ht="13.5" thickBot="1" x14ac:dyDescent="0.25">
      <c r="A4" s="462" t="s">
        <v>44</v>
      </c>
      <c r="B4" s="174" t="s">
        <v>3</v>
      </c>
      <c r="C4" s="173" t="s">
        <v>44</v>
      </c>
      <c r="D4" s="172">
        <v>424.31</v>
      </c>
      <c r="E4" s="172">
        <v>200</v>
      </c>
      <c r="F4" s="172">
        <v>79.758499999999998</v>
      </c>
      <c r="G4" s="179">
        <v>2</v>
      </c>
      <c r="H4" s="179">
        <f t="shared" ref="H4:H56" si="2">G4*F4</f>
        <v>159.517</v>
      </c>
      <c r="I4" s="178">
        <f t="shared" ref="I4:I13" si="3">E4-H4</f>
        <v>40.483000000000004</v>
      </c>
      <c r="J4" s="170" t="s">
        <v>434</v>
      </c>
      <c r="K4" s="170">
        <v>561.44000000000005</v>
      </c>
      <c r="L4" s="286">
        <v>150</v>
      </c>
      <c r="M4" s="169">
        <f t="shared" si="0"/>
        <v>79.758499999999998</v>
      </c>
      <c r="N4" s="280">
        <f t="shared" ref="N4:N13" si="4">L4-H4</f>
        <v>-9.5169999999999959</v>
      </c>
      <c r="O4" s="232" t="str">
        <f t="shared" si="1"/>
        <v>Yes</v>
      </c>
      <c r="P4" s="410"/>
      <c r="Q4" s="393"/>
      <c r="T4" s="60" t="s">
        <v>84</v>
      </c>
      <c r="U4" s="350">
        <v>1</v>
      </c>
      <c r="V4" s="350">
        <v>0</v>
      </c>
      <c r="W4" s="351">
        <v>0</v>
      </c>
      <c r="X4" s="351">
        <v>0</v>
      </c>
      <c r="Y4" s="352">
        <v>0</v>
      </c>
      <c r="Z4" s="353">
        <f>SUM(U4:Y4)</f>
        <v>1</v>
      </c>
      <c r="AA4" s="5"/>
      <c r="AB4" s="5"/>
      <c r="AC4" s="5"/>
      <c r="AD4" s="5"/>
      <c r="AE4" s="459"/>
      <c r="AF4" s="459"/>
      <c r="AG4" s="459"/>
      <c r="AH4" s="459"/>
    </row>
    <row r="5" spans="1:34" ht="13.5" thickBot="1" x14ac:dyDescent="0.25">
      <c r="A5" s="463"/>
      <c r="B5" s="167" t="s">
        <v>25</v>
      </c>
      <c r="C5" s="116" t="s">
        <v>65</v>
      </c>
      <c r="D5" s="95">
        <v>645.40499999999997</v>
      </c>
      <c r="E5" s="95">
        <v>300</v>
      </c>
      <c r="F5" s="94">
        <v>101.52370000000001</v>
      </c>
      <c r="G5" s="179">
        <v>2</v>
      </c>
      <c r="H5" s="179">
        <f t="shared" si="2"/>
        <v>203.04740000000001</v>
      </c>
      <c r="I5" s="178">
        <f t="shared" si="3"/>
        <v>96.95259999999999</v>
      </c>
      <c r="J5" s="93" t="s">
        <v>429</v>
      </c>
      <c r="K5" s="93">
        <v>691.82</v>
      </c>
      <c r="L5" s="93">
        <v>300</v>
      </c>
      <c r="M5" s="92">
        <f t="shared" si="0"/>
        <v>101.52370000000001</v>
      </c>
      <c r="N5" s="280">
        <f t="shared" si="4"/>
        <v>96.95259999999999</v>
      </c>
      <c r="O5" s="232" t="str">
        <f t="shared" si="1"/>
        <v>No</v>
      </c>
      <c r="P5" s="411" t="s">
        <v>351</v>
      </c>
      <c r="Q5" s="394" t="s">
        <v>351</v>
      </c>
      <c r="T5" s="60" t="s">
        <v>85</v>
      </c>
      <c r="U5" s="350">
        <v>3</v>
      </c>
      <c r="V5" s="350">
        <v>2</v>
      </c>
      <c r="W5" s="350">
        <v>0</v>
      </c>
      <c r="X5" s="350">
        <v>0</v>
      </c>
      <c r="Y5" s="352">
        <v>0</v>
      </c>
      <c r="Z5" s="60">
        <f t="shared" ref="Z5:Z15" si="5">SUM(U5:Y5)</f>
        <v>5</v>
      </c>
      <c r="AA5" s="5"/>
      <c r="AB5" s="5"/>
      <c r="AC5" s="5"/>
      <c r="AD5" s="5"/>
      <c r="AE5" s="459"/>
      <c r="AF5" s="459"/>
      <c r="AG5" s="459"/>
      <c r="AH5" s="459"/>
    </row>
    <row r="6" spans="1:34" ht="13.5" thickBot="1" x14ac:dyDescent="0.25">
      <c r="A6" s="462" t="s">
        <v>433</v>
      </c>
      <c r="B6" s="87" t="s">
        <v>432</v>
      </c>
      <c r="C6" s="86" t="s">
        <v>392</v>
      </c>
      <c r="D6" s="85">
        <v>774.56</v>
      </c>
      <c r="E6" s="85">
        <v>1500</v>
      </c>
      <c r="F6" s="85">
        <v>593.39</v>
      </c>
      <c r="G6" s="179">
        <v>2</v>
      </c>
      <c r="H6" s="179">
        <f t="shared" si="2"/>
        <v>1186.78</v>
      </c>
      <c r="I6" s="178">
        <f t="shared" si="3"/>
        <v>313.22000000000003</v>
      </c>
      <c r="J6" s="83" t="s">
        <v>431</v>
      </c>
      <c r="K6" s="83">
        <v>778.62</v>
      </c>
      <c r="L6" s="83">
        <v>1500</v>
      </c>
      <c r="M6" s="82">
        <f t="shared" si="0"/>
        <v>593.39</v>
      </c>
      <c r="N6" s="280">
        <f t="shared" si="4"/>
        <v>313.22000000000003</v>
      </c>
      <c r="O6" s="232" t="str">
        <f t="shared" si="1"/>
        <v>No</v>
      </c>
      <c r="P6" s="413"/>
      <c r="Q6" s="414"/>
      <c r="T6" s="60" t="s">
        <v>86</v>
      </c>
      <c r="U6" s="350">
        <v>1</v>
      </c>
      <c r="V6" s="350">
        <v>1</v>
      </c>
      <c r="W6" s="350">
        <v>1</v>
      </c>
      <c r="X6" s="350">
        <v>0</v>
      </c>
      <c r="Y6" s="352">
        <v>0</v>
      </c>
      <c r="Z6" s="60">
        <f t="shared" si="5"/>
        <v>3</v>
      </c>
      <c r="AA6" s="5"/>
      <c r="AB6" s="457" t="s">
        <v>534</v>
      </c>
      <c r="AC6" s="457" t="s">
        <v>535</v>
      </c>
      <c r="AD6" s="355" t="s">
        <v>536</v>
      </c>
      <c r="AE6" s="459"/>
      <c r="AF6" s="459"/>
      <c r="AG6" s="5"/>
      <c r="AH6" s="5"/>
    </row>
    <row r="7" spans="1:34" ht="13.5" thickBot="1" x14ac:dyDescent="0.25">
      <c r="A7" s="464"/>
      <c r="B7" s="97" t="s">
        <v>4</v>
      </c>
      <c r="C7" s="96" t="s">
        <v>45</v>
      </c>
      <c r="D7" s="110">
        <v>221.095</v>
      </c>
      <c r="E7" s="110">
        <v>500</v>
      </c>
      <c r="F7" s="110">
        <v>165.54</v>
      </c>
      <c r="G7" s="179">
        <v>2</v>
      </c>
      <c r="H7" s="179">
        <f t="shared" si="2"/>
        <v>331.08</v>
      </c>
      <c r="I7" s="178">
        <f t="shared" si="3"/>
        <v>168.92000000000002</v>
      </c>
      <c r="J7" s="108" t="s">
        <v>430</v>
      </c>
      <c r="K7" s="108">
        <v>904.18</v>
      </c>
      <c r="L7" s="288">
        <v>300</v>
      </c>
      <c r="M7" s="107">
        <f t="shared" si="0"/>
        <v>165.54</v>
      </c>
      <c r="N7" s="280">
        <f t="shared" si="4"/>
        <v>-31.079999999999984</v>
      </c>
      <c r="O7" s="237" t="str">
        <f t="shared" si="1"/>
        <v>Yes</v>
      </c>
      <c r="P7" s="415" t="s">
        <v>351</v>
      </c>
      <c r="Q7" s="416" t="s">
        <v>351</v>
      </c>
      <c r="T7" s="60" t="s">
        <v>87</v>
      </c>
      <c r="U7" s="350">
        <v>2</v>
      </c>
      <c r="V7" s="350">
        <v>0</v>
      </c>
      <c r="W7" s="350">
        <v>5</v>
      </c>
      <c r="X7" s="350">
        <v>0</v>
      </c>
      <c r="Y7" s="352">
        <v>0</v>
      </c>
      <c r="Z7" s="60">
        <f t="shared" si="5"/>
        <v>7</v>
      </c>
      <c r="AA7" s="5"/>
      <c r="AB7" s="61" t="s">
        <v>529</v>
      </c>
      <c r="AC7" s="61">
        <v>100</v>
      </c>
      <c r="AD7" s="454">
        <v>15</v>
      </c>
      <c r="AE7" s="459"/>
      <c r="AF7" s="459"/>
      <c r="AG7" s="5"/>
      <c r="AH7" s="5"/>
    </row>
    <row r="8" spans="1:34" ht="13.5" thickBot="1" x14ac:dyDescent="0.25">
      <c r="A8" s="464"/>
      <c r="B8" s="97" t="s">
        <v>25</v>
      </c>
      <c r="C8" s="96" t="s">
        <v>65</v>
      </c>
      <c r="D8" s="95">
        <v>645.40499999999997</v>
      </c>
      <c r="E8" s="95">
        <v>300</v>
      </c>
      <c r="F8" s="95">
        <v>101.52370000000001</v>
      </c>
      <c r="G8" s="179">
        <v>2</v>
      </c>
      <c r="H8" s="179">
        <f t="shared" si="2"/>
        <v>203.04740000000001</v>
      </c>
      <c r="I8" s="178">
        <f t="shared" si="3"/>
        <v>96.95259999999999</v>
      </c>
      <c r="J8" s="93" t="s">
        <v>429</v>
      </c>
      <c r="K8" s="93">
        <v>691.82</v>
      </c>
      <c r="L8" s="93">
        <v>300</v>
      </c>
      <c r="M8" s="92">
        <f t="shared" si="0"/>
        <v>101.52370000000001</v>
      </c>
      <c r="N8" s="280">
        <f t="shared" si="4"/>
        <v>96.95259999999999</v>
      </c>
      <c r="O8" s="232" t="str">
        <f t="shared" si="1"/>
        <v>No</v>
      </c>
      <c r="P8" s="412"/>
      <c r="Q8" s="210"/>
      <c r="T8" s="60" t="s">
        <v>88</v>
      </c>
      <c r="U8" s="350">
        <v>3</v>
      </c>
      <c r="V8" s="350">
        <v>1</v>
      </c>
      <c r="W8" s="350">
        <v>7</v>
      </c>
      <c r="X8" s="350">
        <v>0</v>
      </c>
      <c r="Y8" s="352">
        <v>0</v>
      </c>
      <c r="Z8" s="60">
        <f t="shared" si="5"/>
        <v>11</v>
      </c>
      <c r="AA8" s="343"/>
      <c r="AB8" s="356" t="s">
        <v>530</v>
      </c>
      <c r="AC8" s="356">
        <v>150</v>
      </c>
      <c r="AD8" s="455">
        <v>16.3689</v>
      </c>
      <c r="AE8" s="459"/>
      <c r="AF8" s="459"/>
      <c r="AG8" s="5"/>
      <c r="AH8" s="459"/>
    </row>
    <row r="9" spans="1:34" ht="13.5" thickBot="1" x14ac:dyDescent="0.25">
      <c r="A9" s="462" t="s">
        <v>46</v>
      </c>
      <c r="B9" s="87" t="s">
        <v>5</v>
      </c>
      <c r="C9" s="86" t="s">
        <v>46</v>
      </c>
      <c r="D9" s="85">
        <v>87.444999999999993</v>
      </c>
      <c r="E9" s="85">
        <v>900</v>
      </c>
      <c r="F9" s="85">
        <v>330.03719999999998</v>
      </c>
      <c r="G9" s="179">
        <v>2</v>
      </c>
      <c r="H9" s="179">
        <f t="shared" si="2"/>
        <v>660.07439999999997</v>
      </c>
      <c r="I9" s="178">
        <f t="shared" si="3"/>
        <v>239.92560000000003</v>
      </c>
      <c r="J9" s="83" t="s">
        <v>428</v>
      </c>
      <c r="K9" s="83">
        <v>243.73500000000001</v>
      </c>
      <c r="L9" s="289">
        <v>750</v>
      </c>
      <c r="M9" s="82">
        <f t="shared" si="0"/>
        <v>330.03719999999998</v>
      </c>
      <c r="N9" s="280">
        <f t="shared" si="4"/>
        <v>89.925600000000031</v>
      </c>
      <c r="O9" s="232" t="str">
        <f t="shared" si="1"/>
        <v>No</v>
      </c>
      <c r="P9" s="207"/>
      <c r="Q9" s="106"/>
      <c r="T9" s="60" t="s">
        <v>89</v>
      </c>
      <c r="U9" s="350">
        <v>2</v>
      </c>
      <c r="V9" s="350">
        <v>0</v>
      </c>
      <c r="W9" s="350">
        <v>0</v>
      </c>
      <c r="X9" s="350">
        <v>0</v>
      </c>
      <c r="Y9" s="352">
        <v>0</v>
      </c>
      <c r="Z9" s="60">
        <f t="shared" si="5"/>
        <v>2</v>
      </c>
      <c r="AA9" s="344"/>
      <c r="AB9" s="356" t="s">
        <v>531</v>
      </c>
      <c r="AC9" s="356">
        <v>200</v>
      </c>
      <c r="AD9" s="455">
        <v>16.746700000000001</v>
      </c>
      <c r="AE9" s="459"/>
      <c r="AF9" s="459"/>
      <c r="AG9" s="5"/>
      <c r="AH9" s="459"/>
    </row>
    <row r="10" spans="1:34" ht="13.5" thickBot="1" x14ac:dyDescent="0.25">
      <c r="A10" s="464"/>
      <c r="B10" s="97" t="s">
        <v>7</v>
      </c>
      <c r="C10" s="96" t="s">
        <v>48</v>
      </c>
      <c r="D10" s="110">
        <v>457.755</v>
      </c>
      <c r="E10" s="110">
        <v>600</v>
      </c>
      <c r="F10" s="110">
        <v>200.11</v>
      </c>
      <c r="G10" s="179">
        <v>2</v>
      </c>
      <c r="H10" s="179">
        <f t="shared" si="2"/>
        <v>400.22</v>
      </c>
      <c r="I10" s="178">
        <f t="shared" si="3"/>
        <v>199.77999999999997</v>
      </c>
      <c r="J10" s="108" t="s">
        <v>427</v>
      </c>
      <c r="K10" s="108">
        <v>614.06500000000005</v>
      </c>
      <c r="L10" s="288">
        <v>450</v>
      </c>
      <c r="M10" s="107">
        <f t="shared" si="0"/>
        <v>200.11</v>
      </c>
      <c r="N10" s="280">
        <f t="shared" si="4"/>
        <v>49.779999999999973</v>
      </c>
      <c r="O10" s="233" t="s">
        <v>455</v>
      </c>
      <c r="P10" s="206"/>
      <c r="Q10" s="203"/>
      <c r="T10" s="60" t="s">
        <v>90</v>
      </c>
      <c r="U10" s="350">
        <v>1</v>
      </c>
      <c r="V10" s="350">
        <v>0</v>
      </c>
      <c r="W10" s="350">
        <v>1</v>
      </c>
      <c r="X10" s="350">
        <v>0</v>
      </c>
      <c r="Y10" s="352">
        <v>0</v>
      </c>
      <c r="Z10" s="60">
        <f t="shared" si="5"/>
        <v>2</v>
      </c>
      <c r="AA10" s="344"/>
      <c r="AB10" s="356" t="s">
        <v>532</v>
      </c>
      <c r="AC10" s="356">
        <v>250</v>
      </c>
      <c r="AD10" s="455">
        <v>16.886600000000001</v>
      </c>
      <c r="AE10" s="459"/>
      <c r="AF10" s="459"/>
      <c r="AG10" s="5"/>
      <c r="AH10" s="459"/>
    </row>
    <row r="11" spans="1:34" ht="13.5" thickBot="1" x14ac:dyDescent="0.25">
      <c r="A11" s="464"/>
      <c r="B11" s="97" t="s">
        <v>8</v>
      </c>
      <c r="C11" s="96" t="s">
        <v>74</v>
      </c>
      <c r="D11" s="110">
        <v>632.29</v>
      </c>
      <c r="E11" s="110">
        <v>1050</v>
      </c>
      <c r="F11" s="110">
        <v>416.14780000000002</v>
      </c>
      <c r="G11" s="179">
        <v>2</v>
      </c>
      <c r="H11" s="179">
        <f t="shared" si="2"/>
        <v>832.29560000000004</v>
      </c>
      <c r="I11" s="178">
        <f t="shared" si="3"/>
        <v>217.70439999999996</v>
      </c>
      <c r="J11" s="108" t="s">
        <v>426</v>
      </c>
      <c r="K11" s="108">
        <v>692.19500000000005</v>
      </c>
      <c r="L11" s="108">
        <v>1050</v>
      </c>
      <c r="M11" s="107">
        <f t="shared" si="0"/>
        <v>416.14780000000002</v>
      </c>
      <c r="N11" s="280">
        <f t="shared" si="4"/>
        <v>217.70439999999996</v>
      </c>
      <c r="O11" s="232" t="str">
        <f>IF(N11&gt;=0,"No","Yes")</f>
        <v>No</v>
      </c>
      <c r="P11" s="206"/>
      <c r="Q11" s="203"/>
      <c r="T11" s="60" t="s">
        <v>91</v>
      </c>
      <c r="U11" s="350">
        <v>2</v>
      </c>
      <c r="V11" s="350">
        <v>7</v>
      </c>
      <c r="W11" s="352">
        <v>2</v>
      </c>
      <c r="X11" s="352">
        <v>0</v>
      </c>
      <c r="Y11" s="352">
        <v>0</v>
      </c>
      <c r="Z11" s="60">
        <f t="shared" si="5"/>
        <v>11</v>
      </c>
      <c r="AA11" s="343"/>
      <c r="AB11" s="357" t="s">
        <v>582</v>
      </c>
      <c r="AC11" s="357">
        <v>300</v>
      </c>
      <c r="AD11" s="456">
        <v>17</v>
      </c>
      <c r="AE11" s="459"/>
      <c r="AF11" s="459"/>
      <c r="AG11" s="5"/>
      <c r="AH11" s="459"/>
    </row>
    <row r="12" spans="1:34" ht="13.5" thickBot="1" x14ac:dyDescent="0.25">
      <c r="A12" s="464"/>
      <c r="B12" s="97" t="s">
        <v>12</v>
      </c>
      <c r="C12" s="96" t="s">
        <v>52</v>
      </c>
      <c r="D12" s="110">
        <v>428.91</v>
      </c>
      <c r="E12" s="110">
        <v>800</v>
      </c>
      <c r="F12" s="110">
        <v>320.77999999999997</v>
      </c>
      <c r="G12" s="179">
        <v>2</v>
      </c>
      <c r="H12" s="179">
        <f t="shared" si="2"/>
        <v>641.55999999999995</v>
      </c>
      <c r="I12" s="178">
        <f t="shared" si="3"/>
        <v>158.44000000000005</v>
      </c>
      <c r="J12" s="108" t="s">
        <v>420</v>
      </c>
      <c r="K12" s="108">
        <v>440.09</v>
      </c>
      <c r="L12" s="108">
        <v>800</v>
      </c>
      <c r="M12" s="107">
        <f t="shared" si="0"/>
        <v>320.77999999999997</v>
      </c>
      <c r="N12" s="280">
        <f t="shared" si="4"/>
        <v>158.44000000000005</v>
      </c>
      <c r="O12" s="232" t="str">
        <f>IF(N12&gt;=0,"No","Yes")</f>
        <v>No</v>
      </c>
      <c r="P12" s="206"/>
      <c r="Q12" s="203"/>
      <c r="T12" s="60" t="s">
        <v>92</v>
      </c>
      <c r="U12" s="352">
        <v>2</v>
      </c>
      <c r="V12" s="352">
        <v>1</v>
      </c>
      <c r="W12" s="352">
        <v>1</v>
      </c>
      <c r="X12" s="352">
        <v>0</v>
      </c>
      <c r="Y12" s="352">
        <v>0</v>
      </c>
      <c r="Z12" s="60">
        <f t="shared" si="5"/>
        <v>4</v>
      </c>
      <c r="AA12" s="343"/>
      <c r="AB12" s="459"/>
      <c r="AC12" s="459"/>
      <c r="AD12" s="5"/>
      <c r="AE12" s="459"/>
      <c r="AF12" s="459"/>
      <c r="AG12" s="5"/>
      <c r="AH12" s="459"/>
    </row>
    <row r="13" spans="1:34" ht="13.5" thickBot="1" x14ac:dyDescent="0.25">
      <c r="A13" s="464"/>
      <c r="B13" s="97" t="s">
        <v>396</v>
      </c>
      <c r="C13" s="96" t="s">
        <v>63</v>
      </c>
      <c r="D13" s="95">
        <v>530.30999999999995</v>
      </c>
      <c r="E13" s="95">
        <v>200</v>
      </c>
      <c r="F13" s="95">
        <v>22.35</v>
      </c>
      <c r="G13" s="179">
        <v>2</v>
      </c>
      <c r="H13" s="179">
        <f t="shared" si="2"/>
        <v>44.7</v>
      </c>
      <c r="I13" s="178">
        <f t="shared" si="3"/>
        <v>155.30000000000001</v>
      </c>
      <c r="J13" s="93" t="s">
        <v>418</v>
      </c>
      <c r="K13" s="93">
        <v>541.49</v>
      </c>
      <c r="L13" s="281">
        <v>150</v>
      </c>
      <c r="M13" s="92">
        <f t="shared" si="0"/>
        <v>22.35</v>
      </c>
      <c r="N13" s="280">
        <f t="shared" si="4"/>
        <v>105.3</v>
      </c>
      <c r="O13" s="232" t="str">
        <f>IF(N13&gt;=0,"No","Yes")</f>
        <v>No</v>
      </c>
      <c r="P13" s="205"/>
      <c r="Q13" s="105"/>
      <c r="T13" s="60" t="s">
        <v>93</v>
      </c>
      <c r="U13" s="352">
        <v>0</v>
      </c>
      <c r="V13" s="350">
        <v>2</v>
      </c>
      <c r="W13" s="352">
        <v>4</v>
      </c>
      <c r="X13" s="352">
        <v>0</v>
      </c>
      <c r="Y13" s="352">
        <v>0</v>
      </c>
      <c r="Z13" s="60">
        <f t="shared" si="5"/>
        <v>6</v>
      </c>
      <c r="AA13" s="343"/>
      <c r="AB13" s="459"/>
      <c r="AC13" s="459"/>
      <c r="AD13" s="5"/>
      <c r="AE13" s="459"/>
      <c r="AF13" s="459"/>
      <c r="AG13" s="341"/>
      <c r="AH13" s="459"/>
    </row>
    <row r="14" spans="1:34" ht="13.5" thickBot="1" x14ac:dyDescent="0.25">
      <c r="A14" s="257" t="s">
        <v>426</v>
      </c>
      <c r="B14" s="87" t="s">
        <v>351</v>
      </c>
      <c r="C14" s="157"/>
      <c r="D14" s="85"/>
      <c r="E14" s="85"/>
      <c r="F14" s="85"/>
      <c r="G14" s="179">
        <v>2</v>
      </c>
      <c r="H14" s="179">
        <f t="shared" si="2"/>
        <v>0</v>
      </c>
      <c r="I14" s="84"/>
      <c r="J14" s="83"/>
      <c r="K14" s="83"/>
      <c r="L14" s="83"/>
      <c r="M14" s="82"/>
      <c r="N14" s="81"/>
      <c r="O14" s="83"/>
      <c r="P14" s="231"/>
      <c r="Q14" s="256"/>
      <c r="T14" s="60" t="s">
        <v>94</v>
      </c>
      <c r="U14" s="352">
        <v>2</v>
      </c>
      <c r="V14" s="350">
        <v>5</v>
      </c>
      <c r="W14" s="352">
        <v>2</v>
      </c>
      <c r="X14" s="352">
        <v>0</v>
      </c>
      <c r="Y14" s="352">
        <v>0</v>
      </c>
      <c r="Z14" s="60">
        <f t="shared" si="5"/>
        <v>9</v>
      </c>
      <c r="AA14" s="18"/>
      <c r="AB14" s="18"/>
      <c r="AC14" s="459"/>
      <c r="AD14" s="5"/>
      <c r="AE14" s="459"/>
      <c r="AF14" s="459"/>
      <c r="AG14" s="5"/>
      <c r="AH14" s="459"/>
    </row>
    <row r="15" spans="1:34" ht="13.5" thickBot="1" x14ac:dyDescent="0.25">
      <c r="A15" s="462" t="s">
        <v>49</v>
      </c>
      <c r="B15" s="87" t="s">
        <v>425</v>
      </c>
      <c r="C15" s="86" t="s">
        <v>47</v>
      </c>
      <c r="D15" s="85">
        <v>341.36500000000001</v>
      </c>
      <c r="E15" s="85">
        <v>1000</v>
      </c>
      <c r="F15" s="85">
        <v>414.50749999999999</v>
      </c>
      <c r="G15" s="179">
        <v>2</v>
      </c>
      <c r="H15" s="179">
        <f t="shared" si="2"/>
        <v>829.01499999999999</v>
      </c>
      <c r="I15" s="84">
        <f>E15-H15</f>
        <v>170.98500000000001</v>
      </c>
      <c r="J15" s="83" t="s">
        <v>424</v>
      </c>
      <c r="K15" s="83">
        <v>527.53499999999997</v>
      </c>
      <c r="L15" s="83">
        <v>1000</v>
      </c>
      <c r="M15" s="82">
        <f t="shared" ref="M15:M24" si="6">F15</f>
        <v>414.50749999999999</v>
      </c>
      <c r="N15" s="199">
        <f>L15-H15</f>
        <v>170.98500000000001</v>
      </c>
      <c r="O15" s="82" t="str">
        <f t="shared" ref="O15:O24" si="7">IF(N15&gt;=0,"No","Yes")</f>
        <v>No</v>
      </c>
      <c r="P15" s="60"/>
      <c r="Q15" s="88"/>
      <c r="T15" s="358" t="s">
        <v>508</v>
      </c>
      <c r="U15" s="359">
        <v>2</v>
      </c>
      <c r="V15" s="359">
        <v>1</v>
      </c>
      <c r="W15" s="359">
        <v>0</v>
      </c>
      <c r="X15" s="359">
        <v>0</v>
      </c>
      <c r="Y15" s="359">
        <v>0</v>
      </c>
      <c r="Z15" s="358">
        <f t="shared" si="5"/>
        <v>3</v>
      </c>
      <c r="AA15" s="343"/>
      <c r="AB15" s="491" t="s">
        <v>605</v>
      </c>
      <c r="AC15" s="492"/>
      <c r="AD15" s="492"/>
      <c r="AE15" s="492"/>
      <c r="AF15" s="492"/>
      <c r="AG15" s="493"/>
      <c r="AH15" s="161"/>
    </row>
    <row r="16" spans="1:34" ht="13.5" thickBot="1" x14ac:dyDescent="0.25">
      <c r="A16" s="464"/>
      <c r="B16" s="97" t="s">
        <v>9</v>
      </c>
      <c r="C16" s="96" t="s">
        <v>423</v>
      </c>
      <c r="D16" s="110">
        <v>72.555000000000007</v>
      </c>
      <c r="E16" s="110">
        <v>600</v>
      </c>
      <c r="F16" s="110">
        <v>249.06020000000001</v>
      </c>
      <c r="G16" s="179">
        <v>2</v>
      </c>
      <c r="H16" s="179">
        <f t="shared" si="2"/>
        <v>498.12040000000002</v>
      </c>
      <c r="I16" s="84">
        <f t="shared" ref="I16:I24" si="8">E16-H16</f>
        <v>101.87959999999998</v>
      </c>
      <c r="J16" s="108" t="s">
        <v>422</v>
      </c>
      <c r="K16" s="108">
        <v>258.625</v>
      </c>
      <c r="L16" s="288">
        <v>500</v>
      </c>
      <c r="M16" s="107">
        <f t="shared" si="6"/>
        <v>249.06020000000001</v>
      </c>
      <c r="N16" s="199">
        <f t="shared" ref="N16:N24" si="9">L16-H16</f>
        <v>1.8795999999999822</v>
      </c>
      <c r="O16" s="82" t="str">
        <f t="shared" si="7"/>
        <v>No</v>
      </c>
      <c r="P16" s="60"/>
      <c r="Q16" s="98"/>
      <c r="T16" s="328" t="s">
        <v>537</v>
      </c>
      <c r="U16" s="360">
        <f t="shared" ref="U16:Z16" si="10">SUM(U4:U15)</f>
        <v>21</v>
      </c>
      <c r="V16" s="360">
        <f t="shared" si="10"/>
        <v>20</v>
      </c>
      <c r="W16" s="360">
        <f t="shared" si="10"/>
        <v>23</v>
      </c>
      <c r="X16" s="360">
        <f t="shared" si="10"/>
        <v>0</v>
      </c>
      <c r="Y16" s="360">
        <f t="shared" si="10"/>
        <v>0</v>
      </c>
      <c r="Z16" s="361">
        <f t="shared" si="10"/>
        <v>64</v>
      </c>
      <c r="AA16" s="343"/>
      <c r="AB16" s="346" t="s">
        <v>528</v>
      </c>
      <c r="AC16" s="348" t="s">
        <v>529</v>
      </c>
      <c r="AD16" s="348" t="s">
        <v>530</v>
      </c>
      <c r="AE16" s="348" t="s">
        <v>531</v>
      </c>
      <c r="AF16" s="348" t="s">
        <v>532</v>
      </c>
      <c r="AG16" s="349" t="s">
        <v>582</v>
      </c>
      <c r="AH16" s="328" t="s">
        <v>417</v>
      </c>
    </row>
    <row r="17" spans="1:34" ht="13.5" thickBot="1" x14ac:dyDescent="0.25">
      <c r="A17" s="464"/>
      <c r="B17" s="97" t="s">
        <v>10</v>
      </c>
      <c r="C17" s="96" t="s">
        <v>386</v>
      </c>
      <c r="D17" s="110">
        <v>894.93</v>
      </c>
      <c r="E17" s="110">
        <v>450</v>
      </c>
      <c r="F17" s="110">
        <v>185.4342</v>
      </c>
      <c r="G17" s="179">
        <v>2</v>
      </c>
      <c r="H17" s="179">
        <f t="shared" si="2"/>
        <v>370.86840000000001</v>
      </c>
      <c r="I17" s="84">
        <f t="shared" si="8"/>
        <v>79.131599999999992</v>
      </c>
      <c r="J17" s="108" t="s">
        <v>385</v>
      </c>
      <c r="K17" s="108">
        <v>975.03499999999997</v>
      </c>
      <c r="L17" s="108">
        <v>450</v>
      </c>
      <c r="M17" s="107">
        <f t="shared" si="6"/>
        <v>185.4342</v>
      </c>
      <c r="N17" s="199">
        <f t="shared" si="9"/>
        <v>79.131599999999992</v>
      </c>
      <c r="O17" s="82" t="str">
        <f t="shared" si="7"/>
        <v>No</v>
      </c>
      <c r="P17" s="60"/>
      <c r="Q17" s="98"/>
      <c r="T17" s="328" t="s">
        <v>536</v>
      </c>
      <c r="U17" s="362">
        <f>PRODUCT(U16*AD7)</f>
        <v>315</v>
      </c>
      <c r="V17" s="452">
        <f>PRODUCT(V16*AD8)</f>
        <v>327.37799999999999</v>
      </c>
      <c r="W17" s="452">
        <f>PRODUCT(W16*AD9)</f>
        <v>385.17410000000001</v>
      </c>
      <c r="X17" s="452">
        <f>PRODUCT(X16*AD10)</f>
        <v>0</v>
      </c>
      <c r="Y17" s="452">
        <f>PRODUCT(Y16*AD11)</f>
        <v>0</v>
      </c>
      <c r="Z17" s="453">
        <f>SUM(U17:Y17)</f>
        <v>1027.5520999999999</v>
      </c>
      <c r="AA17" s="343"/>
      <c r="AB17" s="60" t="s">
        <v>84</v>
      </c>
      <c r="AC17" s="352">
        <f>U4+U24</f>
        <v>1</v>
      </c>
      <c r="AD17" s="352">
        <f t="shared" ref="AD17:AG28" si="11">V4+V24</f>
        <v>10</v>
      </c>
      <c r="AE17" s="352">
        <f t="shared" si="11"/>
        <v>3</v>
      </c>
      <c r="AF17" s="352">
        <f t="shared" si="11"/>
        <v>2</v>
      </c>
      <c r="AG17" s="352">
        <f t="shared" si="11"/>
        <v>0</v>
      </c>
      <c r="AH17" s="353">
        <f>SUM(AC17:AG17)</f>
        <v>16</v>
      </c>
    </row>
    <row r="18" spans="1:34" ht="13.5" thickBot="1" x14ac:dyDescent="0.25">
      <c r="A18" s="464"/>
      <c r="B18" s="97" t="s">
        <v>11</v>
      </c>
      <c r="C18" s="96" t="s">
        <v>378</v>
      </c>
      <c r="D18" s="110">
        <v>839.23</v>
      </c>
      <c r="E18" s="110">
        <v>600</v>
      </c>
      <c r="F18" s="110">
        <v>213.84829999999999</v>
      </c>
      <c r="G18" s="179">
        <v>2</v>
      </c>
      <c r="H18" s="179">
        <f t="shared" si="2"/>
        <v>427.69659999999999</v>
      </c>
      <c r="I18" s="84">
        <f t="shared" si="8"/>
        <v>172.30340000000001</v>
      </c>
      <c r="J18" s="108" t="s">
        <v>421</v>
      </c>
      <c r="K18" s="108">
        <v>1025.3</v>
      </c>
      <c r="L18" s="108">
        <v>600</v>
      </c>
      <c r="M18" s="107">
        <f t="shared" si="6"/>
        <v>213.84829999999999</v>
      </c>
      <c r="N18" s="199">
        <f t="shared" si="9"/>
        <v>172.30340000000001</v>
      </c>
      <c r="O18" s="82" t="str">
        <f t="shared" si="7"/>
        <v>No</v>
      </c>
      <c r="P18" s="60"/>
      <c r="Q18" s="88"/>
      <c r="T18" s="328" t="s">
        <v>535</v>
      </c>
      <c r="U18" s="362">
        <f>U16*AC7</f>
        <v>2100</v>
      </c>
      <c r="V18" s="362">
        <f>V16*AC8</f>
        <v>3000</v>
      </c>
      <c r="W18" s="362">
        <f>W16*AC9</f>
        <v>4600</v>
      </c>
      <c r="X18" s="362">
        <f>X16*AC10</f>
        <v>0</v>
      </c>
      <c r="Y18" s="362">
        <f>Y16*AC11</f>
        <v>0</v>
      </c>
      <c r="Z18" s="328">
        <f>SUM(U18:Y18)</f>
        <v>9700</v>
      </c>
      <c r="AA18" s="343"/>
      <c r="AB18" s="60" t="s">
        <v>85</v>
      </c>
      <c r="AC18" s="352">
        <f t="shared" ref="AC18:AC28" si="12">U5+U25</f>
        <v>3</v>
      </c>
      <c r="AD18" s="352">
        <f t="shared" si="11"/>
        <v>16</v>
      </c>
      <c r="AE18" s="352">
        <f t="shared" si="11"/>
        <v>8</v>
      </c>
      <c r="AF18" s="352">
        <f t="shared" si="11"/>
        <v>0</v>
      </c>
      <c r="AG18" s="352">
        <f t="shared" si="11"/>
        <v>5</v>
      </c>
      <c r="AH18" s="60">
        <f t="shared" ref="AH18:AH28" si="13">SUM(AC18:AG18)</f>
        <v>32</v>
      </c>
    </row>
    <row r="19" spans="1:34" ht="13.5" thickBot="1" x14ac:dyDescent="0.25">
      <c r="A19" s="464"/>
      <c r="B19" s="97" t="s">
        <v>12</v>
      </c>
      <c r="C19" s="96" t="s">
        <v>52</v>
      </c>
      <c r="D19" s="110">
        <v>428.91</v>
      </c>
      <c r="E19" s="110">
        <f>E12</f>
        <v>800</v>
      </c>
      <c r="F19" s="110">
        <v>320.7817</v>
      </c>
      <c r="G19" s="179">
        <v>2</v>
      </c>
      <c r="H19" s="179">
        <f t="shared" si="2"/>
        <v>641.5634</v>
      </c>
      <c r="I19" s="84">
        <f t="shared" si="8"/>
        <v>158.4366</v>
      </c>
      <c r="J19" s="108" t="s">
        <v>420</v>
      </c>
      <c r="K19" s="108">
        <v>440.09</v>
      </c>
      <c r="L19" s="108">
        <v>800</v>
      </c>
      <c r="M19" s="107">
        <f t="shared" si="6"/>
        <v>320.7817</v>
      </c>
      <c r="N19" s="199">
        <f t="shared" si="9"/>
        <v>158.4366</v>
      </c>
      <c r="O19" s="82" t="str">
        <f t="shared" si="7"/>
        <v>No</v>
      </c>
      <c r="P19" s="60"/>
      <c r="Q19" s="88"/>
      <c r="AB19" s="60" t="s">
        <v>86</v>
      </c>
      <c r="AC19" s="352">
        <f t="shared" si="12"/>
        <v>1</v>
      </c>
      <c r="AD19" s="352">
        <f t="shared" si="11"/>
        <v>1</v>
      </c>
      <c r="AE19" s="352">
        <f t="shared" si="11"/>
        <v>6</v>
      </c>
      <c r="AF19" s="352">
        <f t="shared" si="11"/>
        <v>0</v>
      </c>
      <c r="AG19" s="352">
        <f t="shared" si="11"/>
        <v>3</v>
      </c>
      <c r="AH19" s="60">
        <f t="shared" si="13"/>
        <v>11</v>
      </c>
    </row>
    <row r="20" spans="1:34" ht="13.5" thickBot="1" x14ac:dyDescent="0.25">
      <c r="A20" s="464"/>
      <c r="B20" s="97" t="s">
        <v>419</v>
      </c>
      <c r="C20" s="96" t="s">
        <v>411</v>
      </c>
      <c r="D20" s="95">
        <v>530.30999999999995</v>
      </c>
      <c r="E20" s="95">
        <f>E13</f>
        <v>200</v>
      </c>
      <c r="F20" s="95">
        <v>22.35</v>
      </c>
      <c r="G20" s="179">
        <v>2</v>
      </c>
      <c r="H20" s="179">
        <f t="shared" si="2"/>
        <v>44.7</v>
      </c>
      <c r="I20" s="84">
        <f t="shared" si="8"/>
        <v>155.30000000000001</v>
      </c>
      <c r="J20" s="93" t="s">
        <v>418</v>
      </c>
      <c r="K20" s="93">
        <v>541.49</v>
      </c>
      <c r="L20" s="281">
        <v>150</v>
      </c>
      <c r="M20" s="92">
        <f t="shared" si="6"/>
        <v>22.35</v>
      </c>
      <c r="N20" s="199">
        <f t="shared" si="9"/>
        <v>105.3</v>
      </c>
      <c r="O20" s="82" t="str">
        <f t="shared" si="7"/>
        <v>No</v>
      </c>
      <c r="P20" s="60"/>
      <c r="Q20" s="98"/>
      <c r="AB20" s="60" t="s">
        <v>87</v>
      </c>
      <c r="AC20" s="352">
        <f t="shared" si="12"/>
        <v>2</v>
      </c>
      <c r="AD20" s="352">
        <f t="shared" si="11"/>
        <v>25</v>
      </c>
      <c r="AE20" s="352">
        <f t="shared" si="11"/>
        <v>39</v>
      </c>
      <c r="AF20" s="352">
        <f t="shared" si="11"/>
        <v>20</v>
      </c>
      <c r="AG20" s="352">
        <f t="shared" si="11"/>
        <v>0</v>
      </c>
      <c r="AH20" s="60">
        <f t="shared" si="13"/>
        <v>86</v>
      </c>
    </row>
    <row r="21" spans="1:34" ht="13.5" thickBot="1" x14ac:dyDescent="0.25">
      <c r="A21" s="462" t="s">
        <v>413</v>
      </c>
      <c r="B21" s="87" t="s">
        <v>7</v>
      </c>
      <c r="C21" s="86" t="s">
        <v>48</v>
      </c>
      <c r="D21" s="85">
        <v>457.755</v>
      </c>
      <c r="E21" s="85">
        <f>E10</f>
        <v>600</v>
      </c>
      <c r="F21" s="85">
        <v>200.1122</v>
      </c>
      <c r="G21" s="179">
        <v>2</v>
      </c>
      <c r="H21" s="179">
        <f t="shared" si="2"/>
        <v>400.2244</v>
      </c>
      <c r="I21" s="84">
        <f t="shared" si="8"/>
        <v>199.7756</v>
      </c>
      <c r="J21" s="83" t="s">
        <v>416</v>
      </c>
      <c r="K21" s="83">
        <v>733.18499999999995</v>
      </c>
      <c r="L21" s="289">
        <v>450</v>
      </c>
      <c r="M21" s="82">
        <f t="shared" si="6"/>
        <v>200.1122</v>
      </c>
      <c r="N21" s="199">
        <f t="shared" si="9"/>
        <v>49.775599999999997</v>
      </c>
      <c r="O21" s="197" t="str">
        <f t="shared" si="7"/>
        <v>No</v>
      </c>
      <c r="P21" s="207"/>
      <c r="Q21" s="106"/>
      <c r="AB21" s="60" t="s">
        <v>88</v>
      </c>
      <c r="AC21" s="352">
        <f t="shared" si="12"/>
        <v>3</v>
      </c>
      <c r="AD21" s="352">
        <f t="shared" si="11"/>
        <v>1</v>
      </c>
      <c r="AE21" s="352">
        <f t="shared" si="11"/>
        <v>23</v>
      </c>
      <c r="AF21" s="352">
        <f t="shared" si="11"/>
        <v>1</v>
      </c>
      <c r="AG21" s="352">
        <f t="shared" si="11"/>
        <v>0</v>
      </c>
      <c r="AH21" s="60">
        <f t="shared" si="13"/>
        <v>28</v>
      </c>
    </row>
    <row r="22" spans="1:34" ht="13.5" thickBot="1" x14ac:dyDescent="0.25">
      <c r="A22" s="464"/>
      <c r="B22" s="97" t="s">
        <v>415</v>
      </c>
      <c r="C22" s="96" t="s">
        <v>74</v>
      </c>
      <c r="D22" s="110">
        <v>632.29</v>
      </c>
      <c r="E22" s="110">
        <f>E11</f>
        <v>1050</v>
      </c>
      <c r="F22" s="110">
        <v>416.14780000000002</v>
      </c>
      <c r="G22" s="179">
        <v>2</v>
      </c>
      <c r="H22" s="179">
        <f t="shared" si="2"/>
        <v>832.29560000000004</v>
      </c>
      <c r="I22" s="84">
        <f t="shared" si="8"/>
        <v>217.70439999999996</v>
      </c>
      <c r="J22" s="108" t="s">
        <v>361</v>
      </c>
      <c r="K22" s="108">
        <v>692.19500000000005</v>
      </c>
      <c r="L22" s="108">
        <v>1050</v>
      </c>
      <c r="M22" s="107">
        <f t="shared" si="6"/>
        <v>416.14780000000002</v>
      </c>
      <c r="N22" s="199">
        <f t="shared" si="9"/>
        <v>217.70439999999996</v>
      </c>
      <c r="O22" s="82" t="str">
        <f t="shared" si="7"/>
        <v>No</v>
      </c>
      <c r="P22" s="206"/>
      <c r="Q22" s="203"/>
      <c r="T22" s="491" t="s">
        <v>604</v>
      </c>
      <c r="U22" s="492"/>
      <c r="V22" s="492"/>
      <c r="W22" s="492"/>
      <c r="X22" s="492"/>
      <c r="Y22" s="493"/>
      <c r="Z22" s="161"/>
      <c r="AB22" s="60" t="s">
        <v>89</v>
      </c>
      <c r="AC22" s="352">
        <f t="shared" si="12"/>
        <v>2</v>
      </c>
      <c r="AD22" s="352">
        <f t="shared" si="11"/>
        <v>16</v>
      </c>
      <c r="AE22" s="352">
        <f t="shared" si="11"/>
        <v>1</v>
      </c>
      <c r="AF22" s="352">
        <f t="shared" si="11"/>
        <v>1</v>
      </c>
      <c r="AG22" s="352">
        <f t="shared" si="11"/>
        <v>0</v>
      </c>
      <c r="AH22" s="60">
        <f t="shared" si="13"/>
        <v>20</v>
      </c>
    </row>
    <row r="23" spans="1:34" ht="13.5" thickBot="1" x14ac:dyDescent="0.25">
      <c r="A23" s="464"/>
      <c r="B23" s="97" t="s">
        <v>414</v>
      </c>
      <c r="C23" s="96" t="s">
        <v>413</v>
      </c>
      <c r="D23" s="110">
        <v>370.31</v>
      </c>
      <c r="E23" s="110">
        <v>200</v>
      </c>
      <c r="F23" s="110">
        <v>24.103000000000002</v>
      </c>
      <c r="G23" s="179">
        <v>2</v>
      </c>
      <c r="H23" s="179">
        <f t="shared" si="2"/>
        <v>48.206000000000003</v>
      </c>
      <c r="I23" s="84">
        <f t="shared" si="8"/>
        <v>151.79399999999998</v>
      </c>
      <c r="J23" s="108" t="s">
        <v>412</v>
      </c>
      <c r="K23" s="108">
        <v>820.63</v>
      </c>
      <c r="L23" s="288">
        <v>150</v>
      </c>
      <c r="M23" s="107">
        <f t="shared" si="6"/>
        <v>24.103000000000002</v>
      </c>
      <c r="N23" s="199">
        <f t="shared" si="9"/>
        <v>101.794</v>
      </c>
      <c r="O23" s="82" t="str">
        <f t="shared" si="7"/>
        <v>No</v>
      </c>
      <c r="P23" s="206"/>
      <c r="Q23" s="203"/>
      <c r="T23" s="346" t="s">
        <v>528</v>
      </c>
      <c r="U23" s="348" t="s">
        <v>529</v>
      </c>
      <c r="V23" s="348" t="s">
        <v>530</v>
      </c>
      <c r="W23" s="348" t="s">
        <v>531</v>
      </c>
      <c r="X23" s="348" t="s">
        <v>532</v>
      </c>
      <c r="Y23" s="349" t="s">
        <v>582</v>
      </c>
      <c r="Z23" s="328" t="s">
        <v>417</v>
      </c>
      <c r="AB23" s="60" t="s">
        <v>90</v>
      </c>
      <c r="AC23" s="352">
        <f t="shared" si="12"/>
        <v>1</v>
      </c>
      <c r="AD23" s="352">
        <f t="shared" si="11"/>
        <v>0</v>
      </c>
      <c r="AE23" s="352">
        <f t="shared" si="11"/>
        <v>2</v>
      </c>
      <c r="AF23" s="352">
        <f t="shared" si="11"/>
        <v>3</v>
      </c>
      <c r="AG23" s="352">
        <f t="shared" si="11"/>
        <v>2</v>
      </c>
      <c r="AH23" s="60">
        <f t="shared" si="13"/>
        <v>8</v>
      </c>
    </row>
    <row r="24" spans="1:34" ht="13.5" thickBot="1" x14ac:dyDescent="0.25">
      <c r="A24" s="464"/>
      <c r="B24" s="97" t="s">
        <v>396</v>
      </c>
      <c r="C24" s="96" t="s">
        <v>411</v>
      </c>
      <c r="D24" s="95">
        <v>530.30999999999995</v>
      </c>
      <c r="E24" s="95">
        <f>E13</f>
        <v>200</v>
      </c>
      <c r="F24" s="95">
        <v>22.35</v>
      </c>
      <c r="G24" s="179">
        <v>2</v>
      </c>
      <c r="H24" s="179">
        <f t="shared" si="2"/>
        <v>44.7</v>
      </c>
      <c r="I24" s="84">
        <f t="shared" si="8"/>
        <v>155.30000000000001</v>
      </c>
      <c r="J24" s="93" t="s">
        <v>410</v>
      </c>
      <c r="K24" s="93">
        <v>660.63</v>
      </c>
      <c r="L24" s="281">
        <v>150</v>
      </c>
      <c r="M24" s="92">
        <f t="shared" si="6"/>
        <v>22.35</v>
      </c>
      <c r="N24" s="199">
        <f t="shared" si="9"/>
        <v>105.3</v>
      </c>
      <c r="O24" s="82" t="str">
        <f t="shared" si="7"/>
        <v>No</v>
      </c>
      <c r="P24" s="205"/>
      <c r="Q24" s="105"/>
      <c r="T24" s="60" t="s">
        <v>84</v>
      </c>
      <c r="U24" s="352">
        <v>0</v>
      </c>
      <c r="V24" s="352">
        <f>10</f>
        <v>10</v>
      </c>
      <c r="W24" s="450">
        <f>2+1</f>
        <v>3</v>
      </c>
      <c r="X24" s="450">
        <f>2</f>
        <v>2</v>
      </c>
      <c r="Y24" s="352">
        <v>0</v>
      </c>
      <c r="Z24" s="353">
        <f>SUM(U24:Y24)</f>
        <v>15</v>
      </c>
      <c r="AB24" s="60" t="s">
        <v>91</v>
      </c>
      <c r="AC24" s="352">
        <f t="shared" si="12"/>
        <v>2</v>
      </c>
      <c r="AD24" s="352">
        <f t="shared" si="11"/>
        <v>26</v>
      </c>
      <c r="AE24" s="352">
        <f t="shared" si="11"/>
        <v>5</v>
      </c>
      <c r="AF24" s="352">
        <f t="shared" si="11"/>
        <v>2</v>
      </c>
      <c r="AG24" s="352">
        <f t="shared" si="11"/>
        <v>0</v>
      </c>
      <c r="AH24" s="60">
        <f t="shared" si="13"/>
        <v>35</v>
      </c>
    </row>
    <row r="25" spans="1:34" ht="13.5" thickBot="1" x14ac:dyDescent="0.25">
      <c r="A25" s="158" t="s">
        <v>409</v>
      </c>
      <c r="B25" s="87" t="s">
        <v>408</v>
      </c>
      <c r="C25" s="157"/>
      <c r="D25" s="85"/>
      <c r="E25" s="85"/>
      <c r="F25" s="85"/>
      <c r="G25" s="179">
        <v>2</v>
      </c>
      <c r="H25" s="179">
        <f t="shared" si="2"/>
        <v>0</v>
      </c>
      <c r="I25" s="84"/>
      <c r="J25" s="83"/>
      <c r="K25" s="83"/>
      <c r="L25" s="83"/>
      <c r="M25" s="82"/>
      <c r="N25" s="81"/>
      <c r="O25" s="82"/>
      <c r="P25" s="202"/>
      <c r="Q25" s="229"/>
      <c r="T25" s="60" t="s">
        <v>85</v>
      </c>
      <c r="U25" s="352">
        <v>0</v>
      </c>
      <c r="V25" s="352">
        <f>7+3+4</f>
        <v>14</v>
      </c>
      <c r="W25" s="352">
        <f>5+3</f>
        <v>8</v>
      </c>
      <c r="X25" s="352">
        <v>0</v>
      </c>
      <c r="Y25" s="352">
        <f>3+2</f>
        <v>5</v>
      </c>
      <c r="Z25" s="60">
        <f t="shared" ref="Z25:Z35" si="14">SUM(U25:Y25)</f>
        <v>27</v>
      </c>
      <c r="AB25" s="60" t="s">
        <v>92</v>
      </c>
      <c r="AC25" s="352">
        <f t="shared" si="12"/>
        <v>2</v>
      </c>
      <c r="AD25" s="352">
        <f t="shared" si="11"/>
        <v>8</v>
      </c>
      <c r="AE25" s="352">
        <f t="shared" si="11"/>
        <v>17</v>
      </c>
      <c r="AF25" s="352">
        <f t="shared" si="11"/>
        <v>0</v>
      </c>
      <c r="AG25" s="352">
        <f t="shared" si="11"/>
        <v>0</v>
      </c>
      <c r="AH25" s="60">
        <f t="shared" si="13"/>
        <v>27</v>
      </c>
    </row>
    <row r="26" spans="1:34" ht="13.5" thickBot="1" x14ac:dyDescent="0.25">
      <c r="A26" s="480" t="s">
        <v>407</v>
      </c>
      <c r="B26" s="155" t="s">
        <v>14</v>
      </c>
      <c r="C26" s="86" t="s">
        <v>406</v>
      </c>
      <c r="D26" s="85">
        <v>391.72</v>
      </c>
      <c r="E26" s="84">
        <v>1600</v>
      </c>
      <c r="F26" s="85">
        <v>664.51419999999996</v>
      </c>
      <c r="G26" s="179">
        <v>2</v>
      </c>
      <c r="H26" s="179">
        <f t="shared" si="2"/>
        <v>1329.0283999999999</v>
      </c>
      <c r="I26" s="84">
        <f>E26-H26</f>
        <v>270.97160000000008</v>
      </c>
      <c r="J26" s="83" t="s">
        <v>405</v>
      </c>
      <c r="K26" s="83">
        <v>799.22</v>
      </c>
      <c r="L26" s="289">
        <v>1200</v>
      </c>
      <c r="M26" s="82">
        <f t="shared" ref="M26:M56" si="15">F26</f>
        <v>664.51419999999996</v>
      </c>
      <c r="N26" s="81">
        <f>L26-H26</f>
        <v>-129.02839999999992</v>
      </c>
      <c r="O26" s="214" t="str">
        <f t="shared" ref="O26:O56" si="16">IF(N26&gt;=0,"No","Yes")</f>
        <v>Yes</v>
      </c>
      <c r="P26" s="228" t="s">
        <v>509</v>
      </c>
      <c r="Q26" s="258" t="s">
        <v>510</v>
      </c>
      <c r="T26" s="60" t="s">
        <v>86</v>
      </c>
      <c r="U26" s="352">
        <v>0</v>
      </c>
      <c r="V26" s="352">
        <v>0</v>
      </c>
      <c r="W26" s="350">
        <f>4+1</f>
        <v>5</v>
      </c>
      <c r="X26" s="352">
        <v>0</v>
      </c>
      <c r="Y26" s="352">
        <f>3</f>
        <v>3</v>
      </c>
      <c r="Z26" s="60">
        <f t="shared" si="14"/>
        <v>8</v>
      </c>
      <c r="AB26" s="60" t="s">
        <v>93</v>
      </c>
      <c r="AC26" s="352">
        <f t="shared" si="12"/>
        <v>0</v>
      </c>
      <c r="AD26" s="352">
        <f t="shared" si="11"/>
        <v>2</v>
      </c>
      <c r="AE26" s="352">
        <f t="shared" si="11"/>
        <v>7</v>
      </c>
      <c r="AF26" s="352">
        <f t="shared" si="11"/>
        <v>8</v>
      </c>
      <c r="AG26" s="352">
        <f t="shared" si="11"/>
        <v>0</v>
      </c>
      <c r="AH26" s="60">
        <f t="shared" si="13"/>
        <v>17</v>
      </c>
    </row>
    <row r="27" spans="1:34" ht="13.5" thickBot="1" x14ac:dyDescent="0.25">
      <c r="A27" s="481"/>
      <c r="B27" s="76" t="s">
        <v>360</v>
      </c>
      <c r="C27" s="75" t="s">
        <v>55</v>
      </c>
      <c r="D27" s="152">
        <v>566.26</v>
      </c>
      <c r="E27" s="152">
        <v>1050</v>
      </c>
      <c r="F27" s="152">
        <v>424.66829999999999</v>
      </c>
      <c r="G27" s="179">
        <v>2</v>
      </c>
      <c r="H27" s="179">
        <f t="shared" si="2"/>
        <v>849.33659999999998</v>
      </c>
      <c r="I27" s="84">
        <f t="shared" ref="I27:I56" si="17">E27-H27</f>
        <v>200.66340000000002</v>
      </c>
      <c r="J27" s="150" t="s">
        <v>404</v>
      </c>
      <c r="K27" s="150">
        <v>973.76</v>
      </c>
      <c r="L27" s="150">
        <v>1050</v>
      </c>
      <c r="M27" s="71">
        <f t="shared" si="15"/>
        <v>424.66829999999999</v>
      </c>
      <c r="N27" s="81">
        <f t="shared" ref="N27:N56" si="18">L27-H27</f>
        <v>200.66340000000002</v>
      </c>
      <c r="O27" s="197" t="str">
        <f t="shared" si="16"/>
        <v>No</v>
      </c>
      <c r="P27" s="226" t="s">
        <v>511</v>
      </c>
      <c r="Q27" s="259" t="s">
        <v>512</v>
      </c>
      <c r="T27" s="60" t="s">
        <v>87</v>
      </c>
      <c r="U27" s="352">
        <v>0</v>
      </c>
      <c r="V27" s="451">
        <f>10+7+8</f>
        <v>25</v>
      </c>
      <c r="W27" s="352">
        <f>5+4+8+14+3</f>
        <v>34</v>
      </c>
      <c r="X27" s="352">
        <f>3+8+9</f>
        <v>20</v>
      </c>
      <c r="Y27" s="352">
        <v>0</v>
      </c>
      <c r="Z27" s="60">
        <f t="shared" si="14"/>
        <v>79</v>
      </c>
      <c r="AB27" s="60" t="s">
        <v>94</v>
      </c>
      <c r="AC27" s="352">
        <f t="shared" si="12"/>
        <v>2</v>
      </c>
      <c r="AD27" s="352">
        <f t="shared" si="11"/>
        <v>7</v>
      </c>
      <c r="AE27" s="352">
        <f t="shared" si="11"/>
        <v>5</v>
      </c>
      <c r="AF27" s="352">
        <f t="shared" si="11"/>
        <v>9</v>
      </c>
      <c r="AG27" s="352">
        <f t="shared" si="11"/>
        <v>0</v>
      </c>
      <c r="AH27" s="60">
        <f t="shared" si="13"/>
        <v>23</v>
      </c>
    </row>
    <row r="28" spans="1:34" ht="13.5" thickBot="1" x14ac:dyDescent="0.25">
      <c r="A28" s="464" t="s">
        <v>403</v>
      </c>
      <c r="B28" s="63" t="s">
        <v>6</v>
      </c>
      <c r="C28" s="116" t="s">
        <v>47</v>
      </c>
      <c r="D28" s="95">
        <v>341.46499999999997</v>
      </c>
      <c r="E28" s="94">
        <f>E15</f>
        <v>1000</v>
      </c>
      <c r="F28" s="95">
        <v>414.50749999999999</v>
      </c>
      <c r="G28" s="179">
        <v>2</v>
      </c>
      <c r="H28" s="179">
        <f t="shared" si="2"/>
        <v>829.01499999999999</v>
      </c>
      <c r="I28" s="84">
        <f t="shared" si="17"/>
        <v>170.98500000000001</v>
      </c>
      <c r="J28" s="93" t="s">
        <v>402</v>
      </c>
      <c r="K28" s="93">
        <v>849.47500000000002</v>
      </c>
      <c r="L28" s="281">
        <v>750</v>
      </c>
      <c r="M28" s="92">
        <f t="shared" si="15"/>
        <v>414.50749999999999</v>
      </c>
      <c r="N28" s="81">
        <f t="shared" si="18"/>
        <v>-79.014999999999986</v>
      </c>
      <c r="O28" s="197" t="str">
        <f t="shared" si="16"/>
        <v>Yes</v>
      </c>
      <c r="P28" s="224" t="s">
        <v>8</v>
      </c>
      <c r="Q28" s="223">
        <v>9.5</v>
      </c>
      <c r="T28" s="60" t="s">
        <v>88</v>
      </c>
      <c r="U28" s="352">
        <v>0</v>
      </c>
      <c r="V28" s="352">
        <v>0</v>
      </c>
      <c r="W28" s="352">
        <f>2+3+1+8+1+1</f>
        <v>16</v>
      </c>
      <c r="X28" s="352">
        <f>1</f>
        <v>1</v>
      </c>
      <c r="Y28" s="352">
        <v>0</v>
      </c>
      <c r="Z28" s="60">
        <f t="shared" si="14"/>
        <v>17</v>
      </c>
      <c r="AB28" s="358" t="s">
        <v>508</v>
      </c>
      <c r="AC28" s="352">
        <f t="shared" si="12"/>
        <v>2</v>
      </c>
      <c r="AD28" s="352">
        <f t="shared" si="11"/>
        <v>2</v>
      </c>
      <c r="AE28" s="352">
        <f t="shared" si="11"/>
        <v>3</v>
      </c>
      <c r="AF28" s="352">
        <f t="shared" si="11"/>
        <v>0</v>
      </c>
      <c r="AG28" s="352">
        <f t="shared" si="11"/>
        <v>0</v>
      </c>
      <c r="AH28" s="358">
        <f t="shared" si="13"/>
        <v>7</v>
      </c>
    </row>
    <row r="29" spans="1:34" ht="13.5" thickBot="1" x14ac:dyDescent="0.25">
      <c r="A29" s="464"/>
      <c r="B29" s="63" t="s">
        <v>401</v>
      </c>
      <c r="C29" s="116" t="s">
        <v>386</v>
      </c>
      <c r="D29" s="95">
        <v>894.93</v>
      </c>
      <c r="E29" s="94">
        <f>E17</f>
        <v>450</v>
      </c>
      <c r="F29" s="95">
        <v>185.4342</v>
      </c>
      <c r="G29" s="179">
        <v>2</v>
      </c>
      <c r="H29" s="179">
        <f t="shared" si="2"/>
        <v>370.86840000000001</v>
      </c>
      <c r="I29" s="84">
        <f t="shared" si="17"/>
        <v>79.131599999999992</v>
      </c>
      <c r="J29" s="93" t="s">
        <v>385</v>
      </c>
      <c r="K29" s="93">
        <v>975.03499999999997</v>
      </c>
      <c r="L29" s="93">
        <v>450</v>
      </c>
      <c r="M29" s="92">
        <f t="shared" si="15"/>
        <v>185.4342</v>
      </c>
      <c r="N29" s="81">
        <f t="shared" si="18"/>
        <v>79.131599999999992</v>
      </c>
      <c r="O29" s="197" t="str">
        <f t="shared" si="16"/>
        <v>No</v>
      </c>
      <c r="P29" s="224" t="s">
        <v>471</v>
      </c>
      <c r="Q29" s="223" t="s">
        <v>516</v>
      </c>
      <c r="T29" s="60" t="s">
        <v>89</v>
      </c>
      <c r="U29" s="352">
        <v>0</v>
      </c>
      <c r="V29" s="352">
        <f>7+7+2</f>
        <v>16</v>
      </c>
      <c r="W29" s="352">
        <f>1</f>
        <v>1</v>
      </c>
      <c r="X29" s="352">
        <f>1</f>
        <v>1</v>
      </c>
      <c r="Y29" s="352">
        <v>0</v>
      </c>
      <c r="Z29" s="60">
        <f t="shared" si="14"/>
        <v>18</v>
      </c>
      <c r="AB29" s="328" t="s">
        <v>537</v>
      </c>
      <c r="AC29" s="360">
        <f t="shared" ref="AC29:AH29" si="19">SUM(AC17:AC28)</f>
        <v>21</v>
      </c>
      <c r="AD29" s="360">
        <f t="shared" si="19"/>
        <v>114</v>
      </c>
      <c r="AE29" s="360">
        <f t="shared" si="19"/>
        <v>119</v>
      </c>
      <c r="AF29" s="360">
        <f t="shared" si="19"/>
        <v>46</v>
      </c>
      <c r="AG29" s="360">
        <f t="shared" si="19"/>
        <v>10</v>
      </c>
      <c r="AH29" s="361">
        <f t="shared" si="19"/>
        <v>310</v>
      </c>
    </row>
    <row r="30" spans="1:34" ht="13.5" thickBot="1" x14ac:dyDescent="0.25">
      <c r="A30" s="464"/>
      <c r="B30" s="97" t="s">
        <v>400</v>
      </c>
      <c r="C30" s="96" t="s">
        <v>378</v>
      </c>
      <c r="D30" s="110">
        <v>839.23</v>
      </c>
      <c r="E30" s="110">
        <f>E18</f>
        <v>600</v>
      </c>
      <c r="F30" s="110">
        <v>213.84829999999999</v>
      </c>
      <c r="G30" s="179">
        <v>2</v>
      </c>
      <c r="H30" s="179">
        <f t="shared" si="2"/>
        <v>427.69659999999999</v>
      </c>
      <c r="I30" s="84">
        <f t="shared" si="17"/>
        <v>172.30340000000001</v>
      </c>
      <c r="J30" s="108" t="s">
        <v>399</v>
      </c>
      <c r="K30" s="108">
        <v>1347.24</v>
      </c>
      <c r="L30" s="288">
        <v>400</v>
      </c>
      <c r="M30" s="107">
        <f t="shared" si="15"/>
        <v>213.84829999999999</v>
      </c>
      <c r="N30" s="81">
        <f t="shared" si="18"/>
        <v>-27.696599999999989</v>
      </c>
      <c r="O30" s="214" t="str">
        <f t="shared" si="16"/>
        <v>Yes</v>
      </c>
      <c r="P30" s="222" t="s">
        <v>514</v>
      </c>
      <c r="Q30" s="221" t="s">
        <v>515</v>
      </c>
      <c r="T30" s="60" t="s">
        <v>90</v>
      </c>
      <c r="U30" s="352">
        <v>0</v>
      </c>
      <c r="V30" s="350">
        <v>0</v>
      </c>
      <c r="W30" s="350">
        <f>1</f>
        <v>1</v>
      </c>
      <c r="X30" s="352">
        <f>3</f>
        <v>3</v>
      </c>
      <c r="Y30" s="352">
        <f>2</f>
        <v>2</v>
      </c>
      <c r="Z30" s="60">
        <f t="shared" si="14"/>
        <v>6</v>
      </c>
      <c r="AB30" s="328" t="s">
        <v>536</v>
      </c>
      <c r="AC30" s="362">
        <f>PRODUCT(AC29*AD7)</f>
        <v>315</v>
      </c>
      <c r="AD30" s="452">
        <f>PRODUCT(AD29*AD8)</f>
        <v>1866.0545999999999</v>
      </c>
      <c r="AE30" s="452">
        <f>PRODUCT(AE29*AD9)</f>
        <v>1992.8573000000001</v>
      </c>
      <c r="AF30" s="452">
        <f>PRODUCT(AF29*AD10)</f>
        <v>776.78360000000009</v>
      </c>
      <c r="AG30" s="452">
        <f>PRODUCT(AG29*AD11)</f>
        <v>170</v>
      </c>
      <c r="AH30" s="453">
        <f>SUM(AC30:AG30)</f>
        <v>5120.6954999999998</v>
      </c>
    </row>
    <row r="31" spans="1:34" ht="13.5" thickBot="1" x14ac:dyDescent="0.25">
      <c r="A31" s="464"/>
      <c r="B31" s="97" t="s">
        <v>398</v>
      </c>
      <c r="C31" s="96" t="s">
        <v>52</v>
      </c>
      <c r="D31" s="95">
        <v>428.91</v>
      </c>
      <c r="E31" s="94">
        <f>E12</f>
        <v>800</v>
      </c>
      <c r="F31" s="95">
        <v>320.7817</v>
      </c>
      <c r="G31" s="179">
        <v>2</v>
      </c>
      <c r="H31" s="179">
        <f t="shared" si="2"/>
        <v>641.5634</v>
      </c>
      <c r="I31" s="84">
        <f t="shared" si="17"/>
        <v>158.4366</v>
      </c>
      <c r="J31" s="93" t="s">
        <v>397</v>
      </c>
      <c r="K31" s="93">
        <v>762.03</v>
      </c>
      <c r="L31" s="281">
        <v>600</v>
      </c>
      <c r="M31" s="92">
        <f t="shared" si="15"/>
        <v>320.7817</v>
      </c>
      <c r="N31" s="81">
        <f t="shared" si="18"/>
        <v>-41.563400000000001</v>
      </c>
      <c r="O31" s="214" t="str">
        <f t="shared" si="16"/>
        <v>Yes</v>
      </c>
      <c r="P31" s="224" t="s">
        <v>517</v>
      </c>
      <c r="Q31" s="223" t="s">
        <v>518</v>
      </c>
      <c r="T31" s="60" t="s">
        <v>91</v>
      </c>
      <c r="U31" s="352">
        <v>0</v>
      </c>
      <c r="V31" s="350">
        <f>3+8+2+3+2+1</f>
        <v>19</v>
      </c>
      <c r="W31" s="352">
        <f>1+2</f>
        <v>3</v>
      </c>
      <c r="X31" s="352">
        <f>2</f>
        <v>2</v>
      </c>
      <c r="Y31" s="352">
        <v>0</v>
      </c>
      <c r="Z31" s="60">
        <f t="shared" si="14"/>
        <v>24</v>
      </c>
      <c r="AB31" s="328" t="s">
        <v>583</v>
      </c>
      <c r="AC31" s="362">
        <f>AC29*AC7</f>
        <v>2100</v>
      </c>
      <c r="AD31" s="362">
        <f>AD29*AC8</f>
        <v>17100</v>
      </c>
      <c r="AE31" s="362">
        <f>AE29*AC9</f>
        <v>23800</v>
      </c>
      <c r="AF31" s="362">
        <f>AF29*AC10</f>
        <v>11500</v>
      </c>
      <c r="AG31" s="362">
        <f>AG29*AC11</f>
        <v>3000</v>
      </c>
      <c r="AH31" s="328">
        <f>SUM(AC31:AG31)</f>
        <v>57500</v>
      </c>
    </row>
    <row r="32" spans="1:34" ht="13.5" thickBot="1" x14ac:dyDescent="0.25">
      <c r="A32" s="464"/>
      <c r="B32" s="97" t="s">
        <v>395</v>
      </c>
      <c r="C32" s="96" t="s">
        <v>56</v>
      </c>
      <c r="D32" s="95">
        <v>268.91000000000003</v>
      </c>
      <c r="E32" s="95">
        <v>750</v>
      </c>
      <c r="F32" s="95">
        <v>277.57420000000002</v>
      </c>
      <c r="G32" s="179">
        <v>2</v>
      </c>
      <c r="H32" s="179">
        <f t="shared" si="2"/>
        <v>555.14840000000004</v>
      </c>
      <c r="I32" s="84">
        <f t="shared" si="17"/>
        <v>194.85159999999996</v>
      </c>
      <c r="J32" s="93" t="s">
        <v>394</v>
      </c>
      <c r="K32" s="93">
        <v>922.03</v>
      </c>
      <c r="L32" s="281">
        <v>450</v>
      </c>
      <c r="M32" s="107">
        <f t="shared" si="15"/>
        <v>277.57420000000002</v>
      </c>
      <c r="N32" s="81">
        <f t="shared" si="18"/>
        <v>-105.14840000000004</v>
      </c>
      <c r="O32" s="197" t="str">
        <f t="shared" si="16"/>
        <v>Yes</v>
      </c>
      <c r="P32" s="222" t="s">
        <v>470</v>
      </c>
      <c r="Q32" s="221" t="s">
        <v>513</v>
      </c>
      <c r="T32" s="60" t="s">
        <v>92</v>
      </c>
      <c r="U32" s="352">
        <v>0</v>
      </c>
      <c r="V32" s="350">
        <f>4+3</f>
        <v>7</v>
      </c>
      <c r="W32" s="352">
        <f>14+2</f>
        <v>16</v>
      </c>
      <c r="X32" s="352">
        <v>0</v>
      </c>
      <c r="Y32" s="352">
        <v>0</v>
      </c>
      <c r="Z32" s="60">
        <f t="shared" si="14"/>
        <v>23</v>
      </c>
      <c r="AB32" s="5"/>
      <c r="AC32" s="459"/>
      <c r="AD32" s="350"/>
      <c r="AE32" s="350"/>
      <c r="AF32" s="352"/>
      <c r="AG32" s="352"/>
      <c r="AH32" s="352"/>
    </row>
    <row r="33" spans="1:34" ht="13.5" thickBot="1" x14ac:dyDescent="0.25">
      <c r="A33" s="462" t="s">
        <v>382</v>
      </c>
      <c r="B33" s="87" t="s">
        <v>393</v>
      </c>
      <c r="C33" s="86" t="s">
        <v>392</v>
      </c>
      <c r="D33" s="85">
        <v>774.56</v>
      </c>
      <c r="E33" s="85">
        <f>E6</f>
        <v>1500</v>
      </c>
      <c r="F33" s="85">
        <v>593.39</v>
      </c>
      <c r="G33" s="179">
        <v>2</v>
      </c>
      <c r="H33" s="179">
        <f t="shared" si="2"/>
        <v>1186.78</v>
      </c>
      <c r="I33" s="84">
        <f t="shared" si="17"/>
        <v>313.22000000000003</v>
      </c>
      <c r="J33" s="83" t="s">
        <v>391</v>
      </c>
      <c r="K33" s="83">
        <v>778.62</v>
      </c>
      <c r="L33" s="83">
        <v>1500</v>
      </c>
      <c r="M33" s="82">
        <f t="shared" si="15"/>
        <v>593.39</v>
      </c>
      <c r="N33" s="81">
        <f t="shared" si="18"/>
        <v>313.22000000000003</v>
      </c>
      <c r="O33" s="197" t="str">
        <f t="shared" si="16"/>
        <v>No</v>
      </c>
      <c r="P33" s="207"/>
      <c r="Q33" s="106"/>
      <c r="T33" s="60" t="s">
        <v>93</v>
      </c>
      <c r="U33" s="352">
        <v>0</v>
      </c>
      <c r="V33" s="350">
        <v>0</v>
      </c>
      <c r="W33" s="352">
        <f>2+1</f>
        <v>3</v>
      </c>
      <c r="X33" s="352">
        <f>8</f>
        <v>8</v>
      </c>
      <c r="Y33" s="352">
        <v>0</v>
      </c>
      <c r="Z33" s="60">
        <f t="shared" si="14"/>
        <v>11</v>
      </c>
      <c r="AB33" s="5"/>
      <c r="AC33" s="459"/>
      <c r="AD33" s="352"/>
      <c r="AE33" s="352"/>
      <c r="AF33" s="352"/>
      <c r="AG33" s="352"/>
      <c r="AH33" s="352"/>
    </row>
    <row r="34" spans="1:34" ht="15.75" thickBot="1" x14ac:dyDescent="0.3">
      <c r="A34" s="464"/>
      <c r="B34" s="97" t="s">
        <v>387</v>
      </c>
      <c r="C34" s="96" t="s">
        <v>386</v>
      </c>
      <c r="D34" s="110">
        <v>894.93</v>
      </c>
      <c r="E34" s="109">
        <f>E17</f>
        <v>450</v>
      </c>
      <c r="F34" s="110">
        <v>185.4342</v>
      </c>
      <c r="G34" s="179">
        <v>2</v>
      </c>
      <c r="H34" s="179">
        <f t="shared" si="2"/>
        <v>370.86840000000001</v>
      </c>
      <c r="I34" s="84">
        <f t="shared" si="17"/>
        <v>79.131599999999992</v>
      </c>
      <c r="J34" s="108" t="s">
        <v>385</v>
      </c>
      <c r="K34" s="108">
        <v>975.03499999999997</v>
      </c>
      <c r="L34" s="108">
        <v>450</v>
      </c>
      <c r="M34" s="107">
        <f t="shared" si="15"/>
        <v>185.4342</v>
      </c>
      <c r="N34" s="81">
        <f t="shared" si="18"/>
        <v>79.131599999999992</v>
      </c>
      <c r="O34" s="197" t="str">
        <f t="shared" si="16"/>
        <v>No</v>
      </c>
      <c r="P34" s="205"/>
      <c r="Q34" s="105"/>
      <c r="T34" s="60" t="s">
        <v>94</v>
      </c>
      <c r="U34" s="352">
        <v>0</v>
      </c>
      <c r="V34" s="451">
        <f>2</f>
        <v>2</v>
      </c>
      <c r="W34" s="352">
        <f>2+1</f>
        <v>3</v>
      </c>
      <c r="X34" s="352">
        <f>9</f>
        <v>9</v>
      </c>
      <c r="Y34" s="352"/>
      <c r="Z34" s="60">
        <f t="shared" si="14"/>
        <v>14</v>
      </c>
      <c r="AB34" s="438">
        <f>Z16+Z36</f>
        <v>310</v>
      </c>
      <c r="AC34" s="459"/>
      <c r="AD34" s="352"/>
      <c r="AE34" s="350"/>
      <c r="AF34" s="352"/>
      <c r="AG34" s="352"/>
      <c r="AH34" s="352"/>
    </row>
    <row r="35" spans="1:34" ht="15.75" thickBot="1" x14ac:dyDescent="0.3">
      <c r="A35" s="464"/>
      <c r="B35" s="97" t="s">
        <v>383</v>
      </c>
      <c r="C35" s="96" t="s">
        <v>382</v>
      </c>
      <c r="D35" s="95">
        <v>553.46500000000003</v>
      </c>
      <c r="E35" s="94">
        <v>1200</v>
      </c>
      <c r="F35" s="95">
        <v>491.47570000000002</v>
      </c>
      <c r="G35" s="179">
        <v>2</v>
      </c>
      <c r="H35" s="179">
        <f t="shared" si="2"/>
        <v>982.95140000000004</v>
      </c>
      <c r="I35" s="84">
        <f t="shared" si="17"/>
        <v>217.04859999999996</v>
      </c>
      <c r="J35" s="93" t="s">
        <v>381</v>
      </c>
      <c r="K35" s="93">
        <v>660.12</v>
      </c>
      <c r="L35" s="93">
        <v>1200</v>
      </c>
      <c r="M35" s="92">
        <f t="shared" si="15"/>
        <v>491.47570000000002</v>
      </c>
      <c r="N35" s="81">
        <f t="shared" si="18"/>
        <v>217.04859999999996</v>
      </c>
      <c r="O35" s="197" t="str">
        <f t="shared" si="16"/>
        <v>No</v>
      </c>
      <c r="P35" s="218"/>
      <c r="Q35" s="134"/>
      <c r="T35" s="358" t="s">
        <v>508</v>
      </c>
      <c r="U35" s="352">
        <v>0</v>
      </c>
      <c r="V35" s="359">
        <f>1</f>
        <v>1</v>
      </c>
      <c r="W35" s="359">
        <f>3</f>
        <v>3</v>
      </c>
      <c r="X35" s="359">
        <v>0</v>
      </c>
      <c r="Y35" s="352">
        <v>0</v>
      </c>
      <c r="Z35" s="358">
        <f t="shared" si="14"/>
        <v>4</v>
      </c>
      <c r="AB35" s="550">
        <f>Z17+Z37</f>
        <v>5120.6954999999998</v>
      </c>
      <c r="AC35" s="459"/>
      <c r="AD35" s="352"/>
      <c r="AE35" s="350"/>
      <c r="AF35" s="352"/>
      <c r="AG35" s="352"/>
      <c r="AH35" s="352"/>
    </row>
    <row r="36" spans="1:34" ht="13.5" thickBot="1" x14ac:dyDescent="0.25">
      <c r="A36" s="462" t="s">
        <v>375</v>
      </c>
      <c r="B36" s="87" t="s">
        <v>379</v>
      </c>
      <c r="C36" s="86" t="s">
        <v>378</v>
      </c>
      <c r="D36" s="85">
        <v>839.23</v>
      </c>
      <c r="E36" s="84">
        <f>E18</f>
        <v>600</v>
      </c>
      <c r="F36" s="85">
        <v>213.84829999999999</v>
      </c>
      <c r="G36" s="179">
        <v>2</v>
      </c>
      <c r="H36" s="179">
        <f t="shared" si="2"/>
        <v>427.69659999999999</v>
      </c>
      <c r="I36" s="84">
        <f t="shared" si="17"/>
        <v>172.30340000000001</v>
      </c>
      <c r="J36" s="83" t="s">
        <v>377</v>
      </c>
      <c r="K36" s="83">
        <v>844.89</v>
      </c>
      <c r="L36" s="83">
        <v>600</v>
      </c>
      <c r="M36" s="82">
        <f t="shared" si="15"/>
        <v>213.84829999999999</v>
      </c>
      <c r="N36" s="81">
        <f t="shared" si="18"/>
        <v>172.30340000000001</v>
      </c>
      <c r="O36" s="201" t="str">
        <f t="shared" si="16"/>
        <v>No</v>
      </c>
      <c r="P36" s="202"/>
      <c r="Q36" s="77"/>
      <c r="T36" s="328" t="s">
        <v>537</v>
      </c>
      <c r="U36" s="360">
        <f t="shared" ref="U36:Z36" si="20">SUM(U24:U35)</f>
        <v>0</v>
      </c>
      <c r="V36" s="360">
        <f t="shared" si="20"/>
        <v>94</v>
      </c>
      <c r="W36" s="360">
        <f t="shared" si="20"/>
        <v>96</v>
      </c>
      <c r="X36" s="360">
        <f t="shared" si="20"/>
        <v>46</v>
      </c>
      <c r="Y36" s="360">
        <f t="shared" si="20"/>
        <v>10</v>
      </c>
      <c r="Z36" s="361">
        <f t="shared" si="20"/>
        <v>246</v>
      </c>
      <c r="AB36" s="352">
        <f>Z18+Z38</f>
        <v>57500</v>
      </c>
      <c r="AC36" s="459"/>
      <c r="AD36" s="352"/>
      <c r="AE36" s="352"/>
      <c r="AF36" s="352"/>
      <c r="AG36" s="352"/>
      <c r="AH36" s="352"/>
    </row>
    <row r="37" spans="1:34" ht="13.5" thickBot="1" x14ac:dyDescent="0.25">
      <c r="A37" s="464"/>
      <c r="B37" s="97" t="s">
        <v>376</v>
      </c>
      <c r="C37" s="96" t="s">
        <v>375</v>
      </c>
      <c r="D37" s="95">
        <v>497.76499999999999</v>
      </c>
      <c r="E37" s="95">
        <v>2800</v>
      </c>
      <c r="F37" s="95">
        <v>1151.328</v>
      </c>
      <c r="G37" s="179">
        <v>2</v>
      </c>
      <c r="H37" s="179">
        <f t="shared" si="2"/>
        <v>2302.6559999999999</v>
      </c>
      <c r="I37" s="84">
        <f t="shared" si="17"/>
        <v>497.34400000000005</v>
      </c>
      <c r="J37" s="93" t="s">
        <v>374</v>
      </c>
      <c r="K37" s="93">
        <v>503.42500000000001</v>
      </c>
      <c r="L37" s="93">
        <v>2800</v>
      </c>
      <c r="M37" s="92">
        <f t="shared" si="15"/>
        <v>1151.328</v>
      </c>
      <c r="N37" s="81">
        <f t="shared" si="18"/>
        <v>497.34400000000005</v>
      </c>
      <c r="O37" s="201" t="str">
        <f t="shared" si="16"/>
        <v>No</v>
      </c>
      <c r="P37" s="200"/>
      <c r="Q37" s="66"/>
      <c r="T37" s="328" t="s">
        <v>536</v>
      </c>
      <c r="U37" s="452">
        <f>PRODUCT(U36*AD7)</f>
        <v>0</v>
      </c>
      <c r="V37" s="452">
        <f>PRODUCT(V36*AD8)</f>
        <v>1538.6766</v>
      </c>
      <c r="W37" s="452">
        <f>PRODUCT(W36*AD9)</f>
        <v>1607.6831999999999</v>
      </c>
      <c r="X37" s="452">
        <f>PRODUCT(X36*AD10)</f>
        <v>776.78360000000009</v>
      </c>
      <c r="Y37" s="452">
        <f>PRODUCT(Y36*AD11)</f>
        <v>170</v>
      </c>
      <c r="Z37" s="453">
        <f>SUM(U37:Y37)</f>
        <v>4093.1434000000004</v>
      </c>
      <c r="AB37" s="5"/>
      <c r="AC37" s="5"/>
      <c r="AD37" s="5"/>
      <c r="AE37" s="5"/>
      <c r="AF37" s="5"/>
      <c r="AG37" s="5"/>
      <c r="AH37" s="5"/>
    </row>
    <row r="38" spans="1:34" ht="13.5" thickBot="1" x14ac:dyDescent="0.25">
      <c r="A38" s="257" t="s">
        <v>372</v>
      </c>
      <c r="B38" s="87" t="s">
        <v>373</v>
      </c>
      <c r="C38" s="86" t="s">
        <v>372</v>
      </c>
      <c r="D38" s="85">
        <v>285.27999999999997</v>
      </c>
      <c r="E38" s="85">
        <v>2000</v>
      </c>
      <c r="F38" s="85">
        <v>779.52329999999995</v>
      </c>
      <c r="G38" s="179">
        <v>2</v>
      </c>
      <c r="H38" s="179">
        <f t="shared" si="2"/>
        <v>1559.0465999999999</v>
      </c>
      <c r="I38" s="84">
        <f t="shared" si="17"/>
        <v>440.9534000000001</v>
      </c>
      <c r="J38" s="83" t="s">
        <v>371</v>
      </c>
      <c r="K38" s="83">
        <v>539.80499999999995</v>
      </c>
      <c r="L38" s="289">
        <v>1200</v>
      </c>
      <c r="M38" s="82">
        <f t="shared" si="15"/>
        <v>779.52329999999995</v>
      </c>
      <c r="N38" s="81">
        <f t="shared" si="18"/>
        <v>-359.0465999999999</v>
      </c>
      <c r="O38" s="217" t="str">
        <f t="shared" si="16"/>
        <v>Yes</v>
      </c>
      <c r="P38" s="216" t="s">
        <v>472</v>
      </c>
      <c r="Q38" s="215" t="s">
        <v>563</v>
      </c>
      <c r="T38" s="328" t="s">
        <v>583</v>
      </c>
      <c r="U38" s="362">
        <f>U36*AC7</f>
        <v>0</v>
      </c>
      <c r="V38" s="362">
        <f>V36*AC8</f>
        <v>14100</v>
      </c>
      <c r="W38" s="362">
        <f>W36*AC9</f>
        <v>19200</v>
      </c>
      <c r="X38" s="362">
        <f>X36*AC10</f>
        <v>11500</v>
      </c>
      <c r="Y38" s="362">
        <f>Y36*AC11</f>
        <v>3000</v>
      </c>
      <c r="Z38" s="328">
        <f>SUM(U38:Y38)</f>
        <v>47800</v>
      </c>
    </row>
    <row r="39" spans="1:34" ht="13.5" thickBot="1" x14ac:dyDescent="0.25">
      <c r="A39" s="462" t="s">
        <v>60</v>
      </c>
      <c r="B39" s="87" t="s">
        <v>368</v>
      </c>
      <c r="C39" s="86" t="s">
        <v>367</v>
      </c>
      <c r="D39" s="85">
        <v>239.47</v>
      </c>
      <c r="E39" s="84">
        <v>2250</v>
      </c>
      <c r="F39" s="85">
        <v>886.15449999999998</v>
      </c>
      <c r="G39" s="179">
        <v>2</v>
      </c>
      <c r="H39" s="179">
        <f t="shared" si="2"/>
        <v>1772.309</v>
      </c>
      <c r="I39" s="84">
        <f t="shared" si="17"/>
        <v>477.69100000000003</v>
      </c>
      <c r="J39" s="83" t="s">
        <v>366</v>
      </c>
      <c r="K39" s="83">
        <v>585.61500000000001</v>
      </c>
      <c r="L39" s="289">
        <v>1350</v>
      </c>
      <c r="M39" s="82">
        <f t="shared" si="15"/>
        <v>886.15449999999998</v>
      </c>
      <c r="N39" s="81">
        <f t="shared" si="18"/>
        <v>-422.30899999999997</v>
      </c>
      <c r="O39" s="214" t="str">
        <f t="shared" si="16"/>
        <v>Yes</v>
      </c>
      <c r="P39" s="213" t="s">
        <v>453</v>
      </c>
      <c r="Q39" s="212" t="s">
        <v>519</v>
      </c>
    </row>
    <row r="40" spans="1:34" ht="13.5" thickBot="1" x14ac:dyDescent="0.25">
      <c r="A40" s="463"/>
      <c r="B40" s="76" t="s">
        <v>364</v>
      </c>
      <c r="C40" s="75" t="s">
        <v>61</v>
      </c>
      <c r="D40" s="74">
        <v>381.34</v>
      </c>
      <c r="E40" s="74">
        <v>600</v>
      </c>
      <c r="F40" s="74">
        <v>233.80699999999999</v>
      </c>
      <c r="G40" s="179">
        <v>2</v>
      </c>
      <c r="H40" s="179">
        <f t="shared" si="2"/>
        <v>467.61399999999998</v>
      </c>
      <c r="I40" s="84">
        <f t="shared" si="17"/>
        <v>132.38600000000002</v>
      </c>
      <c r="J40" s="72" t="s">
        <v>328</v>
      </c>
      <c r="K40" s="72">
        <v>673.16499999999996</v>
      </c>
      <c r="L40" s="290">
        <v>450</v>
      </c>
      <c r="M40" s="121">
        <f t="shared" si="15"/>
        <v>233.80699999999999</v>
      </c>
      <c r="N40" s="81">
        <f t="shared" si="18"/>
        <v>-17.613999999999976</v>
      </c>
      <c r="O40" s="197" t="str">
        <f t="shared" si="16"/>
        <v>Yes</v>
      </c>
      <c r="P40" s="211" t="s">
        <v>520</v>
      </c>
      <c r="Q40" s="210" t="s">
        <v>521</v>
      </c>
    </row>
    <row r="41" spans="1:34" ht="13.5" thickBot="1" x14ac:dyDescent="0.25">
      <c r="A41" s="464" t="s">
        <v>363</v>
      </c>
      <c r="B41" s="63" t="s">
        <v>362</v>
      </c>
      <c r="C41" s="116" t="s">
        <v>74</v>
      </c>
      <c r="D41" s="95">
        <v>632.29499999999996</v>
      </c>
      <c r="E41" s="95">
        <f>E22</f>
        <v>1050</v>
      </c>
      <c r="F41" s="95">
        <v>416.14780000000002</v>
      </c>
      <c r="G41" s="179">
        <v>2</v>
      </c>
      <c r="H41" s="179">
        <f t="shared" si="2"/>
        <v>832.29560000000004</v>
      </c>
      <c r="I41" s="84">
        <f t="shared" si="17"/>
        <v>217.70439999999996</v>
      </c>
      <c r="J41" s="93" t="s">
        <v>361</v>
      </c>
      <c r="K41" s="93">
        <v>692.19500000000005</v>
      </c>
      <c r="L41" s="93">
        <v>1050</v>
      </c>
      <c r="M41" s="92">
        <f t="shared" si="15"/>
        <v>416.14780000000002</v>
      </c>
      <c r="N41" s="81">
        <f t="shared" si="18"/>
        <v>217.70439999999996</v>
      </c>
      <c r="O41" s="197" t="str">
        <f t="shared" si="16"/>
        <v>No</v>
      </c>
      <c r="P41" s="542" t="s">
        <v>351</v>
      </c>
      <c r="Q41" s="543"/>
    </row>
    <row r="42" spans="1:34" ht="13.5" thickBot="1" x14ac:dyDescent="0.25">
      <c r="A42" s="464"/>
      <c r="B42" s="97" t="s">
        <v>360</v>
      </c>
      <c r="C42" s="96" t="s">
        <v>55</v>
      </c>
      <c r="D42" s="110">
        <v>566.26</v>
      </c>
      <c r="E42" s="110">
        <f>E27</f>
        <v>1050</v>
      </c>
      <c r="F42" s="110">
        <v>424.66829999999999</v>
      </c>
      <c r="G42" s="179">
        <v>2</v>
      </c>
      <c r="H42" s="179">
        <f t="shared" si="2"/>
        <v>849.33659999999998</v>
      </c>
      <c r="I42" s="84">
        <f t="shared" si="17"/>
        <v>200.66340000000002</v>
      </c>
      <c r="J42" s="108" t="s">
        <v>359</v>
      </c>
      <c r="K42" s="108">
        <v>1033.6600000000001</v>
      </c>
      <c r="L42" s="108">
        <v>1050</v>
      </c>
      <c r="M42" s="107">
        <f t="shared" si="15"/>
        <v>424.66829999999999</v>
      </c>
      <c r="N42" s="81">
        <f t="shared" si="18"/>
        <v>200.66340000000002</v>
      </c>
      <c r="O42" s="197" t="str">
        <f t="shared" si="16"/>
        <v>No</v>
      </c>
      <c r="P42" s="544"/>
      <c r="Q42" s="545"/>
    </row>
    <row r="43" spans="1:34" ht="13.5" thickBot="1" x14ac:dyDescent="0.25">
      <c r="A43" s="464"/>
      <c r="B43" s="97" t="s">
        <v>358</v>
      </c>
      <c r="C43" s="96" t="s">
        <v>62</v>
      </c>
      <c r="D43" s="95">
        <v>174.54</v>
      </c>
      <c r="E43" s="95">
        <v>250</v>
      </c>
      <c r="F43" s="95">
        <v>80.336669999999998</v>
      </c>
      <c r="G43" s="179">
        <v>2</v>
      </c>
      <c r="H43" s="179">
        <f t="shared" si="2"/>
        <v>160.67334</v>
      </c>
      <c r="I43" s="84">
        <f t="shared" si="17"/>
        <v>89.326660000000004</v>
      </c>
      <c r="J43" s="93" t="s">
        <v>357</v>
      </c>
      <c r="K43" s="93">
        <v>811.21</v>
      </c>
      <c r="L43" s="281">
        <v>150</v>
      </c>
      <c r="M43" s="107">
        <f t="shared" si="15"/>
        <v>80.336669999999998</v>
      </c>
      <c r="N43" s="81">
        <f t="shared" si="18"/>
        <v>-10.673339999999996</v>
      </c>
      <c r="O43" s="197" t="str">
        <f t="shared" si="16"/>
        <v>Yes</v>
      </c>
      <c r="P43" s="546"/>
      <c r="Q43" s="547"/>
    </row>
    <row r="44" spans="1:34" ht="13.5" thickBot="1" x14ac:dyDescent="0.25">
      <c r="A44" s="257" t="s">
        <v>355</v>
      </c>
      <c r="B44" s="87" t="s">
        <v>356</v>
      </c>
      <c r="C44" s="86" t="s">
        <v>355</v>
      </c>
      <c r="D44" s="85">
        <v>517.28</v>
      </c>
      <c r="E44" s="85">
        <v>200</v>
      </c>
      <c r="F44" s="85">
        <v>67.241829999999993</v>
      </c>
      <c r="G44" s="179">
        <v>2</v>
      </c>
      <c r="H44" s="179">
        <f t="shared" si="2"/>
        <v>134.48365999999999</v>
      </c>
      <c r="I44" s="84">
        <f t="shared" si="17"/>
        <v>65.516340000000014</v>
      </c>
      <c r="J44" s="83" t="s">
        <v>354</v>
      </c>
      <c r="K44" s="83">
        <v>607.995</v>
      </c>
      <c r="L44" s="289">
        <v>150</v>
      </c>
      <c r="M44" s="82">
        <f t="shared" si="15"/>
        <v>67.241829999999993</v>
      </c>
      <c r="N44" s="81">
        <f t="shared" si="18"/>
        <v>15.516340000000014</v>
      </c>
      <c r="O44" s="201" t="str">
        <f t="shared" si="16"/>
        <v>No</v>
      </c>
      <c r="P44" s="209"/>
      <c r="Q44" s="208"/>
    </row>
    <row r="45" spans="1:34" ht="13.5" thickBot="1" x14ac:dyDescent="0.25">
      <c r="A45" s="462" t="s">
        <v>349</v>
      </c>
      <c r="B45" s="87" t="s">
        <v>353</v>
      </c>
      <c r="C45" s="86" t="s">
        <v>342</v>
      </c>
      <c r="D45" s="85">
        <v>592.98500000000001</v>
      </c>
      <c r="E45" s="85">
        <v>450</v>
      </c>
      <c r="F45" s="85">
        <v>175.91919999999999</v>
      </c>
      <c r="G45" s="179">
        <v>2</v>
      </c>
      <c r="H45" s="179">
        <f t="shared" si="2"/>
        <v>351.83839999999998</v>
      </c>
      <c r="I45" s="84">
        <f t="shared" si="17"/>
        <v>98.161600000000021</v>
      </c>
      <c r="J45" s="83" t="s">
        <v>352</v>
      </c>
      <c r="K45" s="83">
        <v>1051.23</v>
      </c>
      <c r="L45" s="83">
        <v>450</v>
      </c>
      <c r="M45" s="82">
        <f t="shared" si="15"/>
        <v>175.91919999999999</v>
      </c>
      <c r="N45" s="81">
        <f t="shared" si="18"/>
        <v>98.161600000000021</v>
      </c>
      <c r="O45" s="197" t="str">
        <f t="shared" si="16"/>
        <v>No</v>
      </c>
      <c r="P45" s="207"/>
      <c r="Q45" s="106"/>
    </row>
    <row r="46" spans="1:34" ht="13.5" thickBot="1" x14ac:dyDescent="0.25">
      <c r="A46" s="464"/>
      <c r="B46" s="97" t="s">
        <v>350</v>
      </c>
      <c r="C46" s="96" t="s">
        <v>349</v>
      </c>
      <c r="D46" s="110">
        <v>374.84</v>
      </c>
      <c r="E46" s="110">
        <v>400</v>
      </c>
      <c r="F46" s="110">
        <v>115.1143</v>
      </c>
      <c r="G46" s="179">
        <v>2</v>
      </c>
      <c r="H46" s="179">
        <f t="shared" si="2"/>
        <v>230.2286</v>
      </c>
      <c r="I46" s="84">
        <f t="shared" si="17"/>
        <v>169.7714</v>
      </c>
      <c r="J46" s="108" t="s">
        <v>348</v>
      </c>
      <c r="K46" s="108">
        <v>838.745</v>
      </c>
      <c r="L46" s="288">
        <v>300</v>
      </c>
      <c r="M46" s="107">
        <f t="shared" si="15"/>
        <v>115.1143</v>
      </c>
      <c r="N46" s="81">
        <f t="shared" si="18"/>
        <v>69.7714</v>
      </c>
      <c r="O46" s="197" t="str">
        <f t="shared" si="16"/>
        <v>No</v>
      </c>
      <c r="P46" s="206"/>
      <c r="Q46" s="203"/>
    </row>
    <row r="47" spans="1:34" ht="13.5" thickBot="1" x14ac:dyDescent="0.25">
      <c r="A47" s="464"/>
      <c r="B47" s="97" t="s">
        <v>347</v>
      </c>
      <c r="C47" s="96" t="s">
        <v>335</v>
      </c>
      <c r="D47" s="110">
        <v>675.17499999999995</v>
      </c>
      <c r="E47" s="110">
        <v>300</v>
      </c>
      <c r="F47" s="110">
        <v>87.5685</v>
      </c>
      <c r="G47" s="179">
        <v>2</v>
      </c>
      <c r="H47" s="179">
        <f t="shared" si="2"/>
        <v>175.137</v>
      </c>
      <c r="I47" s="84">
        <f t="shared" si="17"/>
        <v>124.863</v>
      </c>
      <c r="J47" s="108" t="s">
        <v>346</v>
      </c>
      <c r="K47" s="108">
        <v>792.93499999999995</v>
      </c>
      <c r="L47" s="108">
        <v>300</v>
      </c>
      <c r="M47" s="107">
        <f t="shared" si="15"/>
        <v>87.5685</v>
      </c>
      <c r="N47" s="81">
        <f t="shared" si="18"/>
        <v>124.863</v>
      </c>
      <c r="O47" s="197" t="str">
        <f t="shared" si="16"/>
        <v>No</v>
      </c>
      <c r="P47" s="206"/>
      <c r="Q47" s="203"/>
    </row>
    <row r="48" spans="1:34" ht="13.5" thickBot="1" x14ac:dyDescent="0.25">
      <c r="A48" s="464"/>
      <c r="B48" s="97" t="s">
        <v>339</v>
      </c>
      <c r="C48" s="96" t="s">
        <v>338</v>
      </c>
      <c r="D48" s="95">
        <v>768.38499999999999</v>
      </c>
      <c r="E48" s="95">
        <v>150</v>
      </c>
      <c r="F48" s="95">
        <v>46.164000000000001</v>
      </c>
      <c r="G48" s="179">
        <v>2</v>
      </c>
      <c r="H48" s="179">
        <f t="shared" si="2"/>
        <v>92.328000000000003</v>
      </c>
      <c r="I48" s="84">
        <f t="shared" si="17"/>
        <v>57.671999999999997</v>
      </c>
      <c r="J48" s="93" t="s">
        <v>345</v>
      </c>
      <c r="K48" s="93">
        <v>934.80499999999995</v>
      </c>
      <c r="L48" s="93">
        <v>150</v>
      </c>
      <c r="M48" s="92">
        <f t="shared" si="15"/>
        <v>46.164000000000001</v>
      </c>
      <c r="N48" s="81">
        <f t="shared" si="18"/>
        <v>57.671999999999997</v>
      </c>
      <c r="O48" s="197" t="str">
        <f t="shared" si="16"/>
        <v>No</v>
      </c>
      <c r="P48" s="205"/>
      <c r="Q48" s="105"/>
    </row>
    <row r="49" spans="1:23" ht="13.5" thickBot="1" x14ac:dyDescent="0.25">
      <c r="A49" s="462" t="s">
        <v>344</v>
      </c>
      <c r="B49" s="87" t="s">
        <v>343</v>
      </c>
      <c r="C49" s="86" t="s">
        <v>342</v>
      </c>
      <c r="D49" s="85">
        <v>592.98500000000001</v>
      </c>
      <c r="E49" s="85">
        <f>E45</f>
        <v>450</v>
      </c>
      <c r="F49" s="85">
        <v>175.91919999999999</v>
      </c>
      <c r="G49" s="179">
        <v>2</v>
      </c>
      <c r="H49" s="179">
        <f t="shared" si="2"/>
        <v>351.83839999999998</v>
      </c>
      <c r="I49" s="84">
        <f t="shared" si="17"/>
        <v>98.161600000000021</v>
      </c>
      <c r="J49" s="83" t="s">
        <v>341</v>
      </c>
      <c r="K49" s="83">
        <v>992.44500000000005</v>
      </c>
      <c r="L49" s="83">
        <v>450</v>
      </c>
      <c r="M49" s="82">
        <f t="shared" si="15"/>
        <v>175.91919999999999</v>
      </c>
      <c r="N49" s="81">
        <f t="shared" si="18"/>
        <v>98.161600000000021</v>
      </c>
      <c r="O49" s="197" t="str">
        <f t="shared" si="16"/>
        <v>No</v>
      </c>
      <c r="P49" s="198"/>
      <c r="Q49" s="106"/>
    </row>
    <row r="50" spans="1:23" ht="13.5" thickBot="1" x14ac:dyDescent="0.25">
      <c r="A50" s="464"/>
      <c r="B50" s="97" t="s">
        <v>339</v>
      </c>
      <c r="C50" s="96" t="s">
        <v>338</v>
      </c>
      <c r="D50" s="95">
        <v>768.38499999999999</v>
      </c>
      <c r="E50" s="95">
        <f>E48</f>
        <v>150</v>
      </c>
      <c r="F50" s="95">
        <v>46.164000000000001</v>
      </c>
      <c r="G50" s="179">
        <v>2</v>
      </c>
      <c r="H50" s="179">
        <f t="shared" si="2"/>
        <v>92.328000000000003</v>
      </c>
      <c r="I50" s="84">
        <f t="shared" si="17"/>
        <v>57.671999999999997</v>
      </c>
      <c r="J50" s="93" t="s">
        <v>337</v>
      </c>
      <c r="K50" s="93">
        <v>817.04499999999996</v>
      </c>
      <c r="L50" s="93">
        <v>150</v>
      </c>
      <c r="M50" s="92">
        <f t="shared" si="15"/>
        <v>46.164000000000001</v>
      </c>
      <c r="N50" s="81">
        <f t="shared" si="18"/>
        <v>57.671999999999997</v>
      </c>
      <c r="O50" s="197" t="str">
        <f t="shared" si="16"/>
        <v>No</v>
      </c>
      <c r="P50" s="204"/>
      <c r="Q50" s="203"/>
    </row>
    <row r="51" spans="1:23" ht="13.5" thickBot="1" x14ac:dyDescent="0.25">
      <c r="A51" s="462" t="s">
        <v>340</v>
      </c>
      <c r="B51" s="87" t="s">
        <v>339</v>
      </c>
      <c r="C51" s="86" t="s">
        <v>338</v>
      </c>
      <c r="D51" s="85">
        <v>768.38499999999999</v>
      </c>
      <c r="E51" s="85">
        <f>E50</f>
        <v>150</v>
      </c>
      <c r="F51" s="85">
        <v>46.164000000000001</v>
      </c>
      <c r="G51" s="179">
        <v>2</v>
      </c>
      <c r="H51" s="179">
        <f t="shared" si="2"/>
        <v>92.328000000000003</v>
      </c>
      <c r="I51" s="84">
        <f t="shared" si="17"/>
        <v>57.671999999999997</v>
      </c>
      <c r="J51" s="83" t="s">
        <v>337</v>
      </c>
      <c r="K51" s="83">
        <v>817.04499999999996</v>
      </c>
      <c r="L51" s="83">
        <v>150</v>
      </c>
      <c r="M51" s="82">
        <f t="shared" si="15"/>
        <v>46.164000000000001</v>
      </c>
      <c r="N51" s="81">
        <f t="shared" si="18"/>
        <v>57.671999999999997</v>
      </c>
      <c r="O51" s="201" t="str">
        <f t="shared" si="16"/>
        <v>No</v>
      </c>
      <c r="P51" s="202"/>
      <c r="Q51" s="77"/>
    </row>
    <row r="52" spans="1:23" ht="13.5" thickBot="1" x14ac:dyDescent="0.25">
      <c r="A52" s="464"/>
      <c r="B52" s="97" t="s">
        <v>30</v>
      </c>
      <c r="C52" s="96" t="s">
        <v>326</v>
      </c>
      <c r="D52" s="95">
        <v>317.27</v>
      </c>
      <c r="E52" s="95">
        <v>400</v>
      </c>
      <c r="F52" s="95">
        <v>136.87530000000001</v>
      </c>
      <c r="G52" s="179">
        <v>2</v>
      </c>
      <c r="H52" s="179">
        <f t="shared" si="2"/>
        <v>273.75060000000002</v>
      </c>
      <c r="I52" s="84">
        <f t="shared" si="17"/>
        <v>126.24939999999998</v>
      </c>
      <c r="J52" s="93" t="s">
        <v>325</v>
      </c>
      <c r="K52" s="93">
        <v>518.48</v>
      </c>
      <c r="L52" s="93">
        <v>400</v>
      </c>
      <c r="M52" s="92">
        <f t="shared" si="15"/>
        <v>136.87530000000001</v>
      </c>
      <c r="N52" s="81">
        <f t="shared" si="18"/>
        <v>126.24939999999998</v>
      </c>
      <c r="O52" s="201" t="str">
        <f t="shared" si="16"/>
        <v>No</v>
      </c>
      <c r="P52" s="200"/>
      <c r="Q52" s="66"/>
    </row>
    <row r="53" spans="1:23" ht="13.5" thickBot="1" x14ac:dyDescent="0.25">
      <c r="A53" s="462" t="s">
        <v>336</v>
      </c>
      <c r="B53" s="87" t="s">
        <v>28</v>
      </c>
      <c r="C53" s="86" t="s">
        <v>335</v>
      </c>
      <c r="D53" s="85">
        <v>675.17499999999995</v>
      </c>
      <c r="E53" s="85">
        <f>E47</f>
        <v>300</v>
      </c>
      <c r="F53" s="85">
        <v>87.5685</v>
      </c>
      <c r="G53" s="179">
        <v>2</v>
      </c>
      <c r="H53" s="179">
        <f t="shared" si="2"/>
        <v>175.137</v>
      </c>
      <c r="I53" s="84">
        <f t="shared" si="17"/>
        <v>124.863</v>
      </c>
      <c r="J53" s="83" t="s">
        <v>334</v>
      </c>
      <c r="K53" s="83">
        <v>792.93499999999995</v>
      </c>
      <c r="L53" s="83">
        <v>300</v>
      </c>
      <c r="M53" s="82">
        <f t="shared" si="15"/>
        <v>87.5685</v>
      </c>
      <c r="N53" s="81">
        <f t="shared" si="18"/>
        <v>124.863</v>
      </c>
      <c r="O53" s="197" t="str">
        <f t="shared" si="16"/>
        <v>No</v>
      </c>
      <c r="P53" s="60"/>
      <c r="Q53" s="100"/>
    </row>
    <row r="54" spans="1:23" ht="13.5" thickBot="1" x14ac:dyDescent="0.25">
      <c r="A54" s="464"/>
      <c r="B54" s="97" t="s">
        <v>333</v>
      </c>
      <c r="C54" s="96" t="s">
        <v>332</v>
      </c>
      <c r="D54" s="95">
        <v>300.33499999999998</v>
      </c>
      <c r="E54" s="95">
        <v>200</v>
      </c>
      <c r="F54" s="95">
        <v>33.29833</v>
      </c>
      <c r="G54" s="179">
        <v>2</v>
      </c>
      <c r="H54" s="179">
        <f t="shared" si="2"/>
        <v>66.59666</v>
      </c>
      <c r="I54" s="84">
        <f t="shared" si="17"/>
        <v>133.40334000000001</v>
      </c>
      <c r="J54" s="93" t="s">
        <v>331</v>
      </c>
      <c r="K54" s="93">
        <v>524.75</v>
      </c>
      <c r="L54" s="93">
        <v>200</v>
      </c>
      <c r="M54" s="92">
        <f t="shared" si="15"/>
        <v>33.29833</v>
      </c>
      <c r="N54" s="81">
        <f t="shared" si="18"/>
        <v>133.40334000000001</v>
      </c>
      <c r="O54" s="197" t="str">
        <f t="shared" si="16"/>
        <v>No</v>
      </c>
      <c r="P54" s="60"/>
      <c r="Q54" s="100"/>
    </row>
    <row r="55" spans="1:23" ht="13.5" thickBot="1" x14ac:dyDescent="0.25">
      <c r="A55" s="462" t="s">
        <v>330</v>
      </c>
      <c r="B55" s="87" t="s">
        <v>329</v>
      </c>
      <c r="C55" s="86" t="s">
        <v>61</v>
      </c>
      <c r="D55" s="85">
        <v>381.34</v>
      </c>
      <c r="E55" s="85">
        <f>E40</f>
        <v>600</v>
      </c>
      <c r="F55" s="85">
        <v>233.80699999999999</v>
      </c>
      <c r="G55" s="179">
        <v>2</v>
      </c>
      <c r="H55" s="179">
        <f t="shared" si="2"/>
        <v>467.61399999999998</v>
      </c>
      <c r="I55" s="84">
        <f t="shared" si="17"/>
        <v>132.38600000000002</v>
      </c>
      <c r="J55" s="83" t="s">
        <v>328</v>
      </c>
      <c r="K55" s="83">
        <v>673.16499999999996</v>
      </c>
      <c r="L55" s="289">
        <v>450</v>
      </c>
      <c r="M55" s="82">
        <f t="shared" si="15"/>
        <v>233.80699999999999</v>
      </c>
      <c r="N55" s="81">
        <f t="shared" si="18"/>
        <v>-17.613999999999976</v>
      </c>
      <c r="O55" s="197" t="str">
        <f t="shared" si="16"/>
        <v>Yes</v>
      </c>
      <c r="P55" s="421" t="s">
        <v>17</v>
      </c>
      <c r="Q55" s="212">
        <v>164</v>
      </c>
    </row>
    <row r="56" spans="1:23" ht="13.5" thickBot="1" x14ac:dyDescent="0.25">
      <c r="A56" s="463"/>
      <c r="B56" s="76" t="s">
        <v>30</v>
      </c>
      <c r="C56" s="75" t="s">
        <v>326</v>
      </c>
      <c r="D56" s="74">
        <v>317.27</v>
      </c>
      <c r="E56" s="74">
        <f>E52</f>
        <v>400</v>
      </c>
      <c r="F56" s="74">
        <v>136.87530000000001</v>
      </c>
      <c r="G56" s="179">
        <v>2</v>
      </c>
      <c r="H56" s="179">
        <f t="shared" si="2"/>
        <v>273.75060000000002</v>
      </c>
      <c r="I56" s="84">
        <f t="shared" si="17"/>
        <v>126.24939999999998</v>
      </c>
      <c r="J56" s="72" t="s">
        <v>325</v>
      </c>
      <c r="K56" s="72">
        <v>518.48</v>
      </c>
      <c r="L56" s="72">
        <v>400</v>
      </c>
      <c r="M56" s="71">
        <f t="shared" si="15"/>
        <v>136.87530000000001</v>
      </c>
      <c r="N56" s="81">
        <f t="shared" si="18"/>
        <v>126.24939999999998</v>
      </c>
      <c r="O56" s="197" t="str">
        <f t="shared" si="16"/>
        <v>No</v>
      </c>
      <c r="P56" s="412" t="s">
        <v>29</v>
      </c>
      <c r="Q56" s="210">
        <v>325</v>
      </c>
    </row>
    <row r="57" spans="1:23" x14ac:dyDescent="0.2">
      <c r="D57" s="261" t="s">
        <v>417</v>
      </c>
      <c r="E57" s="261">
        <f>SUM(E3:E56)</f>
        <v>36600</v>
      </c>
    </row>
    <row r="62" spans="1:23" ht="13.5" thickBot="1" x14ac:dyDescent="0.25"/>
    <row r="63" spans="1:23" x14ac:dyDescent="0.2">
      <c r="T63" s="528" t="s">
        <v>454</v>
      </c>
      <c r="U63" s="529"/>
      <c r="V63" s="301"/>
      <c r="W63" s="295"/>
    </row>
    <row r="64" spans="1:23" x14ac:dyDescent="0.2">
      <c r="T64" s="90"/>
      <c r="U64" s="20"/>
      <c r="V64" s="304"/>
      <c r="W64" s="100"/>
    </row>
    <row r="65" spans="20:23" x14ac:dyDescent="0.2">
      <c r="T65" s="292" t="s">
        <v>390</v>
      </c>
      <c r="U65" s="193" t="s">
        <v>389</v>
      </c>
      <c r="V65" s="193" t="s">
        <v>494</v>
      </c>
      <c r="W65" s="293" t="s">
        <v>388</v>
      </c>
    </row>
    <row r="66" spans="20:23" x14ac:dyDescent="0.2">
      <c r="T66" s="164" t="s">
        <v>522</v>
      </c>
      <c r="U66" s="163">
        <v>71</v>
      </c>
      <c r="V66" s="163"/>
      <c r="W66" s="100">
        <f>(U66/E21)*100</f>
        <v>11.833333333333334</v>
      </c>
    </row>
    <row r="67" spans="20:23" x14ac:dyDescent="0.2">
      <c r="T67" s="164" t="s">
        <v>503</v>
      </c>
      <c r="U67" s="163">
        <v>36</v>
      </c>
      <c r="V67" s="163"/>
      <c r="W67" s="100">
        <f>(U67/E31)*100</f>
        <v>4.5</v>
      </c>
    </row>
    <row r="68" spans="20:23" x14ac:dyDescent="0.2">
      <c r="T68" s="164" t="s">
        <v>523</v>
      </c>
      <c r="U68" s="163">
        <f>7.5+27.5</f>
        <v>35</v>
      </c>
      <c r="V68" s="163"/>
      <c r="W68" s="100">
        <f>(U68/600)*100</f>
        <v>5.833333333333333</v>
      </c>
    </row>
    <row r="69" spans="20:23" x14ac:dyDescent="0.2">
      <c r="T69" s="164" t="s">
        <v>524</v>
      </c>
      <c r="U69" s="163">
        <v>118</v>
      </c>
      <c r="V69" s="163"/>
      <c r="W69" s="100">
        <f>(U69/E46)*100</f>
        <v>29.5</v>
      </c>
    </row>
    <row r="70" spans="20:23" x14ac:dyDescent="0.2">
      <c r="T70" s="164" t="s">
        <v>380</v>
      </c>
      <c r="U70" s="163">
        <v>49</v>
      </c>
      <c r="V70" s="163"/>
      <c r="W70" s="100">
        <f>(U70/E35)*100</f>
        <v>4.083333333333333</v>
      </c>
    </row>
    <row r="71" spans="20:23" x14ac:dyDescent="0.2">
      <c r="T71" s="164" t="s">
        <v>525</v>
      </c>
      <c r="U71" s="163">
        <v>55.5</v>
      </c>
      <c r="V71" s="163"/>
      <c r="W71" s="100">
        <f>(U71/E38)*100</f>
        <v>2.7749999999999999</v>
      </c>
    </row>
    <row r="72" spans="20:23" x14ac:dyDescent="0.2">
      <c r="T72" s="164" t="s">
        <v>396</v>
      </c>
      <c r="U72" s="163">
        <f>52+298</f>
        <v>350</v>
      </c>
      <c r="V72" s="163"/>
      <c r="W72" s="100">
        <f>(U72/E47)*100</f>
        <v>116.66666666666667</v>
      </c>
    </row>
    <row r="73" spans="20:23" x14ac:dyDescent="0.2">
      <c r="T73" s="164" t="s">
        <v>395</v>
      </c>
      <c r="U73" s="163">
        <v>12.5</v>
      </c>
      <c r="V73" s="163"/>
      <c r="W73" s="100">
        <f>(U73/E52)*100</f>
        <v>3.125</v>
      </c>
    </row>
    <row r="74" spans="20:23" x14ac:dyDescent="0.2">
      <c r="T74" s="164" t="s">
        <v>469</v>
      </c>
      <c r="U74" s="163">
        <v>142</v>
      </c>
      <c r="V74" s="163"/>
      <c r="W74" s="100">
        <f>U74/E54 * 100</f>
        <v>71</v>
      </c>
    </row>
    <row r="75" spans="20:23" x14ac:dyDescent="0.2">
      <c r="T75" s="164" t="s">
        <v>415</v>
      </c>
      <c r="U75" s="163">
        <v>9.5</v>
      </c>
      <c r="V75" s="163"/>
      <c r="W75" s="100">
        <f>U75/E26 * 100</f>
        <v>0.59375</v>
      </c>
    </row>
    <row r="76" spans="20:23" x14ac:dyDescent="0.2">
      <c r="T76" s="164" t="s">
        <v>384</v>
      </c>
      <c r="U76" s="163">
        <v>970</v>
      </c>
      <c r="V76" s="163"/>
      <c r="W76" s="100">
        <f>U76/E37 * 100</f>
        <v>34.642857142857139</v>
      </c>
    </row>
    <row r="77" spans="20:23" x14ac:dyDescent="0.2">
      <c r="T77" s="164" t="s">
        <v>15</v>
      </c>
      <c r="U77" s="163">
        <v>26.5</v>
      </c>
      <c r="V77" s="163"/>
      <c r="W77" s="296"/>
    </row>
    <row r="78" spans="20:23" x14ac:dyDescent="0.2">
      <c r="T78" s="164" t="s">
        <v>327</v>
      </c>
      <c r="U78" s="163">
        <f>465+705+10+164</f>
        <v>1344</v>
      </c>
      <c r="V78" s="163"/>
      <c r="W78" s="296"/>
    </row>
    <row r="79" spans="20:23" x14ac:dyDescent="0.2">
      <c r="T79" s="164" t="s">
        <v>343</v>
      </c>
      <c r="U79" s="163">
        <v>116</v>
      </c>
      <c r="V79" s="163"/>
      <c r="W79" s="296"/>
    </row>
    <row r="80" spans="20:23" x14ac:dyDescent="0.2">
      <c r="T80" s="164" t="s">
        <v>401</v>
      </c>
      <c r="U80" s="163">
        <v>363</v>
      </c>
      <c r="V80" s="163"/>
      <c r="W80" s="296"/>
    </row>
    <row r="81" spans="20:23" x14ac:dyDescent="0.2">
      <c r="T81" s="164" t="s">
        <v>525</v>
      </c>
      <c r="U81" s="163">
        <v>407</v>
      </c>
      <c r="V81" s="163"/>
      <c r="W81" s="296"/>
    </row>
    <row r="82" spans="20:23" ht="13.5" thickBot="1" x14ac:dyDescent="0.25">
      <c r="T82" s="254" t="s">
        <v>20</v>
      </c>
      <c r="U82" s="253">
        <v>204</v>
      </c>
      <c r="V82" s="253"/>
      <c r="W82" s="297"/>
    </row>
    <row r="83" spans="20:23" x14ac:dyDescent="0.2">
      <c r="T83" s="261" t="s">
        <v>526</v>
      </c>
      <c r="U83" s="261">
        <v>512</v>
      </c>
    </row>
    <row r="84" spans="20:23" x14ac:dyDescent="0.2">
      <c r="T84" s="261" t="s">
        <v>31</v>
      </c>
      <c r="U84" s="261">
        <f>548+407</f>
        <v>955</v>
      </c>
    </row>
    <row r="85" spans="20:23" x14ac:dyDescent="0.2">
      <c r="T85" s="261" t="s">
        <v>370</v>
      </c>
      <c r="U85" s="261">
        <v>100</v>
      </c>
    </row>
    <row r="86" spans="20:23" x14ac:dyDescent="0.2">
      <c r="T86" s="261" t="s">
        <v>28</v>
      </c>
      <c r="U86" s="261">
        <v>416</v>
      </c>
    </row>
    <row r="87" spans="20:23" x14ac:dyDescent="0.2">
      <c r="T87" s="261" t="s">
        <v>30</v>
      </c>
      <c r="U87" s="261">
        <v>415</v>
      </c>
    </row>
    <row r="88" spans="20:23" x14ac:dyDescent="0.2">
      <c r="T88" s="261" t="s">
        <v>527</v>
      </c>
      <c r="U88" s="261">
        <v>648</v>
      </c>
    </row>
    <row r="89" spans="20:23" x14ac:dyDescent="0.2">
      <c r="T89" s="261" t="s">
        <v>507</v>
      </c>
      <c r="U89" s="261">
        <v>44</v>
      </c>
    </row>
    <row r="90" spans="20:23" ht="13.5" thickBot="1" x14ac:dyDescent="0.25">
      <c r="T90" s="127" t="s">
        <v>369</v>
      </c>
      <c r="U90" s="262">
        <f>SUM(U66:U89)</f>
        <v>7399</v>
      </c>
      <c r="V90" s="245"/>
    </row>
    <row r="91" spans="20:23" x14ac:dyDescent="0.2">
      <c r="T91" s="17" t="s">
        <v>365</v>
      </c>
      <c r="U91" s="17">
        <f>U90/E57</f>
        <v>0.20215846994535519</v>
      </c>
      <c r="V91" s="17"/>
    </row>
  </sheetData>
  <mergeCells count="23">
    <mergeCell ref="AB15:AG15"/>
    <mergeCell ref="T22:Y22"/>
    <mergeCell ref="T2:Y2"/>
    <mergeCell ref="T63:U63"/>
    <mergeCell ref="A41:A43"/>
    <mergeCell ref="A45:A48"/>
    <mergeCell ref="A49:A50"/>
    <mergeCell ref="A15:A20"/>
    <mergeCell ref="P41:Q43"/>
    <mergeCell ref="A51:A52"/>
    <mergeCell ref="A53:A54"/>
    <mergeCell ref="A55:A56"/>
    <mergeCell ref="A21:A24"/>
    <mergeCell ref="A26:A27"/>
    <mergeCell ref="A28:A32"/>
    <mergeCell ref="A33:A35"/>
    <mergeCell ref="A36:A37"/>
    <mergeCell ref="A39:A40"/>
    <mergeCell ref="C1:I1"/>
    <mergeCell ref="J1:O1"/>
    <mergeCell ref="A4:A5"/>
    <mergeCell ref="A6:A8"/>
    <mergeCell ref="A9:A13"/>
  </mergeCells>
  <conditionalFormatting sqref="L3:L56">
    <cfRule type="expression" dxfId="73" priority="10">
      <formula>(L3&lt;E3)</formula>
    </cfRule>
  </conditionalFormatting>
  <conditionalFormatting sqref="N3:N56">
    <cfRule type="cellIs" dxfId="72" priority="8" operator="lessThan">
      <formula>0</formula>
    </cfRule>
  </conditionalFormatting>
  <conditionalFormatting sqref="O3:O56">
    <cfRule type="containsText" dxfId="71" priority="7" operator="containsText" text="Yes">
      <formula>NOT(ISERROR(SEARCH("Yes",O3)))</formula>
    </cfRule>
  </conditionalFormatting>
  <conditionalFormatting sqref="U4:Z15">
    <cfRule type="cellIs" dxfId="70" priority="6" operator="greaterThan">
      <formula>0</formula>
    </cfRule>
  </conditionalFormatting>
  <conditionalFormatting sqref="AD32:AH36">
    <cfRule type="cellIs" dxfId="69" priority="5" operator="greaterThan">
      <formula>0</formula>
    </cfRule>
  </conditionalFormatting>
  <conditionalFormatting sqref="AC17:AH28">
    <cfRule type="cellIs" dxfId="68" priority="4" operator="greaterThan">
      <formula>0</formula>
    </cfRule>
  </conditionalFormatting>
  <conditionalFormatting sqref="Z24:Z35">
    <cfRule type="cellIs" dxfId="67" priority="3" operator="greaterThan">
      <formula>0</formula>
    </cfRule>
  </conditionalFormatting>
  <conditionalFormatting sqref="V24:Y35">
    <cfRule type="cellIs" dxfId="66" priority="2" operator="greaterThan">
      <formula>0</formula>
    </cfRule>
  </conditionalFormatting>
  <conditionalFormatting sqref="U24:U35">
    <cfRule type="cellIs" dxfId="65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topLeftCell="U23" zoomScale="90" zoomScaleNormal="90" workbookViewId="0">
      <selection activeCell="Y47" sqref="Y47:AE63"/>
    </sheetView>
  </sheetViews>
  <sheetFormatPr defaultRowHeight="15" x14ac:dyDescent="0.25"/>
  <cols>
    <col min="2" max="2" width="19.28515625" customWidth="1"/>
    <col min="3" max="3" width="23.42578125" customWidth="1"/>
    <col min="4" max="4" width="20.85546875" customWidth="1"/>
    <col min="5" max="5" width="29.5703125" customWidth="1"/>
    <col min="6" max="6" width="21" customWidth="1"/>
    <col min="7" max="7" width="13.7109375" customWidth="1"/>
    <col min="8" max="8" width="30.140625" customWidth="1"/>
    <col min="9" max="9" width="24.140625" customWidth="1"/>
    <col min="10" max="10" width="20.28515625" customWidth="1"/>
    <col min="11" max="11" width="20.5703125" customWidth="1"/>
    <col min="12" max="12" width="27.140625" customWidth="1"/>
    <col min="13" max="13" width="16.28515625" customWidth="1"/>
    <col min="14" max="14" width="26.28515625" customWidth="1"/>
    <col min="15" max="15" width="19.140625" customWidth="1"/>
    <col min="17" max="17" width="24.28515625" customWidth="1"/>
    <col min="18" max="18" width="18.85546875" customWidth="1"/>
    <col min="19" max="19" width="23.7109375" customWidth="1"/>
    <col min="20" max="20" width="23.85546875" customWidth="1"/>
    <col min="21" max="21" width="15.42578125" customWidth="1"/>
    <col min="22" max="22" width="40.140625" customWidth="1"/>
    <col min="25" max="25" width="17.140625" customWidth="1"/>
    <col min="26" max="26" width="19.85546875" customWidth="1"/>
    <col min="27" max="27" width="19.7109375" customWidth="1"/>
  </cols>
  <sheetData>
    <row r="1" spans="1:27" ht="15.75" thickBot="1" x14ac:dyDescent="0.3">
      <c r="A1" s="193" t="s">
        <v>450</v>
      </c>
      <c r="B1" s="192" t="s">
        <v>449</v>
      </c>
      <c r="C1" s="191" t="s">
        <v>448</v>
      </c>
      <c r="D1" s="190" t="s">
        <v>34</v>
      </c>
      <c r="E1" s="190" t="s">
        <v>491</v>
      </c>
      <c r="F1" s="190" t="s">
        <v>447</v>
      </c>
      <c r="G1" s="190" t="s">
        <v>459</v>
      </c>
      <c r="H1" s="190" t="s">
        <v>460</v>
      </c>
      <c r="I1" s="190" t="s">
        <v>492</v>
      </c>
      <c r="J1" s="190" t="s">
        <v>33</v>
      </c>
      <c r="K1" s="189" t="s">
        <v>444</v>
      </c>
      <c r="L1" s="188" t="s">
        <v>446</v>
      </c>
      <c r="M1" s="188" t="s">
        <v>34</v>
      </c>
      <c r="N1" s="188" t="s">
        <v>41</v>
      </c>
      <c r="O1" s="187" t="s">
        <v>445</v>
      </c>
      <c r="P1" s="186" t="s">
        <v>459</v>
      </c>
      <c r="Q1" s="276" t="s">
        <v>461</v>
      </c>
      <c r="R1" s="186" t="s">
        <v>33</v>
      </c>
      <c r="S1" s="188" t="s">
        <v>444</v>
      </c>
      <c r="T1" s="241" t="s">
        <v>501</v>
      </c>
      <c r="U1" s="186" t="s">
        <v>502</v>
      </c>
      <c r="V1" s="186" t="s">
        <v>506</v>
      </c>
    </row>
    <row r="2" spans="1:27" ht="15.75" thickBot="1" x14ac:dyDescent="0.3">
      <c r="A2" s="158" t="s">
        <v>438</v>
      </c>
      <c r="B2" s="181" t="s">
        <v>437</v>
      </c>
      <c r="C2" s="180" t="s">
        <v>436</v>
      </c>
      <c r="D2" s="179">
        <v>386.9</v>
      </c>
      <c r="E2" s="85">
        <f>IF(D2&lt;135,300, IF(AND(D2&gt;135,D2&lt;288),250, IF(AND(D2&gt;288,D2&lt;537),200,IF(AND(D2&gt;537,D2&lt;1096),150,100))))</f>
        <v>200</v>
      </c>
      <c r="F2" s="179">
        <v>131.95400000000001</v>
      </c>
      <c r="G2" s="85">
        <v>2</v>
      </c>
      <c r="H2" s="85">
        <f>G2*F2</f>
        <v>263.90800000000002</v>
      </c>
      <c r="I2" s="84">
        <f>CEILING(H2/(0.84*E2),1)</f>
        <v>2</v>
      </c>
      <c r="J2" s="307">
        <f t="shared" ref="J2:J12" si="0">E2*I2</f>
        <v>400</v>
      </c>
      <c r="K2" s="84">
        <f t="shared" ref="K2:K55" si="1">J2-H2</f>
        <v>136.09199999999998</v>
      </c>
      <c r="L2" s="177" t="s">
        <v>435</v>
      </c>
      <c r="M2" s="177">
        <v>598.85</v>
      </c>
      <c r="N2" s="177">
        <f>IF(M2&lt;135,300, IF(AND(M2&gt;135,M2&lt;288),250, IF(AND(M2&gt;288,M2&lt;537),200,IF(AND(M2&gt;537,M2&lt;1096),150,100))))</f>
        <v>150</v>
      </c>
      <c r="O2" s="176">
        <f>F2</f>
        <v>131.95400000000001</v>
      </c>
      <c r="P2" s="101">
        <v>2</v>
      </c>
      <c r="Q2" s="82">
        <f>O2*P2</f>
        <v>263.90800000000002</v>
      </c>
      <c r="R2" s="177">
        <f t="shared" ref="R2:R12" si="2">N2*I2</f>
        <v>300</v>
      </c>
      <c r="S2" s="248">
        <f t="shared" ref="S2:S12" si="3">R2-Q2</f>
        <v>36.091999999999985</v>
      </c>
      <c r="T2" s="176">
        <f>IF(S2&lt;-1, CEILING((Q2-R2)/N2,1),0)</f>
        <v>0</v>
      </c>
      <c r="U2">
        <f>T2*N2</f>
        <v>0</v>
      </c>
      <c r="V2">
        <f>IF(S2&lt;0, -1*S2,0)</f>
        <v>0</v>
      </c>
    </row>
    <row r="3" spans="1:27" ht="15.75" thickBot="1" x14ac:dyDescent="0.3">
      <c r="A3" s="480" t="s">
        <v>44</v>
      </c>
      <c r="B3" s="174" t="s">
        <v>3</v>
      </c>
      <c r="C3" s="173" t="s">
        <v>44</v>
      </c>
      <c r="D3" s="172">
        <v>424.31</v>
      </c>
      <c r="E3" s="269">
        <f t="shared" ref="E3:E55" si="4">IF(D3&lt;135,300, IF(AND(D3&gt;135,D3&lt;288),250, IF(AND(D3&gt;288,D3&lt;537),200,IF(AND(D3&gt;537,D3&lt;1096),150,100))))</f>
        <v>200</v>
      </c>
      <c r="F3" s="172">
        <v>79.758499999999998</v>
      </c>
      <c r="G3" s="269">
        <v>2</v>
      </c>
      <c r="H3" s="85">
        <f t="shared" ref="H3:H55" si="5">G3*F3</f>
        <v>159.517</v>
      </c>
      <c r="I3" s="84">
        <f t="shared" ref="I3:I55" si="6">CEILING(H3/(0.84*E3),1)</f>
        <v>1</v>
      </c>
      <c r="J3" s="308">
        <f t="shared" si="0"/>
        <v>200</v>
      </c>
      <c r="K3" s="84">
        <f t="shared" si="1"/>
        <v>40.483000000000004</v>
      </c>
      <c r="L3" s="168" t="s">
        <v>434</v>
      </c>
      <c r="M3" s="170">
        <v>561.44000000000005</v>
      </c>
      <c r="N3" s="177">
        <f t="shared" ref="N3:N55" si="7">IF(M3&lt;135,300, IF(AND(M3&gt;135,M3&lt;288),250, IF(AND(M3&gt;288,M3&lt;537),200,IF(AND(M3&gt;537,M3&lt;1096),150,100))))</f>
        <v>150</v>
      </c>
      <c r="O3" s="176">
        <f t="shared" ref="O3:O12" si="8">F3</f>
        <v>79.758499999999998</v>
      </c>
      <c r="P3" s="273">
        <v>2</v>
      </c>
      <c r="Q3" s="277">
        <f t="shared" ref="Q3:Q55" si="9">O3*P3</f>
        <v>159.517</v>
      </c>
      <c r="R3" s="177">
        <f t="shared" si="2"/>
        <v>150</v>
      </c>
      <c r="S3" s="248">
        <f t="shared" si="3"/>
        <v>-9.5169999999999959</v>
      </c>
      <c r="T3" s="176">
        <f t="shared" ref="T3:T12" si="10">IF(S3&lt;-1, CEILING((Q3-R3)/N3,1),0)</f>
        <v>1</v>
      </c>
      <c r="U3">
        <f t="shared" ref="U3:U55" si="11">T3*N3</f>
        <v>150</v>
      </c>
      <c r="V3">
        <f t="shared" ref="V3:V55" si="12">IF(S3&lt;0, -1*S3,0)</f>
        <v>9.5169999999999959</v>
      </c>
    </row>
    <row r="4" spans="1:27" ht="15.75" thickBot="1" x14ac:dyDescent="0.3">
      <c r="A4" s="464"/>
      <c r="B4" s="63" t="s">
        <v>25</v>
      </c>
      <c r="C4" s="116" t="s">
        <v>65</v>
      </c>
      <c r="D4" s="95">
        <v>645.40499999999997</v>
      </c>
      <c r="E4" s="271">
        <f t="shared" si="4"/>
        <v>150</v>
      </c>
      <c r="F4" s="95">
        <v>101.52370000000001</v>
      </c>
      <c r="G4" s="271">
        <v>2</v>
      </c>
      <c r="H4" s="95">
        <f t="shared" si="5"/>
        <v>203.04740000000001</v>
      </c>
      <c r="I4" s="84">
        <f t="shared" si="6"/>
        <v>2</v>
      </c>
      <c r="J4" s="312">
        <f t="shared" si="0"/>
        <v>300</v>
      </c>
      <c r="K4" s="84">
        <f t="shared" si="1"/>
        <v>96.95259999999999</v>
      </c>
      <c r="L4" s="91" t="s">
        <v>429</v>
      </c>
      <c r="M4" s="93">
        <v>691.82</v>
      </c>
      <c r="N4" s="177">
        <f t="shared" si="7"/>
        <v>150</v>
      </c>
      <c r="O4" s="176">
        <f t="shared" si="8"/>
        <v>101.52370000000001</v>
      </c>
      <c r="P4" s="274">
        <v>2</v>
      </c>
      <c r="Q4" s="278">
        <f t="shared" si="9"/>
        <v>203.04740000000001</v>
      </c>
      <c r="R4" s="177">
        <f t="shared" si="2"/>
        <v>300</v>
      </c>
      <c r="S4" s="248">
        <f t="shared" si="3"/>
        <v>96.95259999999999</v>
      </c>
      <c r="T4" s="176">
        <f t="shared" si="10"/>
        <v>0</v>
      </c>
      <c r="U4">
        <f t="shared" si="11"/>
        <v>0</v>
      </c>
      <c r="V4">
        <f t="shared" si="12"/>
        <v>0</v>
      </c>
    </row>
    <row r="5" spans="1:27" ht="15.75" thickBot="1" x14ac:dyDescent="0.3">
      <c r="A5" s="462" t="s">
        <v>433</v>
      </c>
      <c r="B5" s="87" t="s">
        <v>432</v>
      </c>
      <c r="C5" s="86" t="s">
        <v>392</v>
      </c>
      <c r="D5" s="85">
        <v>774.56</v>
      </c>
      <c r="E5" s="269">
        <f t="shared" si="4"/>
        <v>150</v>
      </c>
      <c r="F5" s="85">
        <v>593.39</v>
      </c>
      <c r="G5" s="269">
        <v>2</v>
      </c>
      <c r="H5" s="85">
        <f t="shared" si="5"/>
        <v>1186.78</v>
      </c>
      <c r="I5" s="84">
        <f t="shared" si="6"/>
        <v>10</v>
      </c>
      <c r="J5" s="308">
        <f t="shared" si="0"/>
        <v>1500</v>
      </c>
      <c r="K5" s="84">
        <f t="shared" si="1"/>
        <v>313.22000000000003</v>
      </c>
      <c r="L5" s="101" t="s">
        <v>431</v>
      </c>
      <c r="M5" s="83">
        <v>778.62</v>
      </c>
      <c r="N5" s="177">
        <f t="shared" si="7"/>
        <v>150</v>
      </c>
      <c r="O5" s="176">
        <f t="shared" si="8"/>
        <v>593.39</v>
      </c>
      <c r="P5" s="273">
        <v>2</v>
      </c>
      <c r="Q5" s="277">
        <f t="shared" si="9"/>
        <v>1186.78</v>
      </c>
      <c r="R5" s="177">
        <f t="shared" si="2"/>
        <v>1500</v>
      </c>
      <c r="S5" s="248">
        <f t="shared" si="3"/>
        <v>313.22000000000003</v>
      </c>
      <c r="T5" s="176">
        <f t="shared" si="10"/>
        <v>0</v>
      </c>
      <c r="U5">
        <f t="shared" si="11"/>
        <v>0</v>
      </c>
      <c r="V5">
        <f t="shared" si="12"/>
        <v>0</v>
      </c>
    </row>
    <row r="6" spans="1:27" ht="15.75" thickBot="1" x14ac:dyDescent="0.3">
      <c r="A6" s="464"/>
      <c r="B6" s="97" t="s">
        <v>4</v>
      </c>
      <c r="C6" s="96" t="s">
        <v>45</v>
      </c>
      <c r="D6" s="110">
        <v>221.095</v>
      </c>
      <c r="E6" s="271">
        <f t="shared" si="4"/>
        <v>250</v>
      </c>
      <c r="F6" s="110">
        <v>165.54</v>
      </c>
      <c r="G6" s="271">
        <v>2</v>
      </c>
      <c r="H6" s="95">
        <f t="shared" si="5"/>
        <v>331.08</v>
      </c>
      <c r="I6" s="84">
        <f t="shared" si="6"/>
        <v>2</v>
      </c>
      <c r="J6" s="312">
        <f t="shared" si="0"/>
        <v>500</v>
      </c>
      <c r="K6" s="84">
        <f t="shared" si="1"/>
        <v>168.92000000000002</v>
      </c>
      <c r="L6" s="102" t="s">
        <v>430</v>
      </c>
      <c r="M6" s="108">
        <v>904.18</v>
      </c>
      <c r="N6" s="177">
        <f t="shared" si="7"/>
        <v>150</v>
      </c>
      <c r="O6" s="176">
        <f t="shared" si="8"/>
        <v>165.54</v>
      </c>
      <c r="P6" s="274">
        <v>2</v>
      </c>
      <c r="Q6" s="278">
        <f t="shared" si="9"/>
        <v>331.08</v>
      </c>
      <c r="R6" s="177">
        <f t="shared" si="2"/>
        <v>300</v>
      </c>
      <c r="S6" s="248">
        <f t="shared" si="3"/>
        <v>-31.079999999999984</v>
      </c>
      <c r="T6" s="176">
        <f t="shared" si="10"/>
        <v>1</v>
      </c>
      <c r="U6">
        <f t="shared" si="11"/>
        <v>150</v>
      </c>
      <c r="V6">
        <f t="shared" si="12"/>
        <v>31.079999999999984</v>
      </c>
    </row>
    <row r="7" spans="1:27" ht="15.75" thickBot="1" x14ac:dyDescent="0.3">
      <c r="A7" s="464"/>
      <c r="B7" s="97" t="s">
        <v>25</v>
      </c>
      <c r="C7" s="96" t="s">
        <v>65</v>
      </c>
      <c r="D7" s="95">
        <v>645.40499999999997</v>
      </c>
      <c r="E7" s="271">
        <f t="shared" si="4"/>
        <v>150</v>
      </c>
      <c r="F7" s="95">
        <v>101.52370000000001</v>
      </c>
      <c r="G7" s="271">
        <v>2</v>
      </c>
      <c r="H7" s="95">
        <f t="shared" si="5"/>
        <v>203.04740000000001</v>
      </c>
      <c r="I7" s="84">
        <f t="shared" si="6"/>
        <v>2</v>
      </c>
      <c r="J7" s="312">
        <f t="shared" si="0"/>
        <v>300</v>
      </c>
      <c r="K7" s="84">
        <f t="shared" si="1"/>
        <v>96.95259999999999</v>
      </c>
      <c r="L7" s="91" t="s">
        <v>429</v>
      </c>
      <c r="M7" s="93">
        <v>691.82</v>
      </c>
      <c r="N7" s="177">
        <f t="shared" si="7"/>
        <v>150</v>
      </c>
      <c r="O7" s="176">
        <f t="shared" si="8"/>
        <v>101.52370000000001</v>
      </c>
      <c r="P7" s="274">
        <v>2</v>
      </c>
      <c r="Q7" s="278">
        <f t="shared" si="9"/>
        <v>203.04740000000001</v>
      </c>
      <c r="R7" s="177">
        <f t="shared" si="2"/>
        <v>300</v>
      </c>
      <c r="S7" s="248">
        <f t="shared" si="3"/>
        <v>96.95259999999999</v>
      </c>
      <c r="T7" s="176">
        <f t="shared" si="10"/>
        <v>0</v>
      </c>
      <c r="U7">
        <f t="shared" si="11"/>
        <v>0</v>
      </c>
      <c r="V7">
        <f t="shared" si="12"/>
        <v>0</v>
      </c>
    </row>
    <row r="8" spans="1:27" ht="15.75" thickBot="1" x14ac:dyDescent="0.3">
      <c r="A8" s="462" t="s">
        <v>46</v>
      </c>
      <c r="B8" s="87" t="s">
        <v>5</v>
      </c>
      <c r="C8" s="86" t="s">
        <v>46</v>
      </c>
      <c r="D8" s="85">
        <v>87.444999999999993</v>
      </c>
      <c r="E8" s="269">
        <f t="shared" si="4"/>
        <v>300</v>
      </c>
      <c r="F8" s="85">
        <v>330.03719999999998</v>
      </c>
      <c r="G8" s="269">
        <v>2</v>
      </c>
      <c r="H8" s="85">
        <f t="shared" si="5"/>
        <v>660.07439999999997</v>
      </c>
      <c r="I8" s="84">
        <f t="shared" si="6"/>
        <v>3</v>
      </c>
      <c r="J8" s="308">
        <f t="shared" si="0"/>
        <v>900</v>
      </c>
      <c r="K8" s="84">
        <f t="shared" si="1"/>
        <v>239.92560000000003</v>
      </c>
      <c r="L8" s="101" t="s">
        <v>428</v>
      </c>
      <c r="M8" s="83">
        <v>243.73500000000001</v>
      </c>
      <c r="N8" s="177">
        <f t="shared" si="7"/>
        <v>250</v>
      </c>
      <c r="O8" s="176">
        <f t="shared" si="8"/>
        <v>330.03719999999998</v>
      </c>
      <c r="P8" s="273">
        <v>2</v>
      </c>
      <c r="Q8" s="277">
        <f t="shared" si="9"/>
        <v>660.07439999999997</v>
      </c>
      <c r="R8" s="177">
        <f t="shared" si="2"/>
        <v>750</v>
      </c>
      <c r="S8" s="248">
        <f t="shared" si="3"/>
        <v>89.925600000000031</v>
      </c>
      <c r="T8" s="176">
        <f t="shared" si="10"/>
        <v>0</v>
      </c>
      <c r="U8">
        <f t="shared" si="11"/>
        <v>0</v>
      </c>
      <c r="V8">
        <f t="shared" si="12"/>
        <v>0</v>
      </c>
    </row>
    <row r="9" spans="1:27" ht="15.75" thickBot="1" x14ac:dyDescent="0.3">
      <c r="A9" s="464"/>
      <c r="B9" s="97" t="s">
        <v>7</v>
      </c>
      <c r="C9" s="96" t="s">
        <v>48</v>
      </c>
      <c r="D9" s="110">
        <v>457.755</v>
      </c>
      <c r="E9" s="271">
        <f t="shared" si="4"/>
        <v>200</v>
      </c>
      <c r="F9" s="110">
        <v>200.11</v>
      </c>
      <c r="G9" s="271">
        <v>2</v>
      </c>
      <c r="H9" s="95">
        <f t="shared" si="5"/>
        <v>400.22</v>
      </c>
      <c r="I9" s="84">
        <f t="shared" si="6"/>
        <v>3</v>
      </c>
      <c r="J9" s="312">
        <f t="shared" si="0"/>
        <v>600</v>
      </c>
      <c r="K9" s="84">
        <f t="shared" si="1"/>
        <v>199.77999999999997</v>
      </c>
      <c r="L9" s="102" t="s">
        <v>427</v>
      </c>
      <c r="M9" s="108">
        <v>614.06500000000005</v>
      </c>
      <c r="N9" s="177">
        <f t="shared" si="7"/>
        <v>150</v>
      </c>
      <c r="O9" s="176">
        <f t="shared" si="8"/>
        <v>200.11</v>
      </c>
      <c r="P9" s="274">
        <v>2</v>
      </c>
      <c r="Q9" s="278">
        <f t="shared" si="9"/>
        <v>400.22</v>
      </c>
      <c r="R9" s="177">
        <f t="shared" si="2"/>
        <v>450</v>
      </c>
      <c r="S9" s="248">
        <f t="shared" si="3"/>
        <v>49.779999999999973</v>
      </c>
      <c r="T9" s="176">
        <f t="shared" si="10"/>
        <v>0</v>
      </c>
      <c r="U9">
        <f t="shared" si="11"/>
        <v>0</v>
      </c>
      <c r="V9">
        <f t="shared" si="12"/>
        <v>0</v>
      </c>
      <c r="Y9" s="331" t="s">
        <v>454</v>
      </c>
      <c r="Z9" s="332"/>
      <c r="AA9" s="333"/>
    </row>
    <row r="10" spans="1:27" ht="15.75" thickBot="1" x14ac:dyDescent="0.3">
      <c r="A10" s="464"/>
      <c r="B10" s="97" t="s">
        <v>8</v>
      </c>
      <c r="C10" s="96" t="s">
        <v>74</v>
      </c>
      <c r="D10" s="110">
        <v>632.29</v>
      </c>
      <c r="E10" s="271">
        <f t="shared" si="4"/>
        <v>150</v>
      </c>
      <c r="F10" s="110">
        <v>416.14780000000002</v>
      </c>
      <c r="G10" s="271">
        <v>2</v>
      </c>
      <c r="H10" s="95">
        <f t="shared" si="5"/>
        <v>832.29560000000004</v>
      </c>
      <c r="I10" s="84">
        <f t="shared" si="6"/>
        <v>7</v>
      </c>
      <c r="J10" s="312">
        <f t="shared" si="0"/>
        <v>1050</v>
      </c>
      <c r="K10" s="84">
        <f t="shared" si="1"/>
        <v>217.70439999999996</v>
      </c>
      <c r="L10" s="102" t="s">
        <v>426</v>
      </c>
      <c r="M10" s="108">
        <v>692.19500000000005</v>
      </c>
      <c r="N10" s="177">
        <f t="shared" si="7"/>
        <v>150</v>
      </c>
      <c r="O10" s="176">
        <f t="shared" si="8"/>
        <v>416.14780000000002</v>
      </c>
      <c r="P10" s="274">
        <v>2</v>
      </c>
      <c r="Q10" s="278">
        <f t="shared" si="9"/>
        <v>832.29560000000004</v>
      </c>
      <c r="R10" s="177">
        <f t="shared" si="2"/>
        <v>1050</v>
      </c>
      <c r="S10" s="248">
        <f t="shared" si="3"/>
        <v>217.70439999999996</v>
      </c>
      <c r="T10" s="176">
        <f t="shared" si="10"/>
        <v>0</v>
      </c>
      <c r="U10">
        <f t="shared" si="11"/>
        <v>0</v>
      </c>
      <c r="V10">
        <f t="shared" si="12"/>
        <v>0</v>
      </c>
      <c r="Y10" s="90"/>
      <c r="Z10" s="304"/>
      <c r="AA10" s="100"/>
    </row>
    <row r="11" spans="1:27" ht="15.75" thickBot="1" x14ac:dyDescent="0.3">
      <c r="A11" s="464"/>
      <c r="B11" s="97" t="s">
        <v>12</v>
      </c>
      <c r="C11" s="96" t="s">
        <v>52</v>
      </c>
      <c r="D11" s="110">
        <v>428.91</v>
      </c>
      <c r="E11" s="271">
        <f t="shared" si="4"/>
        <v>200</v>
      </c>
      <c r="F11" s="110">
        <v>320.77999999999997</v>
      </c>
      <c r="G11" s="271">
        <v>2</v>
      </c>
      <c r="H11" s="95">
        <f t="shared" si="5"/>
        <v>641.55999999999995</v>
      </c>
      <c r="I11" s="84">
        <f t="shared" si="6"/>
        <v>4</v>
      </c>
      <c r="J11" s="312">
        <f t="shared" si="0"/>
        <v>800</v>
      </c>
      <c r="K11" s="84">
        <f t="shared" si="1"/>
        <v>158.44000000000005</v>
      </c>
      <c r="L11" s="102" t="s">
        <v>420</v>
      </c>
      <c r="M11" s="108">
        <v>440.09</v>
      </c>
      <c r="N11" s="177">
        <f t="shared" si="7"/>
        <v>200</v>
      </c>
      <c r="O11" s="176">
        <f t="shared" si="8"/>
        <v>320.77999999999997</v>
      </c>
      <c r="P11" s="274">
        <v>2</v>
      </c>
      <c r="Q11" s="278">
        <f t="shared" si="9"/>
        <v>641.55999999999995</v>
      </c>
      <c r="R11" s="177">
        <f t="shared" si="2"/>
        <v>800</v>
      </c>
      <c r="S11" s="248">
        <f t="shared" si="3"/>
        <v>158.44000000000005</v>
      </c>
      <c r="T11" s="176">
        <f t="shared" si="10"/>
        <v>0</v>
      </c>
      <c r="U11">
        <f t="shared" si="11"/>
        <v>0</v>
      </c>
      <c r="V11">
        <f t="shared" si="12"/>
        <v>0</v>
      </c>
      <c r="Y11" s="138" t="s">
        <v>390</v>
      </c>
      <c r="Z11" s="137" t="s">
        <v>389</v>
      </c>
      <c r="AA11" s="136" t="s">
        <v>388</v>
      </c>
    </row>
    <row r="12" spans="1:27" ht="15.75" thickBot="1" x14ac:dyDescent="0.3">
      <c r="A12" s="464"/>
      <c r="B12" s="97" t="s">
        <v>396</v>
      </c>
      <c r="C12" s="96" t="s">
        <v>63</v>
      </c>
      <c r="D12" s="95">
        <v>530.30999999999995</v>
      </c>
      <c r="E12" s="270">
        <f t="shared" si="4"/>
        <v>200</v>
      </c>
      <c r="F12" s="95">
        <v>22.35</v>
      </c>
      <c r="G12" s="270">
        <v>2</v>
      </c>
      <c r="H12" s="74">
        <f t="shared" si="5"/>
        <v>44.7</v>
      </c>
      <c r="I12" s="84">
        <f t="shared" si="6"/>
        <v>1</v>
      </c>
      <c r="J12" s="310">
        <f t="shared" si="0"/>
        <v>200</v>
      </c>
      <c r="K12" s="84">
        <f t="shared" si="1"/>
        <v>155.30000000000001</v>
      </c>
      <c r="L12" s="91" t="s">
        <v>418</v>
      </c>
      <c r="M12" s="93">
        <v>541.49</v>
      </c>
      <c r="N12" s="177">
        <f t="shared" si="7"/>
        <v>150</v>
      </c>
      <c r="O12" s="176">
        <f t="shared" si="8"/>
        <v>22.35</v>
      </c>
      <c r="P12" s="275">
        <v>2</v>
      </c>
      <c r="Q12" s="279">
        <f t="shared" si="9"/>
        <v>44.7</v>
      </c>
      <c r="R12" s="177">
        <f t="shared" si="2"/>
        <v>150</v>
      </c>
      <c r="S12" s="248">
        <f t="shared" si="3"/>
        <v>105.3</v>
      </c>
      <c r="T12" s="176">
        <f t="shared" si="10"/>
        <v>0</v>
      </c>
      <c r="U12">
        <f t="shared" si="11"/>
        <v>0</v>
      </c>
      <c r="V12">
        <f t="shared" si="12"/>
        <v>0</v>
      </c>
      <c r="Y12" s="164" t="s">
        <v>14</v>
      </c>
      <c r="Z12" s="163">
        <v>129.02000000000001</v>
      </c>
      <c r="AA12" s="100"/>
    </row>
    <row r="13" spans="1:27" ht="15.75" thickBot="1" x14ac:dyDescent="0.3">
      <c r="A13" s="330" t="s">
        <v>426</v>
      </c>
      <c r="B13" s="87" t="s">
        <v>351</v>
      </c>
      <c r="C13" s="157"/>
      <c r="D13" s="85"/>
      <c r="E13" s="95">
        <f t="shared" si="4"/>
        <v>300</v>
      </c>
      <c r="F13" s="85"/>
      <c r="G13" s="95">
        <v>2</v>
      </c>
      <c r="H13" s="95">
        <f t="shared" si="5"/>
        <v>0</v>
      </c>
      <c r="I13" s="84">
        <f t="shared" si="6"/>
        <v>0</v>
      </c>
      <c r="J13" s="306"/>
      <c r="K13" s="84">
        <f t="shared" si="1"/>
        <v>0</v>
      </c>
      <c r="L13" s="83"/>
      <c r="M13" s="83"/>
      <c r="N13" s="177">
        <f t="shared" si="7"/>
        <v>300</v>
      </c>
      <c r="O13" s="82"/>
      <c r="P13" s="91">
        <v>2</v>
      </c>
      <c r="Q13" s="92">
        <f t="shared" si="9"/>
        <v>0</v>
      </c>
      <c r="R13" s="83"/>
      <c r="S13" s="201"/>
      <c r="T13" s="82"/>
      <c r="U13">
        <f t="shared" si="11"/>
        <v>0</v>
      </c>
      <c r="V13">
        <f t="shared" si="12"/>
        <v>0</v>
      </c>
      <c r="Y13" s="164" t="s">
        <v>503</v>
      </c>
      <c r="Z13" s="163">
        <v>79</v>
      </c>
      <c r="AA13" s="100"/>
    </row>
    <row r="14" spans="1:27" ht="15.75" thickBot="1" x14ac:dyDescent="0.3">
      <c r="A14" s="462" t="s">
        <v>49</v>
      </c>
      <c r="B14" s="87" t="s">
        <v>425</v>
      </c>
      <c r="C14" s="86" t="s">
        <v>47</v>
      </c>
      <c r="D14" s="85">
        <v>341.36500000000001</v>
      </c>
      <c r="E14" s="269">
        <f t="shared" si="4"/>
        <v>200</v>
      </c>
      <c r="F14" s="85">
        <v>414.50749999999999</v>
      </c>
      <c r="G14" s="269">
        <v>2</v>
      </c>
      <c r="H14" s="85">
        <f t="shared" si="5"/>
        <v>829.01499999999999</v>
      </c>
      <c r="I14" s="84">
        <f t="shared" si="6"/>
        <v>5</v>
      </c>
      <c r="J14" s="308">
        <f t="shared" ref="J14:J23" si="13">I14*E14</f>
        <v>1000</v>
      </c>
      <c r="K14" s="84">
        <f t="shared" si="1"/>
        <v>170.98500000000001</v>
      </c>
      <c r="L14" s="101" t="s">
        <v>424</v>
      </c>
      <c r="M14" s="83">
        <v>527.53499999999997</v>
      </c>
      <c r="N14" s="177">
        <f t="shared" si="7"/>
        <v>200</v>
      </c>
      <c r="O14" s="83">
        <f>F14</f>
        <v>414.50749999999999</v>
      </c>
      <c r="P14" s="273">
        <v>2</v>
      </c>
      <c r="Q14" s="277">
        <f t="shared" si="9"/>
        <v>829.01499999999999</v>
      </c>
      <c r="R14" s="83">
        <f t="shared" ref="R14:R23" si="14">N14*I14</f>
        <v>1000</v>
      </c>
      <c r="S14" s="197">
        <f t="shared" ref="S14:S23" si="15">R14-Q14</f>
        <v>170.98500000000001</v>
      </c>
      <c r="T14" s="82">
        <f>IF(S14&lt;-1, CEILING((Q14-R14)/N14,1),0)</f>
        <v>0</v>
      </c>
      <c r="U14">
        <f t="shared" si="11"/>
        <v>0</v>
      </c>
      <c r="V14">
        <f t="shared" si="12"/>
        <v>0</v>
      </c>
      <c r="Y14" s="164" t="s">
        <v>11</v>
      </c>
      <c r="Z14" s="163">
        <v>27.67</v>
      </c>
      <c r="AA14" s="100"/>
    </row>
    <row r="15" spans="1:27" ht="15.75" thickBot="1" x14ac:dyDescent="0.3">
      <c r="A15" s="464"/>
      <c r="B15" s="97" t="s">
        <v>9</v>
      </c>
      <c r="C15" s="96" t="s">
        <v>423</v>
      </c>
      <c r="D15" s="110">
        <v>72.555000000000007</v>
      </c>
      <c r="E15" s="271">
        <f t="shared" si="4"/>
        <v>300</v>
      </c>
      <c r="F15" s="110">
        <v>249.06020000000001</v>
      </c>
      <c r="G15" s="271">
        <v>2</v>
      </c>
      <c r="H15" s="95">
        <f t="shared" si="5"/>
        <v>498.12040000000002</v>
      </c>
      <c r="I15" s="84">
        <f t="shared" si="6"/>
        <v>2</v>
      </c>
      <c r="J15" s="312">
        <f t="shared" si="13"/>
        <v>600</v>
      </c>
      <c r="K15" s="84">
        <f t="shared" si="1"/>
        <v>101.87959999999998</v>
      </c>
      <c r="L15" s="102" t="s">
        <v>422</v>
      </c>
      <c r="M15" s="108">
        <v>258.625</v>
      </c>
      <c r="N15" s="177">
        <f t="shared" si="7"/>
        <v>250</v>
      </c>
      <c r="O15" s="83">
        <f t="shared" ref="O15:O23" si="16">F15</f>
        <v>249.06020000000001</v>
      </c>
      <c r="P15" s="274">
        <v>2</v>
      </c>
      <c r="Q15" s="278">
        <f t="shared" si="9"/>
        <v>498.12040000000002</v>
      </c>
      <c r="R15" s="83">
        <f t="shared" si="14"/>
        <v>500</v>
      </c>
      <c r="S15" s="197">
        <f t="shared" si="15"/>
        <v>1.8795999999999822</v>
      </c>
      <c r="T15" s="82">
        <f t="shared" ref="T15:T23" si="17">IF(S15&lt;-1, CEILING((Q15-R15)/N15,1),0)</f>
        <v>0</v>
      </c>
      <c r="U15">
        <f t="shared" si="11"/>
        <v>0</v>
      </c>
      <c r="V15">
        <f t="shared" si="12"/>
        <v>0</v>
      </c>
      <c r="Y15" s="164" t="s">
        <v>12</v>
      </c>
      <c r="Z15" s="163">
        <v>41.56</v>
      </c>
      <c r="AA15" s="100"/>
    </row>
    <row r="16" spans="1:27" ht="15.75" thickBot="1" x14ac:dyDescent="0.3">
      <c r="A16" s="464"/>
      <c r="B16" s="97" t="s">
        <v>10</v>
      </c>
      <c r="C16" s="96" t="s">
        <v>386</v>
      </c>
      <c r="D16" s="110">
        <v>894.93</v>
      </c>
      <c r="E16" s="271">
        <f t="shared" si="4"/>
        <v>150</v>
      </c>
      <c r="F16" s="110">
        <v>185.4342</v>
      </c>
      <c r="G16" s="271">
        <v>2</v>
      </c>
      <c r="H16" s="95">
        <f t="shared" si="5"/>
        <v>370.86840000000001</v>
      </c>
      <c r="I16" s="84">
        <f t="shared" si="6"/>
        <v>3</v>
      </c>
      <c r="J16" s="312">
        <f t="shared" si="13"/>
        <v>450</v>
      </c>
      <c r="K16" s="84">
        <f t="shared" si="1"/>
        <v>79.131599999999992</v>
      </c>
      <c r="L16" s="102" t="s">
        <v>385</v>
      </c>
      <c r="M16" s="108">
        <v>975.03499999999997</v>
      </c>
      <c r="N16" s="177">
        <f t="shared" si="7"/>
        <v>150</v>
      </c>
      <c r="O16" s="83">
        <f t="shared" si="16"/>
        <v>185.4342</v>
      </c>
      <c r="P16" s="274">
        <v>2</v>
      </c>
      <c r="Q16" s="278">
        <f t="shared" si="9"/>
        <v>370.86840000000001</v>
      </c>
      <c r="R16" s="83">
        <f t="shared" si="14"/>
        <v>450</v>
      </c>
      <c r="S16" s="197">
        <f t="shared" si="15"/>
        <v>79.131599999999992</v>
      </c>
      <c r="T16" s="82">
        <f t="shared" si="17"/>
        <v>0</v>
      </c>
      <c r="U16">
        <f t="shared" si="11"/>
        <v>0</v>
      </c>
      <c r="V16">
        <f t="shared" si="12"/>
        <v>0</v>
      </c>
      <c r="Y16" s="164" t="s">
        <v>16</v>
      </c>
      <c r="Z16" s="163">
        <v>105.15</v>
      </c>
      <c r="AA16" s="100"/>
    </row>
    <row r="17" spans="1:39" ht="15.75" thickBot="1" x14ac:dyDescent="0.3">
      <c r="A17" s="464"/>
      <c r="B17" s="97" t="s">
        <v>11</v>
      </c>
      <c r="C17" s="96" t="s">
        <v>378</v>
      </c>
      <c r="D17" s="110">
        <v>839.23</v>
      </c>
      <c r="E17" s="271">
        <f t="shared" si="4"/>
        <v>150</v>
      </c>
      <c r="F17" s="110">
        <v>213.84829999999999</v>
      </c>
      <c r="G17" s="271">
        <v>2</v>
      </c>
      <c r="H17" s="95">
        <f t="shared" si="5"/>
        <v>427.69659999999999</v>
      </c>
      <c r="I17" s="84">
        <f t="shared" si="6"/>
        <v>4</v>
      </c>
      <c r="J17" s="312">
        <f t="shared" si="13"/>
        <v>600</v>
      </c>
      <c r="K17" s="84">
        <f t="shared" si="1"/>
        <v>172.30340000000001</v>
      </c>
      <c r="L17" s="102" t="s">
        <v>421</v>
      </c>
      <c r="M17" s="108">
        <v>1025.3</v>
      </c>
      <c r="N17" s="177">
        <f t="shared" si="7"/>
        <v>150</v>
      </c>
      <c r="O17" s="83">
        <f t="shared" si="16"/>
        <v>213.84829999999999</v>
      </c>
      <c r="P17" s="274">
        <v>2</v>
      </c>
      <c r="Q17" s="278">
        <f t="shared" si="9"/>
        <v>427.69659999999999</v>
      </c>
      <c r="R17" s="83">
        <f t="shared" si="14"/>
        <v>600</v>
      </c>
      <c r="S17" s="197">
        <f t="shared" si="15"/>
        <v>172.30340000000001</v>
      </c>
      <c r="T17" s="82">
        <f t="shared" si="17"/>
        <v>0</v>
      </c>
      <c r="U17">
        <f t="shared" si="11"/>
        <v>0</v>
      </c>
      <c r="V17">
        <f t="shared" si="12"/>
        <v>0</v>
      </c>
      <c r="Y17" s="164" t="s">
        <v>19</v>
      </c>
      <c r="Z17" s="163">
        <v>359</v>
      </c>
      <c r="AA17" s="100"/>
    </row>
    <row r="18" spans="1:39" ht="15.75" thickBot="1" x14ac:dyDescent="0.3">
      <c r="A18" s="464"/>
      <c r="B18" s="97" t="s">
        <v>12</v>
      </c>
      <c r="C18" s="96" t="s">
        <v>52</v>
      </c>
      <c r="D18" s="110">
        <v>428.91</v>
      </c>
      <c r="E18" s="271">
        <f t="shared" si="4"/>
        <v>200</v>
      </c>
      <c r="F18" s="110">
        <v>320.7817</v>
      </c>
      <c r="G18" s="271">
        <v>2</v>
      </c>
      <c r="H18" s="95">
        <f t="shared" si="5"/>
        <v>641.5634</v>
      </c>
      <c r="I18" s="84">
        <f t="shared" si="6"/>
        <v>4</v>
      </c>
      <c r="J18" s="312">
        <f t="shared" si="13"/>
        <v>800</v>
      </c>
      <c r="K18" s="84">
        <f t="shared" si="1"/>
        <v>158.4366</v>
      </c>
      <c r="L18" s="102" t="s">
        <v>420</v>
      </c>
      <c r="M18" s="108">
        <v>440.09</v>
      </c>
      <c r="N18" s="177">
        <f t="shared" si="7"/>
        <v>200</v>
      </c>
      <c r="O18" s="83">
        <f t="shared" si="16"/>
        <v>320.7817</v>
      </c>
      <c r="P18" s="274">
        <v>2</v>
      </c>
      <c r="Q18" s="278">
        <f t="shared" si="9"/>
        <v>641.5634</v>
      </c>
      <c r="R18" s="83">
        <f t="shared" si="14"/>
        <v>800</v>
      </c>
      <c r="S18" s="197">
        <f t="shared" si="15"/>
        <v>158.4366</v>
      </c>
      <c r="T18" s="82">
        <f t="shared" si="17"/>
        <v>0</v>
      </c>
      <c r="U18">
        <f t="shared" si="11"/>
        <v>0</v>
      </c>
      <c r="V18">
        <f t="shared" si="12"/>
        <v>0</v>
      </c>
      <c r="Y18" s="164" t="s">
        <v>20</v>
      </c>
      <c r="Z18" s="163">
        <v>422.31</v>
      </c>
      <c r="AA18" s="220"/>
    </row>
    <row r="19" spans="1:39" ht="15.75" thickBot="1" x14ac:dyDescent="0.3">
      <c r="A19" s="464"/>
      <c r="B19" s="97" t="s">
        <v>419</v>
      </c>
      <c r="C19" s="96" t="s">
        <v>411</v>
      </c>
      <c r="D19" s="95">
        <v>530.30999999999995</v>
      </c>
      <c r="E19" s="271">
        <f t="shared" si="4"/>
        <v>200</v>
      </c>
      <c r="F19" s="95">
        <v>22.35</v>
      </c>
      <c r="G19" s="271">
        <v>2</v>
      </c>
      <c r="H19" s="95">
        <f t="shared" si="5"/>
        <v>44.7</v>
      </c>
      <c r="I19" s="84">
        <f t="shared" si="6"/>
        <v>1</v>
      </c>
      <c r="J19" s="312">
        <f t="shared" si="13"/>
        <v>200</v>
      </c>
      <c r="K19" s="84">
        <f t="shared" si="1"/>
        <v>155.30000000000001</v>
      </c>
      <c r="L19" s="91" t="s">
        <v>418</v>
      </c>
      <c r="M19" s="93">
        <v>541.49</v>
      </c>
      <c r="N19" s="177">
        <f t="shared" si="7"/>
        <v>150</v>
      </c>
      <c r="O19" s="83">
        <f t="shared" si="16"/>
        <v>22.35</v>
      </c>
      <c r="P19" s="274">
        <v>2</v>
      </c>
      <c r="Q19" s="278">
        <f t="shared" si="9"/>
        <v>44.7</v>
      </c>
      <c r="R19" s="83">
        <f t="shared" si="14"/>
        <v>150</v>
      </c>
      <c r="S19" s="197">
        <f t="shared" si="15"/>
        <v>105.3</v>
      </c>
      <c r="T19" s="82">
        <f t="shared" si="17"/>
        <v>0</v>
      </c>
      <c r="U19">
        <f t="shared" si="11"/>
        <v>0</v>
      </c>
      <c r="V19">
        <f t="shared" si="12"/>
        <v>0</v>
      </c>
      <c r="Y19" s="164" t="s">
        <v>21</v>
      </c>
      <c r="Z19" s="163">
        <v>17.61</v>
      </c>
      <c r="AA19" s="219"/>
    </row>
    <row r="20" spans="1:39" ht="15.75" thickBot="1" x14ac:dyDescent="0.3">
      <c r="A20" s="462" t="s">
        <v>413</v>
      </c>
      <c r="B20" s="87" t="s">
        <v>7</v>
      </c>
      <c r="C20" s="86" t="s">
        <v>48</v>
      </c>
      <c r="D20" s="85">
        <v>457.755</v>
      </c>
      <c r="E20" s="269">
        <f t="shared" si="4"/>
        <v>200</v>
      </c>
      <c r="F20" s="85">
        <v>200.1122</v>
      </c>
      <c r="G20" s="269">
        <v>2</v>
      </c>
      <c r="H20" s="85">
        <f t="shared" si="5"/>
        <v>400.2244</v>
      </c>
      <c r="I20" s="84">
        <f t="shared" si="6"/>
        <v>3</v>
      </c>
      <c r="J20" s="308">
        <f t="shared" si="13"/>
        <v>600</v>
      </c>
      <c r="K20" s="84">
        <f t="shared" si="1"/>
        <v>199.7756</v>
      </c>
      <c r="L20" s="101" t="s">
        <v>416</v>
      </c>
      <c r="M20" s="83">
        <v>733.18499999999995</v>
      </c>
      <c r="N20" s="177">
        <f t="shared" si="7"/>
        <v>150</v>
      </c>
      <c r="O20" s="83">
        <f t="shared" si="16"/>
        <v>200.1122</v>
      </c>
      <c r="P20" s="273">
        <v>2</v>
      </c>
      <c r="Q20" s="277">
        <f t="shared" si="9"/>
        <v>400.2244</v>
      </c>
      <c r="R20" s="83">
        <f t="shared" si="14"/>
        <v>450</v>
      </c>
      <c r="S20" s="197">
        <f t="shared" si="15"/>
        <v>49.775599999999997</v>
      </c>
      <c r="T20" s="82">
        <f t="shared" si="17"/>
        <v>0</v>
      </c>
      <c r="U20">
        <f t="shared" si="11"/>
        <v>0</v>
      </c>
      <c r="V20">
        <f t="shared" si="12"/>
        <v>0</v>
      </c>
      <c r="Y20" s="164" t="s">
        <v>504</v>
      </c>
      <c r="Z20" s="163">
        <v>31.08</v>
      </c>
      <c r="AA20" s="100"/>
    </row>
    <row r="21" spans="1:39" ht="15.75" thickBot="1" x14ac:dyDescent="0.3">
      <c r="A21" s="464"/>
      <c r="B21" s="97" t="s">
        <v>415</v>
      </c>
      <c r="C21" s="96" t="s">
        <v>74</v>
      </c>
      <c r="D21" s="110">
        <v>632.29</v>
      </c>
      <c r="E21" s="271">
        <f t="shared" si="4"/>
        <v>150</v>
      </c>
      <c r="F21" s="110">
        <v>416.14780000000002</v>
      </c>
      <c r="G21" s="271">
        <v>2</v>
      </c>
      <c r="H21" s="95">
        <f t="shared" si="5"/>
        <v>832.29560000000004</v>
      </c>
      <c r="I21" s="84">
        <f t="shared" si="6"/>
        <v>7</v>
      </c>
      <c r="J21" s="312">
        <f t="shared" si="13"/>
        <v>1050</v>
      </c>
      <c r="K21" s="84">
        <f t="shared" si="1"/>
        <v>217.70439999999996</v>
      </c>
      <c r="L21" s="102" t="s">
        <v>361</v>
      </c>
      <c r="M21" s="108">
        <v>692.19500000000005</v>
      </c>
      <c r="N21" s="177">
        <f t="shared" si="7"/>
        <v>150</v>
      </c>
      <c r="O21" s="83">
        <f t="shared" si="16"/>
        <v>416.14780000000002</v>
      </c>
      <c r="P21" s="274">
        <v>2</v>
      </c>
      <c r="Q21" s="278">
        <f t="shared" si="9"/>
        <v>832.29560000000004</v>
      </c>
      <c r="R21" s="83">
        <f t="shared" si="14"/>
        <v>1050</v>
      </c>
      <c r="S21" s="197">
        <f t="shared" si="15"/>
        <v>217.70439999999996</v>
      </c>
      <c r="T21" s="82">
        <f t="shared" si="17"/>
        <v>0</v>
      </c>
      <c r="U21">
        <f t="shared" si="11"/>
        <v>0</v>
      </c>
      <c r="V21">
        <f t="shared" si="12"/>
        <v>0</v>
      </c>
      <c r="Y21" s="127" t="s">
        <v>369</v>
      </c>
      <c r="Z21" s="262">
        <f>SUM(Z12:Z20)</f>
        <v>1212.3999999999999</v>
      </c>
      <c r="AA21" s="334"/>
    </row>
    <row r="22" spans="1:39" ht="15.75" thickBot="1" x14ac:dyDescent="0.3">
      <c r="A22" s="464"/>
      <c r="B22" s="97" t="s">
        <v>414</v>
      </c>
      <c r="C22" s="96" t="s">
        <v>413</v>
      </c>
      <c r="D22" s="110">
        <v>370.31</v>
      </c>
      <c r="E22" s="271">
        <f t="shared" si="4"/>
        <v>200</v>
      </c>
      <c r="F22" s="110">
        <v>24.103000000000002</v>
      </c>
      <c r="G22" s="271">
        <v>2</v>
      </c>
      <c r="H22" s="95">
        <f t="shared" si="5"/>
        <v>48.206000000000003</v>
      </c>
      <c r="I22" s="84">
        <f t="shared" si="6"/>
        <v>1</v>
      </c>
      <c r="J22" s="312">
        <f t="shared" si="13"/>
        <v>200</v>
      </c>
      <c r="K22" s="84">
        <f t="shared" si="1"/>
        <v>151.79399999999998</v>
      </c>
      <c r="L22" s="102" t="s">
        <v>412</v>
      </c>
      <c r="M22" s="108">
        <v>820.63</v>
      </c>
      <c r="N22" s="177">
        <f t="shared" si="7"/>
        <v>150</v>
      </c>
      <c r="O22" s="83">
        <f t="shared" si="16"/>
        <v>24.103000000000002</v>
      </c>
      <c r="P22" s="274">
        <v>2</v>
      </c>
      <c r="Q22" s="278">
        <f t="shared" si="9"/>
        <v>48.206000000000003</v>
      </c>
      <c r="R22" s="83">
        <f t="shared" si="14"/>
        <v>150</v>
      </c>
      <c r="S22" s="197">
        <f t="shared" si="15"/>
        <v>101.794</v>
      </c>
      <c r="T22" s="82">
        <f t="shared" si="17"/>
        <v>0</v>
      </c>
      <c r="U22">
        <f t="shared" si="11"/>
        <v>0</v>
      </c>
      <c r="V22">
        <f t="shared" si="12"/>
        <v>0</v>
      </c>
      <c r="Y22" s="17" t="s">
        <v>365</v>
      </c>
      <c r="Z22" s="17">
        <f>Z21/9100.11497</f>
        <v>0.13322908600571229</v>
      </c>
      <c r="AA22" s="334"/>
    </row>
    <row r="23" spans="1:39" ht="15.75" thickBot="1" x14ac:dyDescent="0.3">
      <c r="A23" s="464"/>
      <c r="B23" s="97" t="s">
        <v>396</v>
      </c>
      <c r="C23" s="96" t="s">
        <v>411</v>
      </c>
      <c r="D23" s="95">
        <v>530.30999999999995</v>
      </c>
      <c r="E23" s="270">
        <f t="shared" si="4"/>
        <v>200</v>
      </c>
      <c r="F23" s="95">
        <v>22.35</v>
      </c>
      <c r="G23" s="270">
        <v>2</v>
      </c>
      <c r="H23" s="74">
        <f t="shared" si="5"/>
        <v>44.7</v>
      </c>
      <c r="I23" s="84">
        <f t="shared" si="6"/>
        <v>1</v>
      </c>
      <c r="J23" s="310">
        <f t="shared" si="13"/>
        <v>200</v>
      </c>
      <c r="K23" s="84">
        <f t="shared" si="1"/>
        <v>155.30000000000001</v>
      </c>
      <c r="L23" s="91" t="s">
        <v>410</v>
      </c>
      <c r="M23" s="93">
        <v>660.63</v>
      </c>
      <c r="N23" s="177">
        <f t="shared" si="7"/>
        <v>150</v>
      </c>
      <c r="O23" s="83">
        <f t="shared" si="16"/>
        <v>22.35</v>
      </c>
      <c r="P23" s="275">
        <v>2</v>
      </c>
      <c r="Q23" s="279">
        <f t="shared" si="9"/>
        <v>44.7</v>
      </c>
      <c r="R23" s="83">
        <f t="shared" si="14"/>
        <v>150</v>
      </c>
      <c r="S23" s="197">
        <f t="shared" si="15"/>
        <v>105.3</v>
      </c>
      <c r="T23" s="82">
        <f t="shared" si="17"/>
        <v>0</v>
      </c>
      <c r="U23">
        <f t="shared" si="11"/>
        <v>0</v>
      </c>
      <c r="V23">
        <f t="shared" si="12"/>
        <v>0</v>
      </c>
      <c r="Y23" s="334"/>
      <c r="Z23" s="334"/>
      <c r="AA23" s="334"/>
    </row>
    <row r="24" spans="1:39" ht="15.75" thickBot="1" x14ac:dyDescent="0.3">
      <c r="A24" s="158" t="s">
        <v>409</v>
      </c>
      <c r="B24" s="87" t="s">
        <v>408</v>
      </c>
      <c r="C24" s="157"/>
      <c r="D24" s="85"/>
      <c r="E24" s="95">
        <f t="shared" si="4"/>
        <v>300</v>
      </c>
      <c r="F24" s="85"/>
      <c r="G24" s="95">
        <v>2</v>
      </c>
      <c r="H24" s="95">
        <f t="shared" si="5"/>
        <v>0</v>
      </c>
      <c r="I24" s="84">
        <f t="shared" si="6"/>
        <v>0</v>
      </c>
      <c r="J24" s="306"/>
      <c r="K24" s="84">
        <f t="shared" si="1"/>
        <v>0</v>
      </c>
      <c r="L24" s="83"/>
      <c r="M24" s="83"/>
      <c r="N24" s="177">
        <f t="shared" si="7"/>
        <v>300</v>
      </c>
      <c r="O24" s="82"/>
      <c r="P24" s="91">
        <v>2</v>
      </c>
      <c r="Q24" s="92">
        <f t="shared" si="9"/>
        <v>0</v>
      </c>
      <c r="R24" s="83"/>
      <c r="S24" s="201"/>
      <c r="T24" s="82"/>
      <c r="U24">
        <f t="shared" si="11"/>
        <v>0</v>
      </c>
      <c r="V24">
        <f t="shared" si="12"/>
        <v>0</v>
      </c>
      <c r="Y24" s="334"/>
      <c r="Z24" s="334"/>
      <c r="AA24" s="334"/>
    </row>
    <row r="25" spans="1:39" ht="15.75" thickBot="1" x14ac:dyDescent="0.3">
      <c r="A25" s="480" t="s">
        <v>407</v>
      </c>
      <c r="B25" s="155" t="s">
        <v>14</v>
      </c>
      <c r="C25" s="86" t="s">
        <v>406</v>
      </c>
      <c r="D25" s="85">
        <v>391.72</v>
      </c>
      <c r="E25" s="269">
        <f t="shared" si="4"/>
        <v>200</v>
      </c>
      <c r="F25" s="85">
        <v>664.51419999999996</v>
      </c>
      <c r="G25" s="269">
        <v>2</v>
      </c>
      <c r="H25" s="85">
        <f t="shared" si="5"/>
        <v>1329.0283999999999</v>
      </c>
      <c r="I25" s="84">
        <f t="shared" si="6"/>
        <v>8</v>
      </c>
      <c r="J25" s="308">
        <f t="shared" ref="J25:J55" si="18">I25*E25</f>
        <v>1600</v>
      </c>
      <c r="K25" s="84">
        <f t="shared" si="1"/>
        <v>270.97160000000008</v>
      </c>
      <c r="L25" s="101" t="s">
        <v>405</v>
      </c>
      <c r="M25" s="83">
        <v>799.22</v>
      </c>
      <c r="N25" s="177">
        <f t="shared" si="7"/>
        <v>150</v>
      </c>
      <c r="O25" s="83">
        <f>F25</f>
        <v>664.51419999999996</v>
      </c>
      <c r="P25" s="273">
        <v>2</v>
      </c>
      <c r="Q25" s="277">
        <f t="shared" si="9"/>
        <v>1329.0283999999999</v>
      </c>
      <c r="R25" s="83">
        <f t="shared" ref="R25:R55" si="19">N25*I25</f>
        <v>1200</v>
      </c>
      <c r="S25" s="201">
        <f t="shared" ref="S25:S55" si="20">R25-Q25</f>
        <v>-129.02839999999992</v>
      </c>
      <c r="T25" s="82">
        <f>IF(S25&lt;-1, CEILING((Q25-R25)/N25,1),0)</f>
        <v>1</v>
      </c>
      <c r="U25">
        <f t="shared" si="11"/>
        <v>150</v>
      </c>
      <c r="V25">
        <f t="shared" si="12"/>
        <v>129.02839999999992</v>
      </c>
      <c r="Y25" s="334"/>
      <c r="Z25" s="334"/>
      <c r="AA25" s="334"/>
    </row>
    <row r="26" spans="1:39" ht="15.75" thickBot="1" x14ac:dyDescent="0.3">
      <c r="A26" s="481"/>
      <c r="B26" s="76" t="s">
        <v>360</v>
      </c>
      <c r="C26" s="75" t="s">
        <v>55</v>
      </c>
      <c r="D26" s="152">
        <v>566.26</v>
      </c>
      <c r="E26" s="271">
        <f t="shared" si="4"/>
        <v>150</v>
      </c>
      <c r="F26" s="152">
        <v>424.66829999999999</v>
      </c>
      <c r="G26" s="271">
        <v>2</v>
      </c>
      <c r="H26" s="95">
        <f t="shared" si="5"/>
        <v>849.33659999999998</v>
      </c>
      <c r="I26" s="84">
        <f t="shared" si="6"/>
        <v>7</v>
      </c>
      <c r="J26" s="312">
        <f t="shared" si="18"/>
        <v>1050</v>
      </c>
      <c r="K26" s="84">
        <f t="shared" si="1"/>
        <v>200.66340000000002</v>
      </c>
      <c r="L26" s="272" t="s">
        <v>404</v>
      </c>
      <c r="M26" s="150">
        <v>973.76</v>
      </c>
      <c r="N26" s="177">
        <f t="shared" si="7"/>
        <v>150</v>
      </c>
      <c r="O26" s="83">
        <f t="shared" ref="O26:O55" si="21">F26</f>
        <v>424.66829999999999</v>
      </c>
      <c r="P26" s="274">
        <v>2</v>
      </c>
      <c r="Q26" s="278">
        <f t="shared" si="9"/>
        <v>849.33659999999998</v>
      </c>
      <c r="R26" s="83">
        <f t="shared" si="19"/>
        <v>1050</v>
      </c>
      <c r="S26" s="201">
        <f t="shared" si="20"/>
        <v>200.66340000000002</v>
      </c>
      <c r="T26" s="82">
        <f t="shared" ref="T26:T55" si="22">IF(S26&lt;-1, CEILING((Q26-R26)/N26,1),0)</f>
        <v>0</v>
      </c>
      <c r="U26">
        <f t="shared" si="11"/>
        <v>0</v>
      </c>
      <c r="V26">
        <f t="shared" si="12"/>
        <v>0</v>
      </c>
      <c r="Y26" s="334"/>
      <c r="Z26" s="334"/>
      <c r="AA26" s="334"/>
    </row>
    <row r="27" spans="1:39" ht="15.75" thickBot="1" x14ac:dyDescent="0.3">
      <c r="A27" s="464" t="s">
        <v>403</v>
      </c>
      <c r="B27" s="63" t="s">
        <v>6</v>
      </c>
      <c r="C27" s="116" t="s">
        <v>47</v>
      </c>
      <c r="D27" s="95">
        <v>341.46499999999997</v>
      </c>
      <c r="E27" s="269">
        <f t="shared" si="4"/>
        <v>200</v>
      </c>
      <c r="F27" s="95">
        <v>414.50749999999999</v>
      </c>
      <c r="G27" s="269">
        <v>2</v>
      </c>
      <c r="H27" s="85">
        <f t="shared" si="5"/>
        <v>829.01499999999999</v>
      </c>
      <c r="I27" s="84">
        <f t="shared" si="6"/>
        <v>5</v>
      </c>
      <c r="J27" s="308">
        <f t="shared" si="18"/>
        <v>1000</v>
      </c>
      <c r="K27" s="84">
        <f t="shared" si="1"/>
        <v>170.98500000000001</v>
      </c>
      <c r="L27" s="91" t="s">
        <v>402</v>
      </c>
      <c r="M27" s="93">
        <v>849.47500000000002</v>
      </c>
      <c r="N27" s="177">
        <f t="shared" si="7"/>
        <v>150</v>
      </c>
      <c r="O27" s="83">
        <f t="shared" si="21"/>
        <v>414.50749999999999</v>
      </c>
      <c r="P27" s="273">
        <v>2</v>
      </c>
      <c r="Q27" s="277">
        <f t="shared" si="9"/>
        <v>829.01499999999999</v>
      </c>
      <c r="R27" s="83">
        <f t="shared" si="19"/>
        <v>750</v>
      </c>
      <c r="S27" s="201">
        <f t="shared" si="20"/>
        <v>-79.014999999999986</v>
      </c>
      <c r="T27" s="82">
        <f t="shared" si="22"/>
        <v>1</v>
      </c>
      <c r="U27">
        <f t="shared" si="11"/>
        <v>150</v>
      </c>
      <c r="V27">
        <f t="shared" si="12"/>
        <v>79.014999999999986</v>
      </c>
      <c r="Y27" s="491" t="s">
        <v>606</v>
      </c>
      <c r="Z27" s="492"/>
      <c r="AA27" s="492"/>
      <c r="AB27" s="492"/>
      <c r="AC27" s="492"/>
      <c r="AD27" s="493"/>
      <c r="AE27" s="161"/>
      <c r="AF27" s="5"/>
      <c r="AG27" s="5"/>
      <c r="AH27" s="5"/>
      <c r="AI27" s="5"/>
      <c r="AJ27" s="459"/>
      <c r="AK27" s="459"/>
      <c r="AL27" s="459"/>
      <c r="AM27" s="459"/>
    </row>
    <row r="28" spans="1:39" ht="15.75" thickBot="1" x14ac:dyDescent="0.3">
      <c r="A28" s="464"/>
      <c r="B28" s="63" t="s">
        <v>401</v>
      </c>
      <c r="C28" s="116" t="s">
        <v>386</v>
      </c>
      <c r="D28" s="95">
        <v>894.93</v>
      </c>
      <c r="E28" s="271">
        <f t="shared" si="4"/>
        <v>150</v>
      </c>
      <c r="F28" s="95">
        <v>185.4342</v>
      </c>
      <c r="G28" s="271">
        <v>2</v>
      </c>
      <c r="H28" s="95">
        <f t="shared" si="5"/>
        <v>370.86840000000001</v>
      </c>
      <c r="I28" s="84">
        <f t="shared" si="6"/>
        <v>3</v>
      </c>
      <c r="J28" s="312">
        <f t="shared" si="18"/>
        <v>450</v>
      </c>
      <c r="K28" s="84">
        <f t="shared" si="1"/>
        <v>79.131599999999992</v>
      </c>
      <c r="L28" s="91" t="s">
        <v>385</v>
      </c>
      <c r="M28" s="93">
        <v>975.03499999999997</v>
      </c>
      <c r="N28" s="177">
        <f t="shared" si="7"/>
        <v>150</v>
      </c>
      <c r="O28" s="83">
        <f t="shared" si="21"/>
        <v>185.4342</v>
      </c>
      <c r="P28" s="274">
        <v>2</v>
      </c>
      <c r="Q28" s="278">
        <f t="shared" si="9"/>
        <v>370.86840000000001</v>
      </c>
      <c r="R28" s="83">
        <f t="shared" si="19"/>
        <v>450</v>
      </c>
      <c r="S28" s="201">
        <f t="shared" si="20"/>
        <v>79.131599999999992</v>
      </c>
      <c r="T28" s="82">
        <f t="shared" si="22"/>
        <v>0</v>
      </c>
      <c r="U28">
        <f t="shared" si="11"/>
        <v>0</v>
      </c>
      <c r="V28">
        <f t="shared" si="12"/>
        <v>0</v>
      </c>
      <c r="Y28" s="346" t="s">
        <v>528</v>
      </c>
      <c r="Z28" s="348" t="s">
        <v>529</v>
      </c>
      <c r="AA28" s="348" t="s">
        <v>530</v>
      </c>
      <c r="AB28" s="348" t="s">
        <v>531</v>
      </c>
      <c r="AC28" s="348" t="s">
        <v>532</v>
      </c>
      <c r="AD28" s="349" t="s">
        <v>582</v>
      </c>
      <c r="AE28" s="328" t="s">
        <v>417</v>
      </c>
      <c r="AF28" s="5"/>
      <c r="AG28" s="5"/>
      <c r="AH28" s="5"/>
      <c r="AI28" s="5"/>
      <c r="AJ28" s="459"/>
      <c r="AK28" s="459"/>
      <c r="AL28" s="459"/>
      <c r="AM28" s="342"/>
    </row>
    <row r="29" spans="1:39" ht="15.75" thickBot="1" x14ac:dyDescent="0.3">
      <c r="A29" s="464"/>
      <c r="B29" s="97" t="s">
        <v>400</v>
      </c>
      <c r="C29" s="96" t="s">
        <v>378</v>
      </c>
      <c r="D29" s="110">
        <v>839.23</v>
      </c>
      <c r="E29" s="271">
        <f t="shared" si="4"/>
        <v>150</v>
      </c>
      <c r="F29" s="110">
        <v>213.84829999999999</v>
      </c>
      <c r="G29" s="271">
        <v>2</v>
      </c>
      <c r="H29" s="95">
        <f t="shared" si="5"/>
        <v>427.69659999999999</v>
      </c>
      <c r="I29" s="84">
        <f t="shared" si="6"/>
        <v>4</v>
      </c>
      <c r="J29" s="312">
        <f t="shared" si="18"/>
        <v>600</v>
      </c>
      <c r="K29" s="84">
        <f t="shared" si="1"/>
        <v>172.30340000000001</v>
      </c>
      <c r="L29" s="102" t="s">
        <v>399</v>
      </c>
      <c r="M29" s="108">
        <v>1347.24</v>
      </c>
      <c r="N29" s="177">
        <f t="shared" si="7"/>
        <v>100</v>
      </c>
      <c r="O29" s="83">
        <f t="shared" si="21"/>
        <v>213.84829999999999</v>
      </c>
      <c r="P29" s="274">
        <v>2</v>
      </c>
      <c r="Q29" s="278">
        <f t="shared" si="9"/>
        <v>427.69659999999999</v>
      </c>
      <c r="R29" s="83">
        <f t="shared" si="19"/>
        <v>400</v>
      </c>
      <c r="S29" s="201">
        <f t="shared" si="20"/>
        <v>-27.696599999999989</v>
      </c>
      <c r="T29" s="82">
        <f t="shared" si="22"/>
        <v>1</v>
      </c>
      <c r="U29">
        <f t="shared" si="11"/>
        <v>100</v>
      </c>
      <c r="V29">
        <f t="shared" si="12"/>
        <v>27.696599999999989</v>
      </c>
      <c r="Y29" s="60" t="s">
        <v>84</v>
      </c>
      <c r="Z29" s="350">
        <v>1</v>
      </c>
      <c r="AA29" s="350">
        <v>0</v>
      </c>
      <c r="AB29" s="351">
        <v>0</v>
      </c>
      <c r="AC29" s="351">
        <v>0</v>
      </c>
      <c r="AD29" s="352">
        <v>0</v>
      </c>
      <c r="AE29" s="353">
        <f>SUM(Z29:AD29)</f>
        <v>1</v>
      </c>
      <c r="AF29" s="5"/>
      <c r="AG29" s="5"/>
      <c r="AH29" s="5"/>
      <c r="AI29" s="5"/>
      <c r="AJ29" s="459"/>
      <c r="AK29" s="459"/>
      <c r="AL29" s="459"/>
      <c r="AM29" s="459"/>
    </row>
    <row r="30" spans="1:39" ht="15.75" thickBot="1" x14ac:dyDescent="0.3">
      <c r="A30" s="464"/>
      <c r="B30" s="97" t="s">
        <v>398</v>
      </c>
      <c r="C30" s="96" t="s">
        <v>52</v>
      </c>
      <c r="D30" s="95">
        <v>428.91</v>
      </c>
      <c r="E30" s="271">
        <f t="shared" si="4"/>
        <v>200</v>
      </c>
      <c r="F30" s="95">
        <v>320.7817</v>
      </c>
      <c r="G30" s="271">
        <v>2</v>
      </c>
      <c r="H30" s="95">
        <f t="shared" si="5"/>
        <v>641.5634</v>
      </c>
      <c r="I30" s="84">
        <f t="shared" si="6"/>
        <v>4</v>
      </c>
      <c r="J30" s="312">
        <f t="shared" si="18"/>
        <v>800</v>
      </c>
      <c r="K30" s="84">
        <f t="shared" si="1"/>
        <v>158.4366</v>
      </c>
      <c r="L30" s="91" t="s">
        <v>397</v>
      </c>
      <c r="M30" s="93">
        <v>762.03</v>
      </c>
      <c r="N30" s="177">
        <f t="shared" si="7"/>
        <v>150</v>
      </c>
      <c r="O30" s="83">
        <f t="shared" si="21"/>
        <v>320.7817</v>
      </c>
      <c r="P30" s="274">
        <v>2</v>
      </c>
      <c r="Q30" s="278">
        <f t="shared" si="9"/>
        <v>641.5634</v>
      </c>
      <c r="R30" s="83">
        <f t="shared" si="19"/>
        <v>600</v>
      </c>
      <c r="S30" s="201">
        <f t="shared" si="20"/>
        <v>-41.563400000000001</v>
      </c>
      <c r="T30" s="82">
        <f t="shared" si="22"/>
        <v>1</v>
      </c>
      <c r="U30">
        <f t="shared" si="11"/>
        <v>150</v>
      </c>
      <c r="V30">
        <f t="shared" si="12"/>
        <v>41.563400000000001</v>
      </c>
      <c r="Y30" s="60" t="s">
        <v>85</v>
      </c>
      <c r="Z30" s="350">
        <v>2</v>
      </c>
      <c r="AA30" s="350">
        <v>0</v>
      </c>
      <c r="AB30" s="350">
        <v>0</v>
      </c>
      <c r="AC30" s="350">
        <v>0</v>
      </c>
      <c r="AD30" s="352">
        <v>0</v>
      </c>
      <c r="AE30" s="60">
        <f t="shared" ref="AE30:AE40" si="23">SUM(Z30:AD30)</f>
        <v>2</v>
      </c>
      <c r="AF30" s="5"/>
      <c r="AG30" s="5"/>
      <c r="AH30" s="5"/>
      <c r="AI30" s="5"/>
      <c r="AJ30" s="459"/>
      <c r="AK30" s="459"/>
      <c r="AL30" s="459"/>
      <c r="AM30" s="459"/>
    </row>
    <row r="31" spans="1:39" ht="15.75" thickBot="1" x14ac:dyDescent="0.3">
      <c r="A31" s="464"/>
      <c r="B31" s="97" t="s">
        <v>395</v>
      </c>
      <c r="C31" s="96" t="s">
        <v>56</v>
      </c>
      <c r="D31" s="95">
        <v>268.91000000000003</v>
      </c>
      <c r="E31" s="271">
        <f t="shared" si="4"/>
        <v>250</v>
      </c>
      <c r="F31" s="95">
        <v>277.57420000000002</v>
      </c>
      <c r="G31" s="271">
        <v>2</v>
      </c>
      <c r="H31" s="95">
        <f t="shared" si="5"/>
        <v>555.14840000000004</v>
      </c>
      <c r="I31" s="84">
        <f t="shared" si="6"/>
        <v>3</v>
      </c>
      <c r="J31" s="312">
        <f t="shared" si="18"/>
        <v>750</v>
      </c>
      <c r="K31" s="84">
        <f t="shared" si="1"/>
        <v>194.85159999999996</v>
      </c>
      <c r="L31" s="91" t="s">
        <v>394</v>
      </c>
      <c r="M31" s="93">
        <v>922.03</v>
      </c>
      <c r="N31" s="177">
        <f t="shared" si="7"/>
        <v>150</v>
      </c>
      <c r="O31" s="83">
        <f t="shared" si="21"/>
        <v>277.57420000000002</v>
      </c>
      <c r="P31" s="274">
        <v>2</v>
      </c>
      <c r="Q31" s="278">
        <f t="shared" si="9"/>
        <v>555.14840000000004</v>
      </c>
      <c r="R31" s="83">
        <f t="shared" si="19"/>
        <v>450</v>
      </c>
      <c r="S31" s="201">
        <f t="shared" si="20"/>
        <v>-105.14840000000004</v>
      </c>
      <c r="T31" s="82">
        <f t="shared" si="22"/>
        <v>1</v>
      </c>
      <c r="U31">
        <f t="shared" si="11"/>
        <v>150</v>
      </c>
      <c r="V31">
        <f t="shared" si="12"/>
        <v>105.14840000000004</v>
      </c>
      <c r="Y31" s="60" t="s">
        <v>86</v>
      </c>
      <c r="Z31" s="350">
        <v>1</v>
      </c>
      <c r="AA31" s="350">
        <v>0</v>
      </c>
      <c r="AB31" s="350">
        <v>0</v>
      </c>
      <c r="AC31" s="350">
        <v>0</v>
      </c>
      <c r="AD31" s="352">
        <v>0</v>
      </c>
      <c r="AE31" s="60">
        <f t="shared" si="23"/>
        <v>1</v>
      </c>
      <c r="AF31" s="5"/>
      <c r="AG31" s="457" t="s">
        <v>534</v>
      </c>
      <c r="AH31" s="457" t="s">
        <v>535</v>
      </c>
      <c r="AI31" s="355" t="s">
        <v>536</v>
      </c>
      <c r="AJ31" s="459"/>
      <c r="AK31" s="459"/>
      <c r="AL31" s="5"/>
      <c r="AM31" s="5"/>
    </row>
    <row r="32" spans="1:39" ht="15.75" thickBot="1" x14ac:dyDescent="0.3">
      <c r="A32" s="462" t="s">
        <v>382</v>
      </c>
      <c r="B32" s="87" t="s">
        <v>393</v>
      </c>
      <c r="C32" s="86" t="s">
        <v>392</v>
      </c>
      <c r="D32" s="85">
        <v>774.56</v>
      </c>
      <c r="E32" s="269">
        <f t="shared" si="4"/>
        <v>150</v>
      </c>
      <c r="F32" s="85">
        <v>593.39</v>
      </c>
      <c r="G32" s="269">
        <v>2</v>
      </c>
      <c r="H32" s="85">
        <f t="shared" si="5"/>
        <v>1186.78</v>
      </c>
      <c r="I32" s="84">
        <f t="shared" si="6"/>
        <v>10</v>
      </c>
      <c r="J32" s="308">
        <f t="shared" si="18"/>
        <v>1500</v>
      </c>
      <c r="K32" s="84">
        <f t="shared" si="1"/>
        <v>313.22000000000003</v>
      </c>
      <c r="L32" s="101" t="s">
        <v>391</v>
      </c>
      <c r="M32" s="83">
        <v>778.62</v>
      </c>
      <c r="N32" s="177">
        <f t="shared" si="7"/>
        <v>150</v>
      </c>
      <c r="O32" s="83">
        <f t="shared" si="21"/>
        <v>593.39</v>
      </c>
      <c r="P32" s="273">
        <v>2</v>
      </c>
      <c r="Q32" s="277">
        <f t="shared" si="9"/>
        <v>1186.78</v>
      </c>
      <c r="R32" s="83">
        <f t="shared" si="19"/>
        <v>1500</v>
      </c>
      <c r="S32" s="201">
        <f t="shared" si="20"/>
        <v>313.22000000000003</v>
      </c>
      <c r="T32" s="82">
        <f t="shared" si="22"/>
        <v>0</v>
      </c>
      <c r="U32">
        <f t="shared" si="11"/>
        <v>0</v>
      </c>
      <c r="V32">
        <f t="shared" si="12"/>
        <v>0</v>
      </c>
      <c r="Y32" s="60" t="s">
        <v>87</v>
      </c>
      <c r="Z32" s="350">
        <v>1</v>
      </c>
      <c r="AA32" s="350">
        <v>3</v>
      </c>
      <c r="AB32" s="350">
        <v>0</v>
      </c>
      <c r="AC32" s="350">
        <v>0</v>
      </c>
      <c r="AD32" s="352">
        <v>0</v>
      </c>
      <c r="AE32" s="60">
        <f t="shared" si="23"/>
        <v>4</v>
      </c>
      <c r="AF32" s="5"/>
      <c r="AG32" s="61" t="s">
        <v>529</v>
      </c>
      <c r="AH32" s="61">
        <v>100</v>
      </c>
      <c r="AI32" s="454">
        <v>15</v>
      </c>
      <c r="AJ32" s="459"/>
      <c r="AK32" s="459"/>
      <c r="AL32" s="5"/>
      <c r="AM32" s="5"/>
    </row>
    <row r="33" spans="1:39" ht="15.75" thickBot="1" x14ac:dyDescent="0.3">
      <c r="A33" s="464"/>
      <c r="B33" s="97" t="s">
        <v>387</v>
      </c>
      <c r="C33" s="96" t="s">
        <v>386</v>
      </c>
      <c r="D33" s="110">
        <v>894.93</v>
      </c>
      <c r="E33" s="271">
        <f t="shared" si="4"/>
        <v>150</v>
      </c>
      <c r="F33" s="110">
        <v>185.4342</v>
      </c>
      <c r="G33" s="271">
        <v>2</v>
      </c>
      <c r="H33" s="95">
        <f t="shared" si="5"/>
        <v>370.86840000000001</v>
      </c>
      <c r="I33" s="84">
        <f t="shared" si="6"/>
        <v>3</v>
      </c>
      <c r="J33" s="312">
        <f t="shared" si="18"/>
        <v>450</v>
      </c>
      <c r="K33" s="84">
        <f t="shared" si="1"/>
        <v>79.131599999999992</v>
      </c>
      <c r="L33" s="102" t="s">
        <v>385</v>
      </c>
      <c r="M33" s="108">
        <v>975.03499999999997</v>
      </c>
      <c r="N33" s="177">
        <f t="shared" si="7"/>
        <v>150</v>
      </c>
      <c r="O33" s="83">
        <f t="shared" si="21"/>
        <v>185.4342</v>
      </c>
      <c r="P33" s="274">
        <v>2</v>
      </c>
      <c r="Q33" s="278">
        <f t="shared" si="9"/>
        <v>370.86840000000001</v>
      </c>
      <c r="R33" s="83">
        <f t="shared" si="19"/>
        <v>450</v>
      </c>
      <c r="S33" s="201">
        <f t="shared" si="20"/>
        <v>79.131599999999992</v>
      </c>
      <c r="T33" s="82">
        <f t="shared" si="22"/>
        <v>0</v>
      </c>
      <c r="U33">
        <f t="shared" si="11"/>
        <v>0</v>
      </c>
      <c r="V33">
        <f t="shared" si="12"/>
        <v>0</v>
      </c>
      <c r="Y33" s="60" t="s">
        <v>88</v>
      </c>
      <c r="Z33" s="350">
        <v>0</v>
      </c>
      <c r="AA33" s="350">
        <v>1</v>
      </c>
      <c r="AB33" s="350">
        <v>0</v>
      </c>
      <c r="AC33" s="350">
        <v>0</v>
      </c>
      <c r="AD33" s="352">
        <v>0</v>
      </c>
      <c r="AE33" s="60">
        <f t="shared" si="23"/>
        <v>1</v>
      </c>
      <c r="AF33" s="364"/>
      <c r="AG33" s="356" t="s">
        <v>530</v>
      </c>
      <c r="AH33" s="356">
        <v>150</v>
      </c>
      <c r="AI33" s="455">
        <v>16.3689</v>
      </c>
      <c r="AJ33" s="459"/>
      <c r="AK33" s="459"/>
      <c r="AL33" s="5"/>
      <c r="AM33" s="459"/>
    </row>
    <row r="34" spans="1:39" ht="15.75" thickBot="1" x14ac:dyDescent="0.3">
      <c r="A34" s="464"/>
      <c r="B34" s="97" t="s">
        <v>383</v>
      </c>
      <c r="C34" s="96" t="s">
        <v>382</v>
      </c>
      <c r="D34" s="95">
        <v>553.46500000000003</v>
      </c>
      <c r="E34" s="271">
        <f t="shared" si="4"/>
        <v>150</v>
      </c>
      <c r="F34" s="95">
        <v>491.47570000000002</v>
      </c>
      <c r="G34" s="271">
        <v>2</v>
      </c>
      <c r="H34" s="95">
        <f t="shared" si="5"/>
        <v>982.95140000000004</v>
      </c>
      <c r="I34" s="84">
        <f t="shared" si="6"/>
        <v>8</v>
      </c>
      <c r="J34" s="312">
        <f t="shared" si="18"/>
        <v>1200</v>
      </c>
      <c r="K34" s="84">
        <f t="shared" si="1"/>
        <v>217.04859999999996</v>
      </c>
      <c r="L34" s="91" t="s">
        <v>381</v>
      </c>
      <c r="M34" s="93">
        <v>660.12</v>
      </c>
      <c r="N34" s="177">
        <f t="shared" si="7"/>
        <v>150</v>
      </c>
      <c r="O34" s="83">
        <f t="shared" si="21"/>
        <v>491.47570000000002</v>
      </c>
      <c r="P34" s="274">
        <v>2</v>
      </c>
      <c r="Q34" s="278">
        <f t="shared" si="9"/>
        <v>982.95140000000004</v>
      </c>
      <c r="R34" s="83">
        <f t="shared" si="19"/>
        <v>1200</v>
      </c>
      <c r="S34" s="201">
        <f t="shared" si="20"/>
        <v>217.04859999999996</v>
      </c>
      <c r="T34" s="82">
        <f t="shared" si="22"/>
        <v>0</v>
      </c>
      <c r="U34">
        <f t="shared" si="11"/>
        <v>0</v>
      </c>
      <c r="V34">
        <f t="shared" si="12"/>
        <v>0</v>
      </c>
      <c r="Y34" s="60" t="s">
        <v>89</v>
      </c>
      <c r="Z34" s="350">
        <v>1</v>
      </c>
      <c r="AA34" s="350">
        <v>0</v>
      </c>
      <c r="AB34" s="350">
        <v>0</v>
      </c>
      <c r="AC34" s="350">
        <v>0</v>
      </c>
      <c r="AD34" s="352">
        <v>0</v>
      </c>
      <c r="AE34" s="60">
        <f t="shared" si="23"/>
        <v>1</v>
      </c>
      <c r="AF34" s="363"/>
      <c r="AG34" s="356" t="s">
        <v>531</v>
      </c>
      <c r="AH34" s="356">
        <v>200</v>
      </c>
      <c r="AI34" s="455">
        <v>16.746700000000001</v>
      </c>
      <c r="AJ34" s="459"/>
      <c r="AK34" s="459"/>
      <c r="AL34" s="5"/>
      <c r="AM34" s="459"/>
    </row>
    <row r="35" spans="1:39" ht="15.75" thickBot="1" x14ac:dyDescent="0.3">
      <c r="A35" s="462" t="s">
        <v>375</v>
      </c>
      <c r="B35" s="87" t="s">
        <v>379</v>
      </c>
      <c r="C35" s="86" t="s">
        <v>378</v>
      </c>
      <c r="D35" s="85">
        <v>839.23</v>
      </c>
      <c r="E35" s="269">
        <f t="shared" si="4"/>
        <v>150</v>
      </c>
      <c r="F35" s="85">
        <v>213.84829999999999</v>
      </c>
      <c r="G35" s="269">
        <v>2</v>
      </c>
      <c r="H35" s="85">
        <f t="shared" si="5"/>
        <v>427.69659999999999</v>
      </c>
      <c r="I35" s="84">
        <f t="shared" si="6"/>
        <v>4</v>
      </c>
      <c r="J35" s="308">
        <f t="shared" si="18"/>
        <v>600</v>
      </c>
      <c r="K35" s="84">
        <f t="shared" si="1"/>
        <v>172.30340000000001</v>
      </c>
      <c r="L35" s="101" t="s">
        <v>377</v>
      </c>
      <c r="M35" s="83">
        <v>844.89</v>
      </c>
      <c r="N35" s="177">
        <f t="shared" si="7"/>
        <v>150</v>
      </c>
      <c r="O35" s="83">
        <f t="shared" si="21"/>
        <v>213.84829999999999</v>
      </c>
      <c r="P35" s="273">
        <v>2</v>
      </c>
      <c r="Q35" s="277">
        <f t="shared" si="9"/>
        <v>427.69659999999999</v>
      </c>
      <c r="R35" s="83">
        <f t="shared" si="19"/>
        <v>600</v>
      </c>
      <c r="S35" s="201">
        <f t="shared" si="20"/>
        <v>172.30340000000001</v>
      </c>
      <c r="T35" s="82">
        <f t="shared" si="22"/>
        <v>0</v>
      </c>
      <c r="U35">
        <f t="shared" si="11"/>
        <v>0</v>
      </c>
      <c r="V35">
        <f t="shared" si="12"/>
        <v>0</v>
      </c>
      <c r="Y35" s="60" t="s">
        <v>90</v>
      </c>
      <c r="Z35" s="350">
        <v>0</v>
      </c>
      <c r="AA35" s="350">
        <v>1</v>
      </c>
      <c r="AB35" s="350">
        <v>0</v>
      </c>
      <c r="AC35" s="350">
        <v>0</v>
      </c>
      <c r="AD35" s="352">
        <v>0</v>
      </c>
      <c r="AE35" s="60">
        <f t="shared" si="23"/>
        <v>1</v>
      </c>
      <c r="AF35" s="363"/>
      <c r="AG35" s="356" t="s">
        <v>532</v>
      </c>
      <c r="AH35" s="356">
        <v>250</v>
      </c>
      <c r="AI35" s="455">
        <v>16.886600000000001</v>
      </c>
      <c r="AJ35" s="459"/>
      <c r="AK35" s="459"/>
      <c r="AL35" s="5"/>
      <c r="AM35" s="459"/>
    </row>
    <row r="36" spans="1:39" ht="15.75" thickBot="1" x14ac:dyDescent="0.3">
      <c r="A36" s="464"/>
      <c r="B36" s="97" t="s">
        <v>376</v>
      </c>
      <c r="C36" s="96" t="s">
        <v>375</v>
      </c>
      <c r="D36" s="95">
        <v>497.76499999999999</v>
      </c>
      <c r="E36" s="270">
        <f t="shared" si="4"/>
        <v>200</v>
      </c>
      <c r="F36" s="95">
        <v>1151.328</v>
      </c>
      <c r="G36" s="270">
        <v>2</v>
      </c>
      <c r="H36" s="74">
        <f t="shared" si="5"/>
        <v>2302.6559999999999</v>
      </c>
      <c r="I36" s="84">
        <f t="shared" si="6"/>
        <v>14</v>
      </c>
      <c r="J36" s="310">
        <f t="shared" si="18"/>
        <v>2800</v>
      </c>
      <c r="K36" s="84">
        <f t="shared" si="1"/>
        <v>497.34400000000005</v>
      </c>
      <c r="L36" s="91" t="s">
        <v>374</v>
      </c>
      <c r="M36" s="93">
        <v>503.42500000000001</v>
      </c>
      <c r="N36" s="177">
        <f t="shared" si="7"/>
        <v>200</v>
      </c>
      <c r="O36" s="83">
        <f t="shared" si="21"/>
        <v>1151.328</v>
      </c>
      <c r="P36" s="275">
        <v>2</v>
      </c>
      <c r="Q36" s="279">
        <f t="shared" si="9"/>
        <v>2302.6559999999999</v>
      </c>
      <c r="R36" s="83">
        <f t="shared" si="19"/>
        <v>2800</v>
      </c>
      <c r="S36" s="201">
        <f t="shared" si="20"/>
        <v>497.34400000000005</v>
      </c>
      <c r="T36" s="82">
        <f t="shared" si="22"/>
        <v>0</v>
      </c>
      <c r="U36">
        <f t="shared" si="11"/>
        <v>0</v>
      </c>
      <c r="V36">
        <f t="shared" si="12"/>
        <v>0</v>
      </c>
      <c r="Y36" s="60" t="s">
        <v>91</v>
      </c>
      <c r="Z36" s="350">
        <v>1</v>
      </c>
      <c r="AA36" s="350">
        <v>0</v>
      </c>
      <c r="AB36" s="352">
        <v>0</v>
      </c>
      <c r="AC36" s="352">
        <v>0</v>
      </c>
      <c r="AD36" s="352">
        <v>0</v>
      </c>
      <c r="AE36" s="60">
        <f t="shared" si="23"/>
        <v>1</v>
      </c>
      <c r="AF36" s="364"/>
      <c r="AG36" s="357" t="s">
        <v>582</v>
      </c>
      <c r="AH36" s="357">
        <v>300</v>
      </c>
      <c r="AI36" s="456">
        <v>17</v>
      </c>
      <c r="AJ36" s="459"/>
      <c r="AK36" s="459"/>
      <c r="AL36" s="5"/>
      <c r="AM36" s="459"/>
    </row>
    <row r="37" spans="1:39" ht="15.75" thickBot="1" x14ac:dyDescent="0.3">
      <c r="A37" s="330" t="s">
        <v>372</v>
      </c>
      <c r="B37" s="87" t="s">
        <v>373</v>
      </c>
      <c r="C37" s="86" t="s">
        <v>372</v>
      </c>
      <c r="D37" s="85">
        <v>285.27999999999997</v>
      </c>
      <c r="E37" s="95">
        <f t="shared" si="4"/>
        <v>250</v>
      </c>
      <c r="F37" s="85">
        <v>779.52329999999995</v>
      </c>
      <c r="G37" s="95">
        <v>2</v>
      </c>
      <c r="H37" s="95">
        <f t="shared" si="5"/>
        <v>1559.0465999999999</v>
      </c>
      <c r="I37" s="84">
        <f t="shared" si="6"/>
        <v>8</v>
      </c>
      <c r="J37" s="268">
        <f t="shared" si="18"/>
        <v>2000</v>
      </c>
      <c r="K37" s="84">
        <f t="shared" si="1"/>
        <v>440.9534000000001</v>
      </c>
      <c r="L37" s="83" t="s">
        <v>371</v>
      </c>
      <c r="M37" s="83">
        <v>539.80499999999995</v>
      </c>
      <c r="N37" s="177">
        <f t="shared" si="7"/>
        <v>150</v>
      </c>
      <c r="O37" s="83">
        <f t="shared" si="21"/>
        <v>779.52329999999995</v>
      </c>
      <c r="P37" s="91">
        <v>2</v>
      </c>
      <c r="Q37" s="92">
        <f t="shared" si="9"/>
        <v>1559.0465999999999</v>
      </c>
      <c r="R37" s="83">
        <f t="shared" si="19"/>
        <v>1200</v>
      </c>
      <c r="S37" s="201">
        <f t="shared" si="20"/>
        <v>-359.0465999999999</v>
      </c>
      <c r="T37" s="82">
        <f t="shared" si="22"/>
        <v>3</v>
      </c>
      <c r="U37">
        <f t="shared" si="11"/>
        <v>450</v>
      </c>
      <c r="V37">
        <f t="shared" si="12"/>
        <v>359.0465999999999</v>
      </c>
      <c r="Y37" s="60" t="s">
        <v>92</v>
      </c>
      <c r="Z37" s="352">
        <v>1</v>
      </c>
      <c r="AA37" s="352">
        <v>0</v>
      </c>
      <c r="AB37" s="352">
        <v>0</v>
      </c>
      <c r="AC37" s="352">
        <v>0</v>
      </c>
      <c r="AD37" s="352">
        <v>0</v>
      </c>
      <c r="AE37" s="60">
        <f t="shared" si="23"/>
        <v>1</v>
      </c>
      <c r="AF37" s="364"/>
      <c r="AG37" s="459"/>
      <c r="AH37" s="459"/>
      <c r="AI37" s="5"/>
      <c r="AJ37" s="459"/>
      <c r="AK37" s="459"/>
      <c r="AL37" s="5"/>
      <c r="AM37" s="459"/>
    </row>
    <row r="38" spans="1:39" ht="15.75" thickBot="1" x14ac:dyDescent="0.3">
      <c r="A38" s="462" t="s">
        <v>60</v>
      </c>
      <c r="B38" s="87" t="s">
        <v>368</v>
      </c>
      <c r="C38" s="86" t="s">
        <v>367</v>
      </c>
      <c r="D38" s="85">
        <v>239.47</v>
      </c>
      <c r="E38" s="269">
        <f t="shared" si="4"/>
        <v>250</v>
      </c>
      <c r="F38" s="85">
        <v>886.15449999999998</v>
      </c>
      <c r="G38" s="269">
        <v>2</v>
      </c>
      <c r="H38" s="85">
        <f t="shared" si="5"/>
        <v>1772.309</v>
      </c>
      <c r="I38" s="84">
        <f t="shared" si="6"/>
        <v>9</v>
      </c>
      <c r="J38" s="308">
        <f t="shared" si="18"/>
        <v>2250</v>
      </c>
      <c r="K38" s="84">
        <f t="shared" si="1"/>
        <v>477.69100000000003</v>
      </c>
      <c r="L38" s="101" t="s">
        <v>366</v>
      </c>
      <c r="M38" s="83">
        <v>585.61500000000001</v>
      </c>
      <c r="N38" s="177">
        <f t="shared" si="7"/>
        <v>150</v>
      </c>
      <c r="O38" s="83">
        <f t="shared" si="21"/>
        <v>886.15449999999998</v>
      </c>
      <c r="P38" s="273">
        <v>2</v>
      </c>
      <c r="Q38" s="277">
        <f t="shared" si="9"/>
        <v>1772.309</v>
      </c>
      <c r="R38" s="83">
        <f t="shared" si="19"/>
        <v>1350</v>
      </c>
      <c r="S38" s="201">
        <f t="shared" si="20"/>
        <v>-422.30899999999997</v>
      </c>
      <c r="T38" s="82">
        <f t="shared" si="22"/>
        <v>3</v>
      </c>
      <c r="U38">
        <f t="shared" si="11"/>
        <v>450</v>
      </c>
      <c r="V38">
        <f t="shared" si="12"/>
        <v>422.30899999999997</v>
      </c>
      <c r="Y38" s="60" t="s">
        <v>93</v>
      </c>
      <c r="Z38" s="352">
        <v>1</v>
      </c>
      <c r="AA38" s="350">
        <v>2</v>
      </c>
      <c r="AB38" s="352">
        <v>0</v>
      </c>
      <c r="AC38" s="352">
        <v>0</v>
      </c>
      <c r="AD38" s="352">
        <v>0</v>
      </c>
      <c r="AE38" s="60">
        <f t="shared" si="23"/>
        <v>3</v>
      </c>
      <c r="AF38" s="364"/>
      <c r="AG38" s="459"/>
      <c r="AH38" s="459"/>
      <c r="AI38" s="5"/>
      <c r="AJ38" s="459"/>
      <c r="AK38" s="459"/>
      <c r="AL38" s="341"/>
      <c r="AM38" s="459"/>
    </row>
    <row r="39" spans="1:39" ht="15.75" thickBot="1" x14ac:dyDescent="0.3">
      <c r="A39" s="463"/>
      <c r="B39" s="76" t="s">
        <v>364</v>
      </c>
      <c r="C39" s="75" t="s">
        <v>61</v>
      </c>
      <c r="D39" s="74">
        <v>381.34</v>
      </c>
      <c r="E39" s="271">
        <f t="shared" si="4"/>
        <v>200</v>
      </c>
      <c r="F39" s="74">
        <v>233.80699999999999</v>
      </c>
      <c r="G39" s="271">
        <v>2</v>
      </c>
      <c r="H39" s="95">
        <f t="shared" si="5"/>
        <v>467.61399999999998</v>
      </c>
      <c r="I39" s="84">
        <f t="shared" si="6"/>
        <v>3</v>
      </c>
      <c r="J39" s="312">
        <f t="shared" si="18"/>
        <v>600</v>
      </c>
      <c r="K39" s="84">
        <f t="shared" si="1"/>
        <v>132.38600000000002</v>
      </c>
      <c r="L39" s="70" t="s">
        <v>328</v>
      </c>
      <c r="M39" s="72">
        <v>673.16499999999996</v>
      </c>
      <c r="N39" s="177">
        <f t="shared" si="7"/>
        <v>150</v>
      </c>
      <c r="O39" s="83">
        <f t="shared" si="21"/>
        <v>233.80699999999999</v>
      </c>
      <c r="P39" s="274">
        <v>2</v>
      </c>
      <c r="Q39" s="278">
        <f t="shared" si="9"/>
        <v>467.61399999999998</v>
      </c>
      <c r="R39" s="83">
        <f t="shared" si="19"/>
        <v>450</v>
      </c>
      <c r="S39" s="201">
        <f t="shared" si="20"/>
        <v>-17.613999999999976</v>
      </c>
      <c r="T39" s="82">
        <f t="shared" si="22"/>
        <v>1</v>
      </c>
      <c r="U39">
        <f t="shared" si="11"/>
        <v>150</v>
      </c>
      <c r="V39">
        <f t="shared" si="12"/>
        <v>17.613999999999976</v>
      </c>
      <c r="Y39" s="60" t="s">
        <v>94</v>
      </c>
      <c r="Z39" s="352">
        <v>0</v>
      </c>
      <c r="AA39" s="350">
        <v>3</v>
      </c>
      <c r="AB39" s="352">
        <v>0</v>
      </c>
      <c r="AC39" s="352">
        <v>0</v>
      </c>
      <c r="AD39" s="352">
        <v>0</v>
      </c>
      <c r="AE39" s="60">
        <f t="shared" si="23"/>
        <v>3</v>
      </c>
      <c r="AF39" s="18"/>
      <c r="AG39" s="18"/>
      <c r="AH39" s="459"/>
      <c r="AI39" s="5"/>
      <c r="AJ39" s="459"/>
      <c r="AK39" s="459"/>
      <c r="AL39" s="5"/>
      <c r="AM39" s="459"/>
    </row>
    <row r="40" spans="1:39" ht="15.75" thickBot="1" x14ac:dyDescent="0.3">
      <c r="A40" s="464" t="s">
        <v>363</v>
      </c>
      <c r="B40" s="63" t="s">
        <v>362</v>
      </c>
      <c r="C40" s="116" t="s">
        <v>74</v>
      </c>
      <c r="D40" s="95">
        <v>632.29499999999996</v>
      </c>
      <c r="E40" s="269">
        <f t="shared" si="4"/>
        <v>150</v>
      </c>
      <c r="F40" s="95">
        <v>416.14780000000002</v>
      </c>
      <c r="G40" s="269">
        <v>2</v>
      </c>
      <c r="H40" s="85">
        <f t="shared" si="5"/>
        <v>832.29560000000004</v>
      </c>
      <c r="I40" s="84">
        <f t="shared" si="6"/>
        <v>7</v>
      </c>
      <c r="J40" s="308">
        <f t="shared" si="18"/>
        <v>1050</v>
      </c>
      <c r="K40" s="84">
        <f t="shared" si="1"/>
        <v>217.70439999999996</v>
      </c>
      <c r="L40" s="91" t="s">
        <v>361</v>
      </c>
      <c r="M40" s="93">
        <v>692.19500000000005</v>
      </c>
      <c r="N40" s="177">
        <f t="shared" si="7"/>
        <v>150</v>
      </c>
      <c r="O40" s="83">
        <f t="shared" si="21"/>
        <v>416.14780000000002</v>
      </c>
      <c r="P40" s="273">
        <v>2</v>
      </c>
      <c r="Q40" s="277">
        <f t="shared" si="9"/>
        <v>832.29560000000004</v>
      </c>
      <c r="R40" s="83">
        <f t="shared" si="19"/>
        <v>1050</v>
      </c>
      <c r="S40" s="201">
        <f t="shared" si="20"/>
        <v>217.70439999999996</v>
      </c>
      <c r="T40" s="82">
        <f t="shared" si="22"/>
        <v>0</v>
      </c>
      <c r="U40">
        <f t="shared" si="11"/>
        <v>0</v>
      </c>
      <c r="V40">
        <f t="shared" si="12"/>
        <v>0</v>
      </c>
      <c r="Y40" s="358" t="s">
        <v>508</v>
      </c>
      <c r="Z40" s="359">
        <v>1</v>
      </c>
      <c r="AA40" s="359">
        <v>0</v>
      </c>
      <c r="AB40" s="359">
        <v>0</v>
      </c>
      <c r="AC40" s="359">
        <v>0</v>
      </c>
      <c r="AD40" s="359">
        <v>0</v>
      </c>
      <c r="AE40" s="358">
        <f t="shared" si="23"/>
        <v>1</v>
      </c>
      <c r="AF40" s="364"/>
      <c r="AG40" s="491" t="s">
        <v>608</v>
      </c>
      <c r="AH40" s="492"/>
      <c r="AI40" s="492"/>
      <c r="AJ40" s="492"/>
      <c r="AK40" s="492"/>
      <c r="AL40" s="493"/>
      <c r="AM40" s="161"/>
    </row>
    <row r="41" spans="1:39" ht="15.75" thickBot="1" x14ac:dyDescent="0.3">
      <c r="A41" s="464"/>
      <c r="B41" s="97" t="s">
        <v>360</v>
      </c>
      <c r="C41" s="96" t="s">
        <v>55</v>
      </c>
      <c r="D41" s="110">
        <v>566.26</v>
      </c>
      <c r="E41" s="271">
        <f t="shared" si="4"/>
        <v>150</v>
      </c>
      <c r="F41" s="110">
        <v>424.66829999999999</v>
      </c>
      <c r="G41" s="271">
        <v>2</v>
      </c>
      <c r="H41" s="95">
        <f t="shared" si="5"/>
        <v>849.33659999999998</v>
      </c>
      <c r="I41" s="84">
        <f t="shared" si="6"/>
        <v>7</v>
      </c>
      <c r="J41" s="312">
        <f t="shared" si="18"/>
        <v>1050</v>
      </c>
      <c r="K41" s="84">
        <f t="shared" si="1"/>
        <v>200.66340000000002</v>
      </c>
      <c r="L41" s="102" t="s">
        <v>359</v>
      </c>
      <c r="M41" s="108">
        <v>1033.6600000000001</v>
      </c>
      <c r="N41" s="177">
        <f t="shared" si="7"/>
        <v>150</v>
      </c>
      <c r="O41" s="83">
        <f t="shared" si="21"/>
        <v>424.66829999999999</v>
      </c>
      <c r="P41" s="274">
        <v>2</v>
      </c>
      <c r="Q41" s="278">
        <f t="shared" si="9"/>
        <v>849.33659999999998</v>
      </c>
      <c r="R41" s="83">
        <f t="shared" si="19"/>
        <v>1050</v>
      </c>
      <c r="S41" s="201">
        <f t="shared" si="20"/>
        <v>200.66340000000002</v>
      </c>
      <c r="T41" s="82">
        <f t="shared" si="22"/>
        <v>0</v>
      </c>
      <c r="U41">
        <f t="shared" si="11"/>
        <v>0</v>
      </c>
      <c r="V41">
        <f t="shared" si="12"/>
        <v>0</v>
      </c>
      <c r="Y41" s="328" t="s">
        <v>537</v>
      </c>
      <c r="Z41" s="360">
        <f t="shared" ref="Z41:AE41" si="24">SUM(Z29:Z40)</f>
        <v>10</v>
      </c>
      <c r="AA41" s="360">
        <f t="shared" si="24"/>
        <v>10</v>
      </c>
      <c r="AB41" s="360">
        <f t="shared" si="24"/>
        <v>0</v>
      </c>
      <c r="AC41" s="360">
        <f t="shared" si="24"/>
        <v>0</v>
      </c>
      <c r="AD41" s="360">
        <f t="shared" si="24"/>
        <v>0</v>
      </c>
      <c r="AE41" s="361">
        <f t="shared" si="24"/>
        <v>20</v>
      </c>
      <c r="AF41" s="364"/>
      <c r="AG41" s="346" t="s">
        <v>528</v>
      </c>
      <c r="AH41" s="348" t="s">
        <v>529</v>
      </c>
      <c r="AI41" s="348" t="s">
        <v>530</v>
      </c>
      <c r="AJ41" s="348" t="s">
        <v>531</v>
      </c>
      <c r="AK41" s="348" t="s">
        <v>532</v>
      </c>
      <c r="AL41" s="349" t="s">
        <v>582</v>
      </c>
      <c r="AM41" s="328" t="s">
        <v>417</v>
      </c>
    </row>
    <row r="42" spans="1:39" ht="15.75" thickBot="1" x14ac:dyDescent="0.3">
      <c r="A42" s="464"/>
      <c r="B42" s="97" t="s">
        <v>358</v>
      </c>
      <c r="C42" s="96" t="s">
        <v>62</v>
      </c>
      <c r="D42" s="95">
        <v>174.54</v>
      </c>
      <c r="E42" s="270">
        <f t="shared" si="4"/>
        <v>250</v>
      </c>
      <c r="F42" s="95">
        <v>80.336669999999998</v>
      </c>
      <c r="G42" s="270">
        <v>2</v>
      </c>
      <c r="H42" s="74">
        <f t="shared" si="5"/>
        <v>160.67334</v>
      </c>
      <c r="I42" s="84">
        <f t="shared" si="6"/>
        <v>1</v>
      </c>
      <c r="J42" s="310">
        <f t="shared" si="18"/>
        <v>250</v>
      </c>
      <c r="K42" s="84">
        <f t="shared" si="1"/>
        <v>89.326660000000004</v>
      </c>
      <c r="L42" s="91" t="s">
        <v>357</v>
      </c>
      <c r="M42" s="93">
        <v>811.21</v>
      </c>
      <c r="N42" s="177">
        <f t="shared" si="7"/>
        <v>150</v>
      </c>
      <c r="O42" s="83">
        <f t="shared" si="21"/>
        <v>80.336669999999998</v>
      </c>
      <c r="P42" s="275">
        <v>2</v>
      </c>
      <c r="Q42" s="279">
        <f t="shared" si="9"/>
        <v>160.67334</v>
      </c>
      <c r="R42" s="83">
        <f t="shared" si="19"/>
        <v>150</v>
      </c>
      <c r="S42" s="201">
        <f t="shared" si="20"/>
        <v>-10.673339999999996</v>
      </c>
      <c r="T42" s="82">
        <f t="shared" si="22"/>
        <v>1</v>
      </c>
      <c r="U42">
        <f>T42*N42</f>
        <v>150</v>
      </c>
      <c r="V42">
        <f t="shared" si="12"/>
        <v>10.673339999999996</v>
      </c>
      <c r="Y42" s="328" t="s">
        <v>536</v>
      </c>
      <c r="Z42" s="362">
        <f>PRODUCT(Z41*AI32)</f>
        <v>150</v>
      </c>
      <c r="AA42" s="452">
        <f>PRODUCT(AA41*AI33)</f>
        <v>163.68899999999999</v>
      </c>
      <c r="AB42" s="452">
        <f>PRODUCT(AB41*AI34)</f>
        <v>0</v>
      </c>
      <c r="AC42" s="452">
        <f>PRODUCT(AC41*AI35)</f>
        <v>0</v>
      </c>
      <c r="AD42" s="452">
        <f>PRODUCT(AD41*AI36)</f>
        <v>0</v>
      </c>
      <c r="AE42" s="453">
        <f>SUM(Z42:AD42)</f>
        <v>313.68899999999996</v>
      </c>
      <c r="AF42" s="364"/>
      <c r="AG42" s="60" t="s">
        <v>84</v>
      </c>
      <c r="AH42" s="352">
        <f>Z29+Z49</f>
        <v>1</v>
      </c>
      <c r="AI42" s="352">
        <f t="shared" ref="AI42:AL53" si="25">AA29+AA49</f>
        <v>10</v>
      </c>
      <c r="AJ42" s="352">
        <f t="shared" si="25"/>
        <v>3</v>
      </c>
      <c r="AK42" s="352">
        <f t="shared" si="25"/>
        <v>2</v>
      </c>
      <c r="AL42" s="352">
        <f t="shared" si="25"/>
        <v>0</v>
      </c>
      <c r="AM42" s="353">
        <f>SUM(AH42:AL42)</f>
        <v>16</v>
      </c>
    </row>
    <row r="43" spans="1:39" ht="15.75" thickBot="1" x14ac:dyDescent="0.3">
      <c r="A43" s="330" t="s">
        <v>355</v>
      </c>
      <c r="B43" s="87" t="s">
        <v>356</v>
      </c>
      <c r="C43" s="86" t="s">
        <v>355</v>
      </c>
      <c r="D43" s="85">
        <v>517.28</v>
      </c>
      <c r="E43" s="95">
        <f t="shared" si="4"/>
        <v>200</v>
      </c>
      <c r="F43" s="85">
        <v>67.241829999999993</v>
      </c>
      <c r="G43" s="95">
        <v>2</v>
      </c>
      <c r="H43" s="95">
        <f t="shared" si="5"/>
        <v>134.48365999999999</v>
      </c>
      <c r="I43" s="84">
        <f t="shared" si="6"/>
        <v>1</v>
      </c>
      <c r="J43" s="268">
        <f t="shared" si="18"/>
        <v>200</v>
      </c>
      <c r="K43" s="84">
        <f t="shared" si="1"/>
        <v>65.516340000000014</v>
      </c>
      <c r="L43" s="83" t="s">
        <v>354</v>
      </c>
      <c r="M43" s="83">
        <v>607.995</v>
      </c>
      <c r="N43" s="177">
        <f t="shared" si="7"/>
        <v>150</v>
      </c>
      <c r="O43" s="83">
        <f t="shared" si="21"/>
        <v>67.241829999999993</v>
      </c>
      <c r="P43" s="91">
        <v>2</v>
      </c>
      <c r="Q43" s="92">
        <f t="shared" si="9"/>
        <v>134.48365999999999</v>
      </c>
      <c r="R43" s="83">
        <f t="shared" si="19"/>
        <v>150</v>
      </c>
      <c r="S43" s="201">
        <f t="shared" si="20"/>
        <v>15.516340000000014</v>
      </c>
      <c r="T43" s="82">
        <f t="shared" si="22"/>
        <v>0</v>
      </c>
      <c r="U43">
        <f t="shared" si="11"/>
        <v>0</v>
      </c>
      <c r="V43">
        <f t="shared" si="12"/>
        <v>0</v>
      </c>
      <c r="Y43" s="328" t="s">
        <v>535</v>
      </c>
      <c r="Z43" s="362">
        <f>Z41*AH32</f>
        <v>1000</v>
      </c>
      <c r="AA43" s="362">
        <f>AA41*AH33</f>
        <v>1500</v>
      </c>
      <c r="AB43" s="362">
        <f>AB41*AH34</f>
        <v>0</v>
      </c>
      <c r="AC43" s="362">
        <f>AC41*AH35</f>
        <v>0</v>
      </c>
      <c r="AD43" s="362">
        <f>AD41*AH36</f>
        <v>0</v>
      </c>
      <c r="AE43" s="328">
        <f>SUM(Z43:AD43)</f>
        <v>2500</v>
      </c>
      <c r="AF43" s="364"/>
      <c r="AG43" s="60" t="s">
        <v>85</v>
      </c>
      <c r="AH43" s="352">
        <f t="shared" ref="AH43:AH53" si="26">Z30+Z50</f>
        <v>2</v>
      </c>
      <c r="AI43" s="352">
        <f t="shared" si="25"/>
        <v>14</v>
      </c>
      <c r="AJ43" s="352">
        <f t="shared" si="25"/>
        <v>8</v>
      </c>
      <c r="AK43" s="352">
        <f t="shared" si="25"/>
        <v>0</v>
      </c>
      <c r="AL43" s="352">
        <f t="shared" si="25"/>
        <v>5</v>
      </c>
      <c r="AM43" s="60">
        <f t="shared" ref="AM43:AM53" si="27">SUM(AH43:AL43)</f>
        <v>29</v>
      </c>
    </row>
    <row r="44" spans="1:39" ht="15.75" thickBot="1" x14ac:dyDescent="0.3">
      <c r="A44" s="462" t="s">
        <v>349</v>
      </c>
      <c r="B44" s="87" t="s">
        <v>353</v>
      </c>
      <c r="C44" s="86" t="s">
        <v>342</v>
      </c>
      <c r="D44" s="85">
        <v>592.98500000000001</v>
      </c>
      <c r="E44" s="269">
        <f t="shared" si="4"/>
        <v>150</v>
      </c>
      <c r="F44" s="85">
        <v>175.91919999999999</v>
      </c>
      <c r="G44" s="269">
        <v>2</v>
      </c>
      <c r="H44" s="85">
        <f t="shared" si="5"/>
        <v>351.83839999999998</v>
      </c>
      <c r="I44" s="84">
        <f t="shared" si="6"/>
        <v>3</v>
      </c>
      <c r="J44" s="308">
        <f t="shared" si="18"/>
        <v>450</v>
      </c>
      <c r="K44" s="84">
        <f t="shared" si="1"/>
        <v>98.161600000000021</v>
      </c>
      <c r="L44" s="101" t="s">
        <v>352</v>
      </c>
      <c r="M44" s="83">
        <v>1051.23</v>
      </c>
      <c r="N44" s="177">
        <f t="shared" si="7"/>
        <v>150</v>
      </c>
      <c r="O44" s="83">
        <f t="shared" si="21"/>
        <v>175.91919999999999</v>
      </c>
      <c r="P44" s="273">
        <v>2</v>
      </c>
      <c r="Q44" s="277">
        <f t="shared" si="9"/>
        <v>351.83839999999998</v>
      </c>
      <c r="R44" s="83">
        <f t="shared" si="19"/>
        <v>450</v>
      </c>
      <c r="S44" s="201">
        <f t="shared" si="20"/>
        <v>98.161600000000021</v>
      </c>
      <c r="T44" s="82">
        <f t="shared" si="22"/>
        <v>0</v>
      </c>
      <c r="U44">
        <f t="shared" si="11"/>
        <v>0</v>
      </c>
      <c r="V44">
        <f t="shared" si="12"/>
        <v>0</v>
      </c>
      <c r="AG44" s="60" t="s">
        <v>86</v>
      </c>
      <c r="AH44" s="352">
        <f t="shared" si="26"/>
        <v>1</v>
      </c>
      <c r="AI44" s="352">
        <f t="shared" si="25"/>
        <v>0</v>
      </c>
      <c r="AJ44" s="352">
        <f t="shared" si="25"/>
        <v>5</v>
      </c>
      <c r="AK44" s="352">
        <f t="shared" si="25"/>
        <v>0</v>
      </c>
      <c r="AL44" s="352">
        <f t="shared" si="25"/>
        <v>3</v>
      </c>
      <c r="AM44" s="60">
        <f t="shared" si="27"/>
        <v>9</v>
      </c>
    </row>
    <row r="45" spans="1:39" ht="15.75" thickBot="1" x14ac:dyDescent="0.3">
      <c r="A45" s="464"/>
      <c r="B45" s="97" t="s">
        <v>350</v>
      </c>
      <c r="C45" s="96" t="s">
        <v>349</v>
      </c>
      <c r="D45" s="110">
        <v>374.84</v>
      </c>
      <c r="E45" s="271">
        <f t="shared" si="4"/>
        <v>200</v>
      </c>
      <c r="F45" s="110">
        <v>115.1143</v>
      </c>
      <c r="G45" s="271">
        <v>2</v>
      </c>
      <c r="H45" s="95">
        <f t="shared" si="5"/>
        <v>230.2286</v>
      </c>
      <c r="I45" s="84">
        <f t="shared" si="6"/>
        <v>2</v>
      </c>
      <c r="J45" s="312">
        <f t="shared" si="18"/>
        <v>400</v>
      </c>
      <c r="K45" s="84">
        <f t="shared" si="1"/>
        <v>169.7714</v>
      </c>
      <c r="L45" s="102" t="s">
        <v>348</v>
      </c>
      <c r="M45" s="108">
        <v>838.745</v>
      </c>
      <c r="N45" s="177">
        <f t="shared" si="7"/>
        <v>150</v>
      </c>
      <c r="O45" s="83">
        <f t="shared" si="21"/>
        <v>115.1143</v>
      </c>
      <c r="P45" s="274">
        <v>2</v>
      </c>
      <c r="Q45" s="278">
        <f t="shared" si="9"/>
        <v>230.2286</v>
      </c>
      <c r="R45" s="83">
        <f t="shared" si="19"/>
        <v>300</v>
      </c>
      <c r="S45" s="201">
        <f t="shared" si="20"/>
        <v>69.7714</v>
      </c>
      <c r="T45" s="82">
        <f t="shared" si="22"/>
        <v>0</v>
      </c>
      <c r="U45">
        <f t="shared" si="11"/>
        <v>0</v>
      </c>
      <c r="V45">
        <f t="shared" si="12"/>
        <v>0</v>
      </c>
      <c r="Y45" s="364"/>
      <c r="Z45" s="364"/>
      <c r="AA45" s="364"/>
      <c r="AB45" s="364"/>
      <c r="AC45" s="364"/>
      <c r="AD45" s="364"/>
      <c r="AE45" s="364"/>
      <c r="AF45" s="364"/>
      <c r="AG45" s="60" t="s">
        <v>87</v>
      </c>
      <c r="AH45" s="352">
        <f t="shared" si="26"/>
        <v>1</v>
      </c>
      <c r="AI45" s="352">
        <f t="shared" si="25"/>
        <v>28</v>
      </c>
      <c r="AJ45" s="352">
        <f t="shared" si="25"/>
        <v>34</v>
      </c>
      <c r="AK45" s="352">
        <f t="shared" si="25"/>
        <v>20</v>
      </c>
      <c r="AL45" s="352">
        <f t="shared" si="25"/>
        <v>0</v>
      </c>
      <c r="AM45" s="60">
        <f t="shared" si="27"/>
        <v>83</v>
      </c>
    </row>
    <row r="46" spans="1:39" ht="15.75" thickBot="1" x14ac:dyDescent="0.3">
      <c r="A46" s="464"/>
      <c r="B46" s="97" t="s">
        <v>347</v>
      </c>
      <c r="C46" s="96" t="s">
        <v>335</v>
      </c>
      <c r="D46" s="110">
        <v>675.17499999999995</v>
      </c>
      <c r="E46" s="271">
        <f t="shared" si="4"/>
        <v>150</v>
      </c>
      <c r="F46" s="110">
        <v>87.5685</v>
      </c>
      <c r="G46" s="271">
        <v>2</v>
      </c>
      <c r="H46" s="95">
        <f t="shared" si="5"/>
        <v>175.137</v>
      </c>
      <c r="I46" s="84">
        <f t="shared" si="6"/>
        <v>2</v>
      </c>
      <c r="J46" s="312">
        <f t="shared" si="18"/>
        <v>300</v>
      </c>
      <c r="K46" s="84">
        <f t="shared" si="1"/>
        <v>124.863</v>
      </c>
      <c r="L46" s="102" t="s">
        <v>346</v>
      </c>
      <c r="M46" s="108">
        <v>792.93499999999995</v>
      </c>
      <c r="N46" s="177">
        <f t="shared" si="7"/>
        <v>150</v>
      </c>
      <c r="O46" s="83">
        <f t="shared" si="21"/>
        <v>87.5685</v>
      </c>
      <c r="P46" s="274">
        <v>2</v>
      </c>
      <c r="Q46" s="278">
        <f t="shared" si="9"/>
        <v>175.137</v>
      </c>
      <c r="R46" s="83">
        <f t="shared" si="19"/>
        <v>300</v>
      </c>
      <c r="S46" s="201">
        <f t="shared" si="20"/>
        <v>124.863</v>
      </c>
      <c r="T46" s="82">
        <f t="shared" si="22"/>
        <v>0</v>
      </c>
      <c r="U46">
        <f t="shared" si="11"/>
        <v>0</v>
      </c>
      <c r="V46">
        <f t="shared" si="12"/>
        <v>0</v>
      </c>
      <c r="Y46" s="364"/>
      <c r="Z46" s="364"/>
      <c r="AA46" s="364"/>
      <c r="AB46" s="364"/>
      <c r="AC46" s="364"/>
      <c r="AD46" s="364"/>
      <c r="AE46" s="364"/>
      <c r="AF46" s="364"/>
      <c r="AG46" s="60" t="s">
        <v>88</v>
      </c>
      <c r="AH46" s="352">
        <f t="shared" si="26"/>
        <v>0</v>
      </c>
      <c r="AI46" s="352">
        <f t="shared" si="25"/>
        <v>1</v>
      </c>
      <c r="AJ46" s="352">
        <f t="shared" si="25"/>
        <v>16</v>
      </c>
      <c r="AK46" s="352">
        <f t="shared" si="25"/>
        <v>1</v>
      </c>
      <c r="AL46" s="352">
        <f t="shared" si="25"/>
        <v>0</v>
      </c>
      <c r="AM46" s="60">
        <f t="shared" si="27"/>
        <v>18</v>
      </c>
    </row>
    <row r="47" spans="1:39" ht="15.75" thickBot="1" x14ac:dyDescent="0.3">
      <c r="A47" s="464"/>
      <c r="B47" s="97" t="s">
        <v>339</v>
      </c>
      <c r="C47" s="96" t="s">
        <v>338</v>
      </c>
      <c r="D47" s="95">
        <v>768.38499999999999</v>
      </c>
      <c r="E47" s="271">
        <f t="shared" si="4"/>
        <v>150</v>
      </c>
      <c r="F47" s="95">
        <v>46.164000000000001</v>
      </c>
      <c r="G47" s="271">
        <v>2</v>
      </c>
      <c r="H47" s="95">
        <f t="shared" si="5"/>
        <v>92.328000000000003</v>
      </c>
      <c r="I47" s="84">
        <f t="shared" si="6"/>
        <v>1</v>
      </c>
      <c r="J47" s="312">
        <f t="shared" si="18"/>
        <v>150</v>
      </c>
      <c r="K47" s="84">
        <f t="shared" si="1"/>
        <v>57.671999999999997</v>
      </c>
      <c r="L47" s="91" t="s">
        <v>345</v>
      </c>
      <c r="M47" s="93">
        <v>934.80499999999995</v>
      </c>
      <c r="N47" s="177">
        <f t="shared" si="7"/>
        <v>150</v>
      </c>
      <c r="O47" s="83">
        <f t="shared" si="21"/>
        <v>46.164000000000001</v>
      </c>
      <c r="P47" s="274">
        <v>2</v>
      </c>
      <c r="Q47" s="278">
        <f t="shared" si="9"/>
        <v>92.328000000000003</v>
      </c>
      <c r="R47" s="83">
        <f t="shared" si="19"/>
        <v>150</v>
      </c>
      <c r="S47" s="201">
        <f t="shared" si="20"/>
        <v>57.671999999999997</v>
      </c>
      <c r="T47" s="82">
        <f t="shared" si="22"/>
        <v>0</v>
      </c>
      <c r="U47">
        <f t="shared" si="11"/>
        <v>0</v>
      </c>
      <c r="V47">
        <f t="shared" si="12"/>
        <v>0</v>
      </c>
      <c r="Y47" s="491" t="s">
        <v>607</v>
      </c>
      <c r="Z47" s="492"/>
      <c r="AA47" s="492"/>
      <c r="AB47" s="492"/>
      <c r="AC47" s="492"/>
      <c r="AD47" s="493"/>
      <c r="AE47" s="161"/>
      <c r="AF47" s="364"/>
      <c r="AG47" s="60" t="s">
        <v>89</v>
      </c>
      <c r="AH47" s="352">
        <f t="shared" si="26"/>
        <v>1</v>
      </c>
      <c r="AI47" s="352">
        <f t="shared" si="25"/>
        <v>16</v>
      </c>
      <c r="AJ47" s="352">
        <f t="shared" si="25"/>
        <v>1</v>
      </c>
      <c r="AK47" s="352">
        <f t="shared" si="25"/>
        <v>1</v>
      </c>
      <c r="AL47" s="352">
        <f t="shared" si="25"/>
        <v>0</v>
      </c>
      <c r="AM47" s="60">
        <f t="shared" si="27"/>
        <v>19</v>
      </c>
    </row>
    <row r="48" spans="1:39" ht="15.75" thickBot="1" x14ac:dyDescent="0.3">
      <c r="A48" s="462" t="s">
        <v>344</v>
      </c>
      <c r="B48" s="87" t="s">
        <v>343</v>
      </c>
      <c r="C48" s="86" t="s">
        <v>342</v>
      </c>
      <c r="D48" s="85">
        <v>592.98500000000001</v>
      </c>
      <c r="E48" s="269">
        <f t="shared" si="4"/>
        <v>150</v>
      </c>
      <c r="F48" s="85">
        <v>175.91919999999999</v>
      </c>
      <c r="G48" s="269">
        <v>2</v>
      </c>
      <c r="H48" s="85">
        <f t="shared" si="5"/>
        <v>351.83839999999998</v>
      </c>
      <c r="I48" s="84">
        <f t="shared" si="6"/>
        <v>3</v>
      </c>
      <c r="J48" s="308">
        <f t="shared" si="18"/>
        <v>450</v>
      </c>
      <c r="K48" s="84">
        <f t="shared" si="1"/>
        <v>98.161600000000021</v>
      </c>
      <c r="L48" s="101" t="s">
        <v>341</v>
      </c>
      <c r="M48" s="83">
        <v>992.44500000000005</v>
      </c>
      <c r="N48" s="177">
        <f t="shared" si="7"/>
        <v>150</v>
      </c>
      <c r="O48" s="83">
        <f t="shared" si="21"/>
        <v>175.91919999999999</v>
      </c>
      <c r="P48" s="273">
        <v>2</v>
      </c>
      <c r="Q48" s="277">
        <f t="shared" si="9"/>
        <v>351.83839999999998</v>
      </c>
      <c r="R48" s="83">
        <f t="shared" si="19"/>
        <v>450</v>
      </c>
      <c r="S48" s="201">
        <f t="shared" si="20"/>
        <v>98.161600000000021</v>
      </c>
      <c r="T48" s="82">
        <f t="shared" si="22"/>
        <v>0</v>
      </c>
      <c r="U48">
        <f t="shared" si="11"/>
        <v>0</v>
      </c>
      <c r="V48">
        <f t="shared" si="12"/>
        <v>0</v>
      </c>
      <c r="Y48" s="346" t="s">
        <v>528</v>
      </c>
      <c r="Z48" s="348" t="s">
        <v>529</v>
      </c>
      <c r="AA48" s="348" t="s">
        <v>530</v>
      </c>
      <c r="AB48" s="348" t="s">
        <v>531</v>
      </c>
      <c r="AC48" s="348" t="s">
        <v>532</v>
      </c>
      <c r="AD48" s="349" t="s">
        <v>582</v>
      </c>
      <c r="AE48" s="328" t="s">
        <v>417</v>
      </c>
      <c r="AF48" s="364"/>
      <c r="AG48" s="60" t="s">
        <v>90</v>
      </c>
      <c r="AH48" s="352">
        <f t="shared" si="26"/>
        <v>0</v>
      </c>
      <c r="AI48" s="352">
        <f t="shared" si="25"/>
        <v>1</v>
      </c>
      <c r="AJ48" s="352">
        <f t="shared" si="25"/>
        <v>1</v>
      </c>
      <c r="AK48" s="352">
        <f t="shared" si="25"/>
        <v>3</v>
      </c>
      <c r="AL48" s="352">
        <f t="shared" si="25"/>
        <v>2</v>
      </c>
      <c r="AM48" s="60">
        <f t="shared" si="27"/>
        <v>7</v>
      </c>
    </row>
    <row r="49" spans="1:39" ht="15.75" thickBot="1" x14ac:dyDescent="0.3">
      <c r="A49" s="464"/>
      <c r="B49" s="97" t="s">
        <v>339</v>
      </c>
      <c r="C49" s="96" t="s">
        <v>338</v>
      </c>
      <c r="D49" s="95">
        <v>768.38499999999999</v>
      </c>
      <c r="E49" s="271">
        <f t="shared" si="4"/>
        <v>150</v>
      </c>
      <c r="F49" s="95">
        <v>46.164000000000001</v>
      </c>
      <c r="G49" s="271">
        <v>2</v>
      </c>
      <c r="H49" s="95">
        <f t="shared" si="5"/>
        <v>92.328000000000003</v>
      </c>
      <c r="I49" s="84">
        <f t="shared" si="6"/>
        <v>1</v>
      </c>
      <c r="J49" s="312">
        <f t="shared" si="18"/>
        <v>150</v>
      </c>
      <c r="K49" s="84">
        <f t="shared" si="1"/>
        <v>57.671999999999997</v>
      </c>
      <c r="L49" s="91" t="s">
        <v>337</v>
      </c>
      <c r="M49" s="93">
        <v>817.04499999999996</v>
      </c>
      <c r="N49" s="177">
        <f t="shared" si="7"/>
        <v>150</v>
      </c>
      <c r="O49" s="83">
        <f t="shared" si="21"/>
        <v>46.164000000000001</v>
      </c>
      <c r="P49" s="274">
        <v>2</v>
      </c>
      <c r="Q49" s="278">
        <f t="shared" si="9"/>
        <v>92.328000000000003</v>
      </c>
      <c r="R49" s="83">
        <f t="shared" si="19"/>
        <v>150</v>
      </c>
      <c r="S49" s="201">
        <f t="shared" si="20"/>
        <v>57.671999999999997</v>
      </c>
      <c r="T49" s="82">
        <f t="shared" si="22"/>
        <v>0</v>
      </c>
      <c r="U49">
        <f t="shared" si="11"/>
        <v>0</v>
      </c>
      <c r="V49">
        <f t="shared" si="12"/>
        <v>0</v>
      </c>
      <c r="Y49" s="60" t="s">
        <v>84</v>
      </c>
      <c r="Z49" s="352">
        <v>0</v>
      </c>
      <c r="AA49" s="352">
        <f>10</f>
        <v>10</v>
      </c>
      <c r="AB49" s="450">
        <f>2+1</f>
        <v>3</v>
      </c>
      <c r="AC49" s="450">
        <f>2</f>
        <v>2</v>
      </c>
      <c r="AD49" s="352">
        <v>0</v>
      </c>
      <c r="AE49" s="353">
        <f>SUM(Z49:AD49)</f>
        <v>15</v>
      </c>
      <c r="AF49" s="364"/>
      <c r="AG49" s="60" t="s">
        <v>91</v>
      </c>
      <c r="AH49" s="352">
        <f t="shared" si="26"/>
        <v>1</v>
      </c>
      <c r="AI49" s="352">
        <f t="shared" si="25"/>
        <v>19</v>
      </c>
      <c r="AJ49" s="352">
        <f t="shared" si="25"/>
        <v>3</v>
      </c>
      <c r="AK49" s="352">
        <f t="shared" si="25"/>
        <v>2</v>
      </c>
      <c r="AL49" s="352">
        <f t="shared" si="25"/>
        <v>0</v>
      </c>
      <c r="AM49" s="60">
        <f t="shared" si="27"/>
        <v>25</v>
      </c>
    </row>
    <row r="50" spans="1:39" ht="15.75" thickBot="1" x14ac:dyDescent="0.3">
      <c r="A50" s="462" t="s">
        <v>340</v>
      </c>
      <c r="B50" s="87" t="s">
        <v>339</v>
      </c>
      <c r="C50" s="86" t="s">
        <v>338</v>
      </c>
      <c r="D50" s="85">
        <v>768.38499999999999</v>
      </c>
      <c r="E50" s="269">
        <f t="shared" si="4"/>
        <v>150</v>
      </c>
      <c r="F50" s="85">
        <v>46.164000000000001</v>
      </c>
      <c r="G50" s="269">
        <v>2</v>
      </c>
      <c r="H50" s="85">
        <f t="shared" si="5"/>
        <v>92.328000000000003</v>
      </c>
      <c r="I50" s="84">
        <f t="shared" si="6"/>
        <v>1</v>
      </c>
      <c r="J50" s="308">
        <f t="shared" si="18"/>
        <v>150</v>
      </c>
      <c r="K50" s="84">
        <f t="shared" si="1"/>
        <v>57.671999999999997</v>
      </c>
      <c r="L50" s="101" t="s">
        <v>337</v>
      </c>
      <c r="M50" s="83">
        <v>817.04499999999996</v>
      </c>
      <c r="N50" s="177">
        <f t="shared" si="7"/>
        <v>150</v>
      </c>
      <c r="O50" s="83">
        <f t="shared" si="21"/>
        <v>46.164000000000001</v>
      </c>
      <c r="P50" s="273">
        <v>2</v>
      </c>
      <c r="Q50" s="277">
        <f t="shared" si="9"/>
        <v>92.328000000000003</v>
      </c>
      <c r="R50" s="83">
        <f t="shared" si="19"/>
        <v>150</v>
      </c>
      <c r="S50" s="201">
        <f t="shared" si="20"/>
        <v>57.671999999999997</v>
      </c>
      <c r="T50" s="82">
        <f t="shared" si="22"/>
        <v>0</v>
      </c>
      <c r="U50">
        <f t="shared" si="11"/>
        <v>0</v>
      </c>
      <c r="V50">
        <f t="shared" si="12"/>
        <v>0</v>
      </c>
      <c r="Y50" s="60" t="s">
        <v>85</v>
      </c>
      <c r="Z50" s="352">
        <v>0</v>
      </c>
      <c r="AA50" s="352">
        <f>7+3+4</f>
        <v>14</v>
      </c>
      <c r="AB50" s="352">
        <f>5+3</f>
        <v>8</v>
      </c>
      <c r="AC50" s="352">
        <v>0</v>
      </c>
      <c r="AD50" s="352">
        <f>3+2</f>
        <v>5</v>
      </c>
      <c r="AE50" s="60">
        <f t="shared" ref="AE50:AE60" si="28">SUM(Z50:AD50)</f>
        <v>27</v>
      </c>
      <c r="AF50" s="364"/>
      <c r="AG50" s="60" t="s">
        <v>92</v>
      </c>
      <c r="AH50" s="352">
        <f t="shared" si="26"/>
        <v>1</v>
      </c>
      <c r="AI50" s="352">
        <f t="shared" si="25"/>
        <v>7</v>
      </c>
      <c r="AJ50" s="352">
        <f t="shared" si="25"/>
        <v>16</v>
      </c>
      <c r="AK50" s="352">
        <f t="shared" si="25"/>
        <v>0</v>
      </c>
      <c r="AL50" s="352">
        <f t="shared" si="25"/>
        <v>0</v>
      </c>
      <c r="AM50" s="60">
        <f t="shared" si="27"/>
        <v>24</v>
      </c>
    </row>
    <row r="51" spans="1:39" ht="15.75" thickBot="1" x14ac:dyDescent="0.3">
      <c r="A51" s="464"/>
      <c r="B51" s="97" t="s">
        <v>30</v>
      </c>
      <c r="C51" s="96" t="s">
        <v>326</v>
      </c>
      <c r="D51" s="95">
        <v>317.27</v>
      </c>
      <c r="E51" s="271">
        <f t="shared" si="4"/>
        <v>200</v>
      </c>
      <c r="F51" s="95">
        <v>136.87530000000001</v>
      </c>
      <c r="G51" s="271">
        <v>2</v>
      </c>
      <c r="H51" s="95">
        <f t="shared" si="5"/>
        <v>273.75060000000002</v>
      </c>
      <c r="I51" s="84">
        <f t="shared" si="6"/>
        <v>2</v>
      </c>
      <c r="J51" s="312">
        <f t="shared" si="18"/>
        <v>400</v>
      </c>
      <c r="K51" s="84">
        <f t="shared" si="1"/>
        <v>126.24939999999998</v>
      </c>
      <c r="L51" s="91" t="s">
        <v>325</v>
      </c>
      <c r="M51" s="93">
        <v>518.48</v>
      </c>
      <c r="N51" s="177">
        <f t="shared" si="7"/>
        <v>200</v>
      </c>
      <c r="O51" s="83">
        <f t="shared" si="21"/>
        <v>136.87530000000001</v>
      </c>
      <c r="P51" s="274">
        <v>2</v>
      </c>
      <c r="Q51" s="278">
        <f t="shared" si="9"/>
        <v>273.75060000000002</v>
      </c>
      <c r="R51" s="83">
        <f t="shared" si="19"/>
        <v>400</v>
      </c>
      <c r="S51" s="201">
        <f t="shared" si="20"/>
        <v>126.24939999999998</v>
      </c>
      <c r="T51" s="82">
        <f t="shared" si="22"/>
        <v>0</v>
      </c>
      <c r="U51">
        <f t="shared" si="11"/>
        <v>0</v>
      </c>
      <c r="V51">
        <f t="shared" si="12"/>
        <v>0</v>
      </c>
      <c r="Y51" s="60" t="s">
        <v>86</v>
      </c>
      <c r="Z51" s="352">
        <v>0</v>
      </c>
      <c r="AA51" s="352">
        <v>0</v>
      </c>
      <c r="AB51" s="350">
        <f>4+1</f>
        <v>5</v>
      </c>
      <c r="AC51" s="352">
        <v>0</v>
      </c>
      <c r="AD51" s="352">
        <f>3</f>
        <v>3</v>
      </c>
      <c r="AE51" s="60">
        <f t="shared" si="28"/>
        <v>8</v>
      </c>
      <c r="AF51" s="364"/>
      <c r="AG51" s="60" t="s">
        <v>93</v>
      </c>
      <c r="AH51" s="352">
        <f t="shared" si="26"/>
        <v>1</v>
      </c>
      <c r="AI51" s="352">
        <f t="shared" si="25"/>
        <v>2</v>
      </c>
      <c r="AJ51" s="352">
        <f t="shared" si="25"/>
        <v>3</v>
      </c>
      <c r="AK51" s="352">
        <f t="shared" si="25"/>
        <v>8</v>
      </c>
      <c r="AL51" s="352">
        <f t="shared" si="25"/>
        <v>0</v>
      </c>
      <c r="AM51" s="60">
        <f t="shared" si="27"/>
        <v>14</v>
      </c>
    </row>
    <row r="52" spans="1:39" ht="15.75" thickBot="1" x14ac:dyDescent="0.3">
      <c r="A52" s="462" t="s">
        <v>336</v>
      </c>
      <c r="B52" s="87" t="s">
        <v>28</v>
      </c>
      <c r="C52" s="86" t="s">
        <v>335</v>
      </c>
      <c r="D52" s="85">
        <v>675.17499999999995</v>
      </c>
      <c r="E52" s="269">
        <f t="shared" si="4"/>
        <v>150</v>
      </c>
      <c r="F52" s="85">
        <v>87.5685</v>
      </c>
      <c r="G52" s="269">
        <v>2</v>
      </c>
      <c r="H52" s="85">
        <f t="shared" si="5"/>
        <v>175.137</v>
      </c>
      <c r="I52" s="84">
        <f t="shared" si="6"/>
        <v>2</v>
      </c>
      <c r="J52" s="308">
        <f t="shared" si="18"/>
        <v>300</v>
      </c>
      <c r="K52" s="84">
        <f t="shared" si="1"/>
        <v>124.863</v>
      </c>
      <c r="L52" s="101" t="s">
        <v>334</v>
      </c>
      <c r="M52" s="83">
        <v>792.93499999999995</v>
      </c>
      <c r="N52" s="177">
        <f t="shared" si="7"/>
        <v>150</v>
      </c>
      <c r="O52" s="83">
        <f t="shared" si="21"/>
        <v>87.5685</v>
      </c>
      <c r="P52" s="273">
        <v>2</v>
      </c>
      <c r="Q52" s="277">
        <f t="shared" si="9"/>
        <v>175.137</v>
      </c>
      <c r="R52" s="83">
        <f t="shared" si="19"/>
        <v>300</v>
      </c>
      <c r="S52" s="201">
        <f t="shared" si="20"/>
        <v>124.863</v>
      </c>
      <c r="T52" s="82">
        <f t="shared" si="22"/>
        <v>0</v>
      </c>
      <c r="U52">
        <f t="shared" si="11"/>
        <v>0</v>
      </c>
      <c r="V52">
        <f t="shared" si="12"/>
        <v>0</v>
      </c>
      <c r="Y52" s="60" t="s">
        <v>87</v>
      </c>
      <c r="Z52" s="352">
        <v>0</v>
      </c>
      <c r="AA52" s="451">
        <f>10+7+8</f>
        <v>25</v>
      </c>
      <c r="AB52" s="352">
        <f>5+4+8+14+3</f>
        <v>34</v>
      </c>
      <c r="AC52" s="352">
        <f>3+8+9</f>
        <v>20</v>
      </c>
      <c r="AD52" s="352">
        <v>0</v>
      </c>
      <c r="AE52" s="60">
        <f t="shared" si="28"/>
        <v>79</v>
      </c>
      <c r="AF52" s="364"/>
      <c r="AG52" s="60" t="s">
        <v>94</v>
      </c>
      <c r="AH52" s="352">
        <f t="shared" si="26"/>
        <v>0</v>
      </c>
      <c r="AI52" s="352">
        <f t="shared" si="25"/>
        <v>5</v>
      </c>
      <c r="AJ52" s="352">
        <f t="shared" si="25"/>
        <v>3</v>
      </c>
      <c r="AK52" s="352">
        <f t="shared" si="25"/>
        <v>9</v>
      </c>
      <c r="AL52" s="352">
        <f t="shared" si="25"/>
        <v>0</v>
      </c>
      <c r="AM52" s="60">
        <f t="shared" si="27"/>
        <v>17</v>
      </c>
    </row>
    <row r="53" spans="1:39" ht="15.75" thickBot="1" x14ac:dyDescent="0.3">
      <c r="A53" s="464"/>
      <c r="B53" s="97" t="s">
        <v>333</v>
      </c>
      <c r="C53" s="96" t="s">
        <v>332</v>
      </c>
      <c r="D53" s="95">
        <v>300.33499999999998</v>
      </c>
      <c r="E53" s="270">
        <f t="shared" si="4"/>
        <v>200</v>
      </c>
      <c r="F53" s="95">
        <v>33.29833</v>
      </c>
      <c r="G53" s="271">
        <v>2</v>
      </c>
      <c r="H53" s="95">
        <f t="shared" si="5"/>
        <v>66.59666</v>
      </c>
      <c r="I53" s="84">
        <f t="shared" si="6"/>
        <v>1</v>
      </c>
      <c r="J53" s="310">
        <f t="shared" si="18"/>
        <v>200</v>
      </c>
      <c r="K53" s="84">
        <f t="shared" si="1"/>
        <v>133.40334000000001</v>
      </c>
      <c r="L53" s="91" t="s">
        <v>331</v>
      </c>
      <c r="M53" s="93">
        <v>524.75</v>
      </c>
      <c r="N53" s="177">
        <f t="shared" si="7"/>
        <v>200</v>
      </c>
      <c r="O53" s="83">
        <f t="shared" si="21"/>
        <v>33.29833</v>
      </c>
      <c r="P53" s="274">
        <v>2</v>
      </c>
      <c r="Q53" s="278">
        <f t="shared" si="9"/>
        <v>66.59666</v>
      </c>
      <c r="R53" s="83">
        <f t="shared" si="19"/>
        <v>200</v>
      </c>
      <c r="S53" s="201">
        <f t="shared" si="20"/>
        <v>133.40334000000001</v>
      </c>
      <c r="T53" s="82">
        <f t="shared" si="22"/>
        <v>0</v>
      </c>
      <c r="U53">
        <f t="shared" si="11"/>
        <v>0</v>
      </c>
      <c r="V53">
        <f t="shared" si="12"/>
        <v>0</v>
      </c>
      <c r="Y53" s="60" t="s">
        <v>88</v>
      </c>
      <c r="Z53" s="352">
        <v>0</v>
      </c>
      <c r="AA53" s="352">
        <v>0</v>
      </c>
      <c r="AB53" s="352">
        <f>2+3+1+8+1+1</f>
        <v>16</v>
      </c>
      <c r="AC53" s="352">
        <f>1</f>
        <v>1</v>
      </c>
      <c r="AD53" s="352">
        <v>0</v>
      </c>
      <c r="AE53" s="60">
        <f t="shared" si="28"/>
        <v>17</v>
      </c>
      <c r="AF53" s="364"/>
      <c r="AG53" s="358" t="s">
        <v>508</v>
      </c>
      <c r="AH53" s="352">
        <f t="shared" si="26"/>
        <v>1</v>
      </c>
      <c r="AI53" s="352">
        <f t="shared" si="25"/>
        <v>1</v>
      </c>
      <c r="AJ53" s="352">
        <f t="shared" si="25"/>
        <v>3</v>
      </c>
      <c r="AK53" s="352">
        <f t="shared" si="25"/>
        <v>0</v>
      </c>
      <c r="AL53" s="352">
        <f t="shared" si="25"/>
        <v>0</v>
      </c>
      <c r="AM53" s="358">
        <f t="shared" si="27"/>
        <v>5</v>
      </c>
    </row>
    <row r="54" spans="1:39" ht="15.75" thickBot="1" x14ac:dyDescent="0.3">
      <c r="A54" s="462" t="s">
        <v>330</v>
      </c>
      <c r="B54" s="87" t="s">
        <v>329</v>
      </c>
      <c r="C54" s="86" t="s">
        <v>61</v>
      </c>
      <c r="D54" s="85">
        <v>381.34</v>
      </c>
      <c r="E54" s="269">
        <f t="shared" si="4"/>
        <v>200</v>
      </c>
      <c r="F54" s="85">
        <v>233.80699999999999</v>
      </c>
      <c r="G54" s="269">
        <v>2</v>
      </c>
      <c r="H54" s="85">
        <f t="shared" si="5"/>
        <v>467.61399999999998</v>
      </c>
      <c r="I54" s="84">
        <f t="shared" si="6"/>
        <v>3</v>
      </c>
      <c r="J54" s="308">
        <f t="shared" si="18"/>
        <v>600</v>
      </c>
      <c r="K54" s="84">
        <f t="shared" si="1"/>
        <v>132.38600000000002</v>
      </c>
      <c r="L54" s="101" t="s">
        <v>328</v>
      </c>
      <c r="M54" s="83">
        <v>673.16499999999996</v>
      </c>
      <c r="N54" s="177">
        <f t="shared" si="7"/>
        <v>150</v>
      </c>
      <c r="O54" s="83">
        <f t="shared" si="21"/>
        <v>233.80699999999999</v>
      </c>
      <c r="P54" s="273">
        <v>2</v>
      </c>
      <c r="Q54" s="277">
        <f t="shared" si="9"/>
        <v>467.61399999999998</v>
      </c>
      <c r="R54" s="83">
        <f t="shared" si="19"/>
        <v>450</v>
      </c>
      <c r="S54" s="201">
        <f t="shared" si="20"/>
        <v>-17.613999999999976</v>
      </c>
      <c r="T54" s="82">
        <f t="shared" si="22"/>
        <v>1</v>
      </c>
      <c r="U54">
        <f t="shared" si="11"/>
        <v>150</v>
      </c>
      <c r="V54">
        <f t="shared" si="12"/>
        <v>17.613999999999976</v>
      </c>
      <c r="Y54" s="60" t="s">
        <v>89</v>
      </c>
      <c r="Z54" s="352">
        <v>0</v>
      </c>
      <c r="AA54" s="352">
        <f>7+7+2</f>
        <v>16</v>
      </c>
      <c r="AB54" s="352">
        <f>1</f>
        <v>1</v>
      </c>
      <c r="AC54" s="352">
        <f>1</f>
        <v>1</v>
      </c>
      <c r="AD54" s="352">
        <v>0</v>
      </c>
      <c r="AE54" s="60">
        <f t="shared" si="28"/>
        <v>18</v>
      </c>
      <c r="AF54" s="364"/>
      <c r="AG54" s="328" t="s">
        <v>537</v>
      </c>
      <c r="AH54" s="360">
        <f t="shared" ref="AH54:AM54" si="29">SUM(AH42:AH53)</f>
        <v>10</v>
      </c>
      <c r="AI54" s="360">
        <f t="shared" si="29"/>
        <v>104</v>
      </c>
      <c r="AJ54" s="360">
        <f t="shared" si="29"/>
        <v>96</v>
      </c>
      <c r="AK54" s="360">
        <f t="shared" si="29"/>
        <v>46</v>
      </c>
      <c r="AL54" s="360">
        <f t="shared" si="29"/>
        <v>10</v>
      </c>
      <c r="AM54" s="361">
        <f t="shared" si="29"/>
        <v>266</v>
      </c>
    </row>
    <row r="55" spans="1:39" ht="15.75" thickBot="1" x14ac:dyDescent="0.3">
      <c r="A55" s="463"/>
      <c r="B55" s="76" t="s">
        <v>30</v>
      </c>
      <c r="C55" s="75" t="s">
        <v>326</v>
      </c>
      <c r="D55" s="74">
        <v>317.27</v>
      </c>
      <c r="E55" s="270">
        <f t="shared" si="4"/>
        <v>200</v>
      </c>
      <c r="F55" s="74">
        <v>136.87530000000001</v>
      </c>
      <c r="G55" s="270">
        <v>2</v>
      </c>
      <c r="H55" s="74">
        <f t="shared" si="5"/>
        <v>273.75060000000002</v>
      </c>
      <c r="I55" s="84">
        <f t="shared" si="6"/>
        <v>2</v>
      </c>
      <c r="J55" s="310">
        <f t="shared" si="18"/>
        <v>400</v>
      </c>
      <c r="K55" s="84">
        <f t="shared" si="1"/>
        <v>126.24939999999998</v>
      </c>
      <c r="L55" s="70" t="s">
        <v>325</v>
      </c>
      <c r="M55" s="72">
        <v>518.48</v>
      </c>
      <c r="N55" s="177">
        <f t="shared" si="7"/>
        <v>200</v>
      </c>
      <c r="O55" s="83">
        <f t="shared" si="21"/>
        <v>136.87530000000001</v>
      </c>
      <c r="P55" s="275">
        <v>2</v>
      </c>
      <c r="Q55" s="279">
        <f t="shared" si="9"/>
        <v>273.75060000000002</v>
      </c>
      <c r="R55" s="83">
        <f t="shared" si="19"/>
        <v>400</v>
      </c>
      <c r="S55" s="201">
        <f t="shared" si="20"/>
        <v>126.24939999999998</v>
      </c>
      <c r="T55" s="82">
        <f t="shared" si="22"/>
        <v>0</v>
      </c>
      <c r="U55">
        <f t="shared" si="11"/>
        <v>0</v>
      </c>
      <c r="V55">
        <f t="shared" si="12"/>
        <v>0</v>
      </c>
      <c r="Y55" s="60" t="s">
        <v>90</v>
      </c>
      <c r="Z55" s="352">
        <v>0</v>
      </c>
      <c r="AA55" s="350">
        <v>0</v>
      </c>
      <c r="AB55" s="350">
        <f>1</f>
        <v>1</v>
      </c>
      <c r="AC55" s="352">
        <f>3</f>
        <v>3</v>
      </c>
      <c r="AD55" s="352">
        <f>2</f>
        <v>2</v>
      </c>
      <c r="AE55" s="60">
        <f t="shared" si="28"/>
        <v>6</v>
      </c>
      <c r="AF55" s="364"/>
      <c r="AG55" s="328" t="s">
        <v>536</v>
      </c>
      <c r="AH55" s="362">
        <f>PRODUCT(AH54*AI32)</f>
        <v>150</v>
      </c>
      <c r="AI55" s="452">
        <f>PRODUCT(AI54*AI33)</f>
        <v>1702.3656000000001</v>
      </c>
      <c r="AJ55" s="452">
        <f>PRODUCT(AJ54*AI34)</f>
        <v>1607.6831999999999</v>
      </c>
      <c r="AK55" s="452">
        <f>PRODUCT(AK54*AI35)</f>
        <v>776.78360000000009</v>
      </c>
      <c r="AL55" s="452">
        <f>PRODUCT(AL54*AI36)</f>
        <v>170</v>
      </c>
      <c r="AM55" s="453">
        <f>SUM(AH55:AL55)</f>
        <v>4406.8324000000002</v>
      </c>
    </row>
    <row r="56" spans="1:39" x14ac:dyDescent="0.25">
      <c r="Y56" s="60" t="s">
        <v>91</v>
      </c>
      <c r="Z56" s="352">
        <v>0</v>
      </c>
      <c r="AA56" s="350">
        <f>3+8+2+3+2+1</f>
        <v>19</v>
      </c>
      <c r="AB56" s="352">
        <f>1+2</f>
        <v>3</v>
      </c>
      <c r="AC56" s="352">
        <f>2</f>
        <v>2</v>
      </c>
      <c r="AD56" s="352">
        <v>0</v>
      </c>
      <c r="AE56" s="60">
        <f t="shared" si="28"/>
        <v>24</v>
      </c>
      <c r="AF56" s="364"/>
      <c r="AG56" s="328" t="s">
        <v>583</v>
      </c>
      <c r="AH56" s="362">
        <f>AH54*AH32</f>
        <v>1000</v>
      </c>
      <c r="AI56" s="362">
        <f>AI54*AH33</f>
        <v>15600</v>
      </c>
      <c r="AJ56" s="362">
        <f>AJ54*AH34</f>
        <v>19200</v>
      </c>
      <c r="AK56" s="362">
        <f>AK54*AH35</f>
        <v>11500</v>
      </c>
      <c r="AL56" s="362">
        <f>AL54*AH36</f>
        <v>3000</v>
      </c>
      <c r="AM56" s="328">
        <f>SUM(AH56:AL56)</f>
        <v>50300</v>
      </c>
    </row>
    <row r="57" spans="1:39" x14ac:dyDescent="0.25">
      <c r="Y57" s="60" t="s">
        <v>92</v>
      </c>
      <c r="Z57" s="352">
        <v>0</v>
      </c>
      <c r="AA57" s="350">
        <f>4+3</f>
        <v>7</v>
      </c>
      <c r="AB57" s="352">
        <f>14+2</f>
        <v>16</v>
      </c>
      <c r="AC57" s="352">
        <v>0</v>
      </c>
      <c r="AD57" s="352">
        <v>0</v>
      </c>
      <c r="AE57" s="60">
        <f t="shared" si="28"/>
        <v>23</v>
      </c>
      <c r="AF57" s="364"/>
      <c r="AG57" s="5"/>
      <c r="AH57" s="459"/>
      <c r="AI57" s="350"/>
      <c r="AJ57" s="350"/>
      <c r="AK57" s="352"/>
      <c r="AL57" s="352"/>
      <c r="AM57" s="352"/>
    </row>
    <row r="58" spans="1:39" x14ac:dyDescent="0.25">
      <c r="Y58" s="60" t="s">
        <v>93</v>
      </c>
      <c r="Z58" s="352">
        <v>0</v>
      </c>
      <c r="AA58" s="350">
        <v>0</v>
      </c>
      <c r="AB58" s="352">
        <f>2+1</f>
        <v>3</v>
      </c>
      <c r="AC58" s="352">
        <f>8</f>
        <v>8</v>
      </c>
      <c r="AD58" s="352">
        <v>0</v>
      </c>
      <c r="AE58" s="60">
        <f t="shared" si="28"/>
        <v>11</v>
      </c>
      <c r="AF58" s="255"/>
      <c r="AG58" s="5"/>
      <c r="AH58" s="459"/>
      <c r="AI58" s="352"/>
      <c r="AJ58" s="352"/>
      <c r="AK58" s="352"/>
      <c r="AL58" s="352"/>
      <c r="AM58" s="352"/>
    </row>
    <row r="59" spans="1:39" x14ac:dyDescent="0.25">
      <c r="Y59" s="60" t="s">
        <v>94</v>
      </c>
      <c r="Z59" s="352">
        <v>0</v>
      </c>
      <c r="AA59" s="451">
        <f>2</f>
        <v>2</v>
      </c>
      <c r="AB59" s="352">
        <f>2+1</f>
        <v>3</v>
      </c>
      <c r="AC59" s="352">
        <f>9</f>
        <v>9</v>
      </c>
      <c r="AD59" s="352"/>
      <c r="AE59" s="60">
        <f t="shared" si="28"/>
        <v>14</v>
      </c>
      <c r="AF59" s="364"/>
      <c r="AG59" s="438">
        <f>AE41+AE61</f>
        <v>266</v>
      </c>
      <c r="AH59" s="459"/>
      <c r="AI59" s="352"/>
      <c r="AJ59" s="350"/>
      <c r="AK59" s="352"/>
      <c r="AL59" s="352"/>
      <c r="AM59" s="352"/>
    </row>
    <row r="60" spans="1:39" x14ac:dyDescent="0.25">
      <c r="Y60" s="358" t="s">
        <v>508</v>
      </c>
      <c r="Z60" s="352">
        <v>0</v>
      </c>
      <c r="AA60" s="359">
        <f>1</f>
        <v>1</v>
      </c>
      <c r="AB60" s="359">
        <f>3</f>
        <v>3</v>
      </c>
      <c r="AC60" s="359">
        <v>0</v>
      </c>
      <c r="AD60" s="352">
        <v>0</v>
      </c>
      <c r="AE60" s="358">
        <f t="shared" si="28"/>
        <v>4</v>
      </c>
      <c r="AF60" s="364"/>
      <c r="AG60" s="550">
        <f>AE42+AE62</f>
        <v>4406.8324000000002</v>
      </c>
      <c r="AH60" s="459"/>
      <c r="AI60" s="352"/>
      <c r="AJ60" s="350"/>
      <c r="AK60" s="352"/>
      <c r="AL60" s="352"/>
      <c r="AM60" s="352"/>
    </row>
    <row r="61" spans="1:39" x14ac:dyDescent="0.25">
      <c r="Y61" s="328" t="s">
        <v>537</v>
      </c>
      <c r="Z61" s="360">
        <f t="shared" ref="Z61:AE61" si="30">SUM(Z49:Z60)</f>
        <v>0</v>
      </c>
      <c r="AA61" s="360">
        <f t="shared" si="30"/>
        <v>94</v>
      </c>
      <c r="AB61" s="360">
        <f t="shared" si="30"/>
        <v>96</v>
      </c>
      <c r="AC61" s="360">
        <f t="shared" si="30"/>
        <v>46</v>
      </c>
      <c r="AD61" s="360">
        <f t="shared" si="30"/>
        <v>10</v>
      </c>
      <c r="AE61" s="361">
        <f t="shared" si="30"/>
        <v>246</v>
      </c>
      <c r="AG61" s="352">
        <f>AE43+AE63</f>
        <v>50300</v>
      </c>
      <c r="AH61" s="459"/>
      <c r="AI61" s="352"/>
      <c r="AJ61" s="352"/>
      <c r="AK61" s="352"/>
      <c r="AL61" s="352"/>
      <c r="AM61" s="352"/>
    </row>
    <row r="62" spans="1:39" x14ac:dyDescent="0.25">
      <c r="Y62" s="328" t="s">
        <v>536</v>
      </c>
      <c r="Z62" s="452">
        <f>PRODUCT(Z61*AI32)</f>
        <v>0</v>
      </c>
      <c r="AA62" s="452">
        <f>PRODUCT(AA61*AI33)</f>
        <v>1538.6766</v>
      </c>
      <c r="AB62" s="452">
        <f>PRODUCT(AB61*AI34)</f>
        <v>1607.6831999999999</v>
      </c>
      <c r="AC62" s="452">
        <f>PRODUCT(AC61*AI35)</f>
        <v>776.78360000000009</v>
      </c>
      <c r="AD62" s="452">
        <f>PRODUCT(AD61*AI36)</f>
        <v>170</v>
      </c>
      <c r="AE62" s="453">
        <f>SUM(Z62:AD62)</f>
        <v>4093.1434000000004</v>
      </c>
      <c r="AG62" s="5"/>
      <c r="AH62" s="5"/>
      <c r="AI62" s="5"/>
      <c r="AJ62" s="5"/>
      <c r="AK62" s="5"/>
      <c r="AL62" s="5"/>
      <c r="AM62" s="5"/>
    </row>
    <row r="63" spans="1:39" x14ac:dyDescent="0.25">
      <c r="Y63" s="328" t="s">
        <v>583</v>
      </c>
      <c r="Z63" s="362">
        <f>Z61*AH32</f>
        <v>0</v>
      </c>
      <c r="AA63" s="362">
        <f>AA61*AH33</f>
        <v>14100</v>
      </c>
      <c r="AB63" s="362">
        <f>AB61*AH34</f>
        <v>19200</v>
      </c>
      <c r="AC63" s="362">
        <f>AC61*AH35</f>
        <v>11500</v>
      </c>
      <c r="AD63" s="362">
        <f>AD61*AH36</f>
        <v>3000</v>
      </c>
      <c r="AE63" s="328">
        <f>SUM(Z63:AD63)</f>
        <v>47800</v>
      </c>
      <c r="AG63" s="261"/>
      <c r="AH63" s="261"/>
      <c r="AI63" s="261"/>
      <c r="AJ63" s="261"/>
      <c r="AK63" s="261"/>
      <c r="AL63" s="261"/>
      <c r="AM63" s="261"/>
    </row>
  </sheetData>
  <mergeCells count="19">
    <mergeCell ref="Y27:AD27"/>
    <mergeCell ref="AG40:AL40"/>
    <mergeCell ref="Y47:AD47"/>
    <mergeCell ref="A48:A49"/>
    <mergeCell ref="A50:A51"/>
    <mergeCell ref="A52:A53"/>
    <mergeCell ref="A54:A55"/>
    <mergeCell ref="A27:A31"/>
    <mergeCell ref="A32:A34"/>
    <mergeCell ref="A35:A36"/>
    <mergeCell ref="A38:A39"/>
    <mergeCell ref="A40:A42"/>
    <mergeCell ref="A44:A47"/>
    <mergeCell ref="A25:A26"/>
    <mergeCell ref="A3:A4"/>
    <mergeCell ref="A5:A7"/>
    <mergeCell ref="A8:A12"/>
    <mergeCell ref="A14:A19"/>
    <mergeCell ref="A20:A23"/>
  </mergeCells>
  <conditionalFormatting sqref="S2:S55">
    <cfRule type="cellIs" dxfId="64" priority="9" operator="lessThan">
      <formula>0</formula>
    </cfRule>
  </conditionalFormatting>
  <conditionalFormatting sqref="R2:R55">
    <cfRule type="expression" dxfId="63" priority="8">
      <formula>(R2&lt;N2)</formula>
    </cfRule>
  </conditionalFormatting>
  <conditionalFormatting sqref="T2:T55">
    <cfRule type="cellIs" dxfId="62" priority="7" operator="greaterThan">
      <formula>0</formula>
    </cfRule>
  </conditionalFormatting>
  <conditionalFormatting sqref="Z29:AE40">
    <cfRule type="cellIs" dxfId="61" priority="6" operator="greaterThan">
      <formula>0</formula>
    </cfRule>
  </conditionalFormatting>
  <conditionalFormatting sqref="AI57:AM61">
    <cfRule type="cellIs" dxfId="60" priority="5" operator="greaterThan">
      <formula>0</formula>
    </cfRule>
  </conditionalFormatting>
  <conditionalFormatting sqref="AH42:AM53">
    <cfRule type="cellIs" dxfId="59" priority="4" operator="greaterThan">
      <formula>0</formula>
    </cfRule>
  </conditionalFormatting>
  <conditionalFormatting sqref="AE49:AE60">
    <cfRule type="cellIs" dxfId="58" priority="3" operator="greaterThan">
      <formula>0</formula>
    </cfRule>
  </conditionalFormatting>
  <conditionalFormatting sqref="AA49:AD60">
    <cfRule type="cellIs" dxfId="57" priority="2" operator="greaterThan">
      <formula>0</formula>
    </cfRule>
  </conditionalFormatting>
  <conditionalFormatting sqref="Z49:Z60">
    <cfRule type="cellIs" dxfId="5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IP_linksErrorFree</vt:lpstr>
      <vt:lpstr>MPLS_Demands</vt:lpstr>
      <vt:lpstr>Shut-off lambda</vt:lpstr>
      <vt:lpstr>Multiple-path Reroute</vt:lpstr>
      <vt:lpstr>Selective 0&lt;alpha&lt;1</vt:lpstr>
      <vt:lpstr>BDF</vt:lpstr>
      <vt:lpstr>SDF</vt:lpstr>
      <vt:lpstr>Single-hop Reroute</vt:lpstr>
      <vt:lpstr>No-Reroute</vt:lpstr>
      <vt:lpstr>ES-EP</vt:lpstr>
      <vt:lpstr>US-EP</vt:lpstr>
      <vt:lpstr>US-UP</vt:lpstr>
      <vt:lpstr>US</vt:lpstr>
      <vt:lpstr>FlowThinning</vt:lpstr>
      <vt:lpstr>FlowThinningModularCapacities</vt:lpstr>
      <vt:lpstr>AffineFlowThinning</vt:lpstr>
      <vt:lpstr>AffineFlowThinningModularCapaci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user</cp:lastModifiedBy>
  <dcterms:created xsi:type="dcterms:W3CDTF">2017-06-09T11:14:50Z</dcterms:created>
  <dcterms:modified xsi:type="dcterms:W3CDTF">2021-01-08T15:24:26Z</dcterms:modified>
</cp:coreProperties>
</file>