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2.xml" ContentType="application/vnd.openxmlformats-officedocument.drawing+xml"/>
  <Override PartName="/xl/tables/table1.xml" ContentType="application/vnd.openxmlformats-officedocument.spreadsheetml.table+xml"/>
  <Override PartName="/xl/charts/chart2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3.xml" ContentType="application/vnd.openxmlformats-officedocument.drawing+xml"/>
  <Override PartName="/xl/charts/chart2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5.xml" ContentType="application/vnd.openxmlformats-officedocument.drawing+xml"/>
  <Override PartName="/xl/charts/chart3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6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Research_Project_Shkurte_Esati\Code\Results\"/>
    </mc:Choice>
  </mc:AlternateContent>
  <bookViews>
    <workbookView xWindow="360" yWindow="45" windowWidth="9555" windowHeight="4950" firstSheet="16" activeTab="17"/>
  </bookViews>
  <sheets>
    <sheet name="IP_linksErrorFree" sheetId="1" r:id="rId1"/>
    <sheet name="MPLS_Demands" sheetId="2" r:id="rId2"/>
    <sheet name="Shut-off lambda" sheetId="4" r:id="rId3"/>
    <sheet name="Multiple-path Reroute" sheetId="14" r:id="rId4"/>
    <sheet name="Selective 0&lt;alpha&lt;1" sheetId="15" r:id="rId5"/>
    <sheet name="BDF" sheetId="5" r:id="rId6"/>
    <sheet name="SDF" sheetId="6" r:id="rId7"/>
    <sheet name="Single-hop Reroute" sheetId="8" r:id="rId8"/>
    <sheet name="No-Reroute" sheetId="9" r:id="rId9"/>
    <sheet name="ES-EP" sheetId="10" r:id="rId10"/>
    <sheet name="US-EP" sheetId="11" r:id="rId11"/>
    <sheet name="US-UP" sheetId="12" r:id="rId12"/>
    <sheet name="US" sheetId="13" r:id="rId13"/>
    <sheet name="FlowThinning" sheetId="16" r:id="rId14"/>
    <sheet name="FlowThinningModularCapacities" sheetId="17" r:id="rId15"/>
    <sheet name="AffineFlowThinning" sheetId="18" r:id="rId16"/>
    <sheet name="AffineFlowThinningModularCapaci" sheetId="19" r:id="rId17"/>
    <sheet name="conclusion" sheetId="7" r:id="rId18"/>
  </sheets>
  <calcPr calcId="162913"/>
</workbook>
</file>

<file path=xl/calcChain.xml><?xml version="1.0" encoding="utf-8"?>
<calcChain xmlns="http://schemas.openxmlformats.org/spreadsheetml/2006/main">
  <c r="Q16" i="19" l="1"/>
  <c r="O16" i="19"/>
  <c r="M16" i="19"/>
  <c r="Q15" i="19"/>
  <c r="M15" i="19"/>
  <c r="Q14" i="19"/>
  <c r="M14" i="19"/>
  <c r="Q13" i="19"/>
  <c r="Q12" i="19"/>
  <c r="P12" i="19"/>
  <c r="M12" i="19"/>
  <c r="Q11" i="19"/>
  <c r="P11" i="19"/>
  <c r="M11" i="19"/>
  <c r="Q10" i="19"/>
  <c r="O10" i="19"/>
  <c r="M10" i="19"/>
  <c r="Q9" i="19"/>
  <c r="P9" i="19"/>
  <c r="N9" i="19"/>
  <c r="M9" i="19"/>
  <c r="Q8" i="19"/>
  <c r="P8" i="19"/>
  <c r="O8" i="19"/>
  <c r="M8" i="19"/>
  <c r="Q7" i="19"/>
  <c r="M7" i="19"/>
  <c r="Q6" i="19"/>
  <c r="N6" i="19"/>
  <c r="M6" i="19"/>
  <c r="Q5" i="19"/>
  <c r="O5" i="19"/>
  <c r="M5" i="19"/>
  <c r="O16" i="17" l="1"/>
  <c r="M16" i="17"/>
  <c r="K16" i="17"/>
  <c r="O15" i="17"/>
  <c r="K15" i="17"/>
  <c r="O14" i="17"/>
  <c r="K14" i="17"/>
  <c r="O13" i="17"/>
  <c r="O12" i="17"/>
  <c r="N12" i="17"/>
  <c r="L12" i="17"/>
  <c r="K12" i="17"/>
  <c r="O11" i="17"/>
  <c r="N11" i="17"/>
  <c r="K11" i="17"/>
  <c r="O10" i="17"/>
  <c r="M10" i="17"/>
  <c r="K10" i="17"/>
  <c r="O9" i="17"/>
  <c r="N9" i="17"/>
  <c r="L9" i="17"/>
  <c r="K9" i="17"/>
  <c r="O8" i="17"/>
  <c r="N8" i="17"/>
  <c r="M8" i="17"/>
  <c r="K8" i="17"/>
  <c r="O7" i="17"/>
  <c r="K7" i="17"/>
  <c r="O6" i="17"/>
  <c r="N6" i="17"/>
  <c r="K6" i="17"/>
  <c r="O5" i="17"/>
  <c r="M5" i="17"/>
  <c r="K5" i="17"/>
  <c r="H28" i="19" l="1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G15" i="18"/>
  <c r="H13" i="18"/>
  <c r="H12" i="18"/>
  <c r="H11" i="18"/>
  <c r="H10" i="18"/>
  <c r="H9" i="18"/>
  <c r="H8" i="18"/>
  <c r="H7" i="18"/>
  <c r="H6" i="18"/>
  <c r="R16" i="19" l="1"/>
  <c r="R14" i="19"/>
  <c r="R13" i="19"/>
  <c r="R11" i="19"/>
  <c r="M17" i="19"/>
  <c r="R6" i="19"/>
  <c r="N17" i="19"/>
  <c r="D35" i="19"/>
  <c r="B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Q18" i="18"/>
  <c r="P18" i="18"/>
  <c r="M18" i="18"/>
  <c r="Q17" i="18"/>
  <c r="Q19" i="18" s="1"/>
  <c r="P17" i="18"/>
  <c r="P19" i="18" s="1"/>
  <c r="O17" i="18"/>
  <c r="O18" i="18" s="1"/>
  <c r="N17" i="18"/>
  <c r="N18" i="18" s="1"/>
  <c r="M17" i="18"/>
  <c r="M19" i="18" s="1"/>
  <c r="R16" i="18"/>
  <c r="R15" i="18"/>
  <c r="R14" i="18"/>
  <c r="R13" i="18"/>
  <c r="R12" i="18"/>
  <c r="R11" i="18"/>
  <c r="R10" i="18"/>
  <c r="R9" i="18"/>
  <c r="R8" i="18"/>
  <c r="R7" i="18"/>
  <c r="R6" i="18"/>
  <c r="R5" i="18"/>
  <c r="D35" i="18"/>
  <c r="B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D35" i="17"/>
  <c r="B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M17" i="17"/>
  <c r="M19" i="17" s="1"/>
  <c r="C17" i="17"/>
  <c r="P16" i="17"/>
  <c r="C16" i="17"/>
  <c r="P15" i="17"/>
  <c r="C15" i="17"/>
  <c r="P14" i="17"/>
  <c r="C14" i="17"/>
  <c r="P13" i="17"/>
  <c r="C13" i="17"/>
  <c r="P12" i="17"/>
  <c r="C12" i="17"/>
  <c r="P11" i="17"/>
  <c r="C11" i="17"/>
  <c r="P10" i="17"/>
  <c r="G10" i="17"/>
  <c r="C10" i="17"/>
  <c r="P9" i="17"/>
  <c r="G9" i="17"/>
  <c r="C9" i="17"/>
  <c r="P8" i="17"/>
  <c r="C8" i="17"/>
  <c r="K17" i="17"/>
  <c r="H7" i="17"/>
  <c r="C7" i="17"/>
  <c r="P6" i="17"/>
  <c r="H6" i="17"/>
  <c r="C6" i="17"/>
  <c r="O17" i="17"/>
  <c r="N17" i="17"/>
  <c r="L17" i="17"/>
  <c r="C5" i="17"/>
  <c r="C4" i="17"/>
  <c r="D35" i="16"/>
  <c r="B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Q17" i="16"/>
  <c r="Q18" i="16" s="1"/>
  <c r="P17" i="16"/>
  <c r="P18" i="16" s="1"/>
  <c r="O17" i="16"/>
  <c r="O19" i="16" s="1"/>
  <c r="N17" i="16"/>
  <c r="N18" i="16" s="1"/>
  <c r="M17" i="16"/>
  <c r="M18" i="16" s="1"/>
  <c r="C17" i="16"/>
  <c r="R16" i="16"/>
  <c r="C16" i="16"/>
  <c r="R15" i="16"/>
  <c r="C15" i="16"/>
  <c r="R14" i="16"/>
  <c r="C14" i="16"/>
  <c r="R13" i="16"/>
  <c r="C13" i="16"/>
  <c r="R12" i="16"/>
  <c r="C12" i="16"/>
  <c r="R11" i="16"/>
  <c r="C11" i="16"/>
  <c r="R10" i="16"/>
  <c r="C10" i="16"/>
  <c r="R9" i="16"/>
  <c r="C9" i="16"/>
  <c r="R8" i="16"/>
  <c r="H8" i="16"/>
  <c r="H9" i="16" s="1"/>
  <c r="C8" i="16"/>
  <c r="R7" i="16"/>
  <c r="C7" i="16"/>
  <c r="R6" i="16"/>
  <c r="I6" i="16"/>
  <c r="C6" i="16"/>
  <c r="R5" i="16"/>
  <c r="I5" i="16"/>
  <c r="C5" i="16"/>
  <c r="C4" i="16"/>
  <c r="R9" i="19" l="1"/>
  <c r="R15" i="19"/>
  <c r="P17" i="19"/>
  <c r="P18" i="19" s="1"/>
  <c r="R12" i="19"/>
  <c r="O17" i="19"/>
  <c r="O19" i="19" s="1"/>
  <c r="Q17" i="19"/>
  <c r="Q19" i="19" s="1"/>
  <c r="R10" i="19"/>
  <c r="R8" i="19"/>
  <c r="R18" i="18"/>
  <c r="R17" i="18"/>
  <c r="C35" i="19"/>
  <c r="M18" i="19"/>
  <c r="M19" i="19"/>
  <c r="N18" i="19"/>
  <c r="N19" i="19"/>
  <c r="R7" i="19"/>
  <c r="R5" i="19"/>
  <c r="C35" i="18"/>
  <c r="N19" i="18"/>
  <c r="O19" i="18"/>
  <c r="M18" i="17"/>
  <c r="C35" i="17"/>
  <c r="K18" i="17"/>
  <c r="K19" i="17"/>
  <c r="L18" i="17"/>
  <c r="L19" i="17"/>
  <c r="N18" i="17"/>
  <c r="N19" i="17"/>
  <c r="O18" i="17"/>
  <c r="O19" i="17"/>
  <c r="P5" i="17"/>
  <c r="P7" i="17"/>
  <c r="P19" i="16"/>
  <c r="C35" i="16"/>
  <c r="M19" i="16"/>
  <c r="R17" i="16"/>
  <c r="O18" i="16"/>
  <c r="R18" i="16" s="1"/>
  <c r="N19" i="16"/>
  <c r="Q19" i="16"/>
  <c r="P19" i="19" l="1"/>
  <c r="R19" i="19" s="1"/>
  <c r="R17" i="19"/>
  <c r="Q18" i="19"/>
  <c r="O18" i="19"/>
  <c r="R18" i="19" s="1"/>
  <c r="R19" i="18"/>
  <c r="P17" i="17"/>
  <c r="P19" i="17"/>
  <c r="P18" i="17"/>
  <c r="R19" i="16"/>
  <c r="Y78" i="13" l="1"/>
  <c r="Y77" i="13"/>
  <c r="Y76" i="13"/>
  <c r="AA75" i="13"/>
  <c r="AI68" i="13" s="1"/>
  <c r="Z75" i="13"/>
  <c r="AH68" i="13" s="1"/>
  <c r="AL68" i="13" s="1"/>
  <c r="AB74" i="13"/>
  <c r="AJ67" i="13" s="1"/>
  <c r="AA74" i="13"/>
  <c r="AD74" i="13" s="1"/>
  <c r="Z74" i="13"/>
  <c r="AB73" i="13"/>
  <c r="AA73" i="13"/>
  <c r="AD73" i="13" s="1"/>
  <c r="AA72" i="13"/>
  <c r="AI65" i="13" s="1"/>
  <c r="Z72" i="13"/>
  <c r="AH65" i="13" s="1"/>
  <c r="AL65" i="13" s="1"/>
  <c r="AD71" i="13"/>
  <c r="AB71" i="13"/>
  <c r="AA71" i="13"/>
  <c r="Z71" i="13"/>
  <c r="AC70" i="13"/>
  <c r="AK63" i="13" s="1"/>
  <c r="AB70" i="13"/>
  <c r="AJ63" i="13" s="1"/>
  <c r="AA70" i="13"/>
  <c r="AI63" i="13" s="1"/>
  <c r="AD69" i="13"/>
  <c r="AB69" i="13"/>
  <c r="AA69" i="13"/>
  <c r="Z69" i="13"/>
  <c r="AB68" i="13"/>
  <c r="AA68" i="13"/>
  <c r="AD68" i="13" s="1"/>
  <c r="AB67" i="13"/>
  <c r="AD67" i="13" s="1"/>
  <c r="AA67" i="13"/>
  <c r="Z67" i="13"/>
  <c r="AC66" i="13"/>
  <c r="AA66" i="13"/>
  <c r="AD66" i="13" s="1"/>
  <c r="AC65" i="13"/>
  <c r="AK58" i="13" s="1"/>
  <c r="AA65" i="13"/>
  <c r="AA76" i="13" s="1"/>
  <c r="Z65" i="13"/>
  <c r="AB64" i="13"/>
  <c r="AA64" i="13"/>
  <c r="AI57" i="13" s="1"/>
  <c r="Z64" i="13"/>
  <c r="Z76" i="13" s="1"/>
  <c r="AK68" i="13"/>
  <c r="AJ68" i="13"/>
  <c r="AG68" i="13"/>
  <c r="AK67" i="13"/>
  <c r="AH67" i="13"/>
  <c r="AG67" i="13"/>
  <c r="AK66" i="13"/>
  <c r="AJ66" i="13"/>
  <c r="AH66" i="13"/>
  <c r="AG66" i="13"/>
  <c r="AK65" i="13"/>
  <c r="AJ65" i="13"/>
  <c r="AG65" i="13"/>
  <c r="AK64" i="13"/>
  <c r="AJ64" i="13"/>
  <c r="AI64" i="13"/>
  <c r="AH64" i="13"/>
  <c r="AG64" i="13"/>
  <c r="AH63" i="13"/>
  <c r="AG63" i="13"/>
  <c r="AK62" i="13"/>
  <c r="AJ62" i="13"/>
  <c r="AI62" i="13"/>
  <c r="AH62" i="13"/>
  <c r="AG62" i="13"/>
  <c r="AK61" i="13"/>
  <c r="AJ61" i="13"/>
  <c r="AI61" i="13"/>
  <c r="AH61" i="13"/>
  <c r="AG61" i="13"/>
  <c r="AL61" i="13" s="1"/>
  <c r="AK60" i="13"/>
  <c r="AI60" i="13"/>
  <c r="AH60" i="13"/>
  <c r="AG60" i="13"/>
  <c r="AK59" i="13"/>
  <c r="AJ59" i="13"/>
  <c r="AI59" i="13"/>
  <c r="AH59" i="13"/>
  <c r="AG59" i="13"/>
  <c r="AJ58" i="13"/>
  <c r="AH58" i="13"/>
  <c r="AG58" i="13"/>
  <c r="AK57" i="13"/>
  <c r="AJ57" i="13"/>
  <c r="AH57" i="13"/>
  <c r="AG57" i="13"/>
  <c r="Y76" i="12"/>
  <c r="Y77" i="12" s="1"/>
  <c r="AA75" i="12"/>
  <c r="AI68" i="12" s="1"/>
  <c r="Z75" i="12"/>
  <c r="AD75" i="12" s="1"/>
  <c r="AB74" i="12"/>
  <c r="AA74" i="12"/>
  <c r="AI67" i="12" s="1"/>
  <c r="Z74" i="12"/>
  <c r="AD74" i="12" s="1"/>
  <c r="AD73" i="12"/>
  <c r="AB73" i="12"/>
  <c r="AA73" i="12"/>
  <c r="AI66" i="12" s="1"/>
  <c r="AD72" i="12"/>
  <c r="AA72" i="12"/>
  <c r="Z72" i="12"/>
  <c r="AD71" i="12"/>
  <c r="AB71" i="12"/>
  <c r="AA71" i="12"/>
  <c r="AI64" i="12" s="1"/>
  <c r="Z71" i="12"/>
  <c r="AD70" i="12"/>
  <c r="AC70" i="12"/>
  <c r="AB70" i="12"/>
  <c r="AA70" i="12"/>
  <c r="AI63" i="12" s="1"/>
  <c r="AD69" i="12"/>
  <c r="AB69" i="12"/>
  <c r="AA69" i="12"/>
  <c r="AI62" i="12" s="1"/>
  <c r="Z69" i="12"/>
  <c r="AD68" i="12"/>
  <c r="AB68" i="12"/>
  <c r="AJ61" i="12" s="1"/>
  <c r="AA68" i="12"/>
  <c r="AB67" i="12"/>
  <c r="AJ60" i="12" s="1"/>
  <c r="AA67" i="12"/>
  <c r="Z67" i="12"/>
  <c r="AH60" i="12" s="1"/>
  <c r="AL60" i="12" s="1"/>
  <c r="AC66" i="12"/>
  <c r="AK59" i="12" s="1"/>
  <c r="AA66" i="12"/>
  <c r="AD66" i="12" s="1"/>
  <c r="AC65" i="12"/>
  <c r="AC76" i="12" s="1"/>
  <c r="AA65" i="12"/>
  <c r="AA76" i="12" s="1"/>
  <c r="Z65" i="12"/>
  <c r="AD65" i="12" s="1"/>
  <c r="AD64" i="12"/>
  <c r="AB64" i="12"/>
  <c r="AA64" i="12"/>
  <c r="AI57" i="12" s="1"/>
  <c r="Z64" i="12"/>
  <c r="Z76" i="12" s="1"/>
  <c r="AK68" i="12"/>
  <c r="AJ68" i="12"/>
  <c r="AH68" i="12"/>
  <c r="AG68" i="12"/>
  <c r="AK67" i="12"/>
  <c r="AJ67" i="12"/>
  <c r="AG67" i="12"/>
  <c r="AK66" i="12"/>
  <c r="AJ66" i="12"/>
  <c r="AH66" i="12"/>
  <c r="AG66" i="12"/>
  <c r="AK65" i="12"/>
  <c r="AJ65" i="12"/>
  <c r="AI65" i="12"/>
  <c r="AH65" i="12"/>
  <c r="AL65" i="12" s="1"/>
  <c r="AG65" i="12"/>
  <c r="AK64" i="12"/>
  <c r="AJ64" i="12"/>
  <c r="AH64" i="12"/>
  <c r="AG64" i="12"/>
  <c r="AK63" i="12"/>
  <c r="AJ63" i="12"/>
  <c r="AH63" i="12"/>
  <c r="AG63" i="12"/>
  <c r="AK62" i="12"/>
  <c r="AJ62" i="12"/>
  <c r="AH62" i="12"/>
  <c r="AL62" i="12" s="1"/>
  <c r="AG62" i="12"/>
  <c r="AK61" i="12"/>
  <c r="AI61" i="12"/>
  <c r="AH61" i="12"/>
  <c r="AL61" i="12" s="1"/>
  <c r="AG61" i="12"/>
  <c r="AK60" i="12"/>
  <c r="AI60" i="12"/>
  <c r="AG60" i="12"/>
  <c r="AJ59" i="12"/>
  <c r="AI59" i="12"/>
  <c r="AH59" i="12"/>
  <c r="AG59" i="12"/>
  <c r="AK58" i="12"/>
  <c r="AJ58" i="12"/>
  <c r="AH58" i="12"/>
  <c r="AG58" i="12"/>
  <c r="AK57" i="12"/>
  <c r="AJ57" i="12"/>
  <c r="AG57" i="12"/>
  <c r="Y78" i="11"/>
  <c r="AC76" i="11"/>
  <c r="AC78" i="11" s="1"/>
  <c r="Y76" i="11"/>
  <c r="Y77" i="11" s="1"/>
  <c r="AA75" i="11"/>
  <c r="Z75" i="11"/>
  <c r="AH68" i="11" s="1"/>
  <c r="AL68" i="11" s="1"/>
  <c r="AD74" i="11"/>
  <c r="AB74" i="11"/>
  <c r="AA74" i="11"/>
  <c r="Z74" i="11"/>
  <c r="AD73" i="11"/>
  <c r="AB73" i="11"/>
  <c r="AA73" i="11"/>
  <c r="AA72" i="11"/>
  <c r="AI65" i="11" s="1"/>
  <c r="Z72" i="11"/>
  <c r="AH65" i="11" s="1"/>
  <c r="AL65" i="11" s="1"/>
  <c r="AB71" i="11"/>
  <c r="AA71" i="11"/>
  <c r="AD71" i="11" s="1"/>
  <c r="Z71" i="11"/>
  <c r="AC70" i="11"/>
  <c r="AK63" i="11" s="1"/>
  <c r="AB70" i="11"/>
  <c r="AJ63" i="11" s="1"/>
  <c r="AA70" i="11"/>
  <c r="AD70" i="11" s="1"/>
  <c r="AB69" i="11"/>
  <c r="AA69" i="11"/>
  <c r="AD69" i="11" s="1"/>
  <c r="Z69" i="11"/>
  <c r="AB68" i="11"/>
  <c r="AJ61" i="11" s="1"/>
  <c r="AA68" i="11"/>
  <c r="AD68" i="11" s="1"/>
  <c r="AB67" i="11"/>
  <c r="AJ60" i="11" s="1"/>
  <c r="AA67" i="11"/>
  <c r="Z67" i="11"/>
  <c r="AD67" i="11" s="1"/>
  <c r="AC66" i="11"/>
  <c r="AA66" i="11"/>
  <c r="AI59" i="11" s="1"/>
  <c r="AD65" i="11"/>
  <c r="AC65" i="11"/>
  <c r="AA65" i="11"/>
  <c r="AA76" i="11" s="1"/>
  <c r="Z65" i="11"/>
  <c r="AB64" i="11"/>
  <c r="AA64" i="11"/>
  <c r="Z64" i="11"/>
  <c r="Z76" i="11" s="1"/>
  <c r="AK68" i="11"/>
  <c r="AJ68" i="11"/>
  <c r="AI68" i="11"/>
  <c r="AG68" i="11"/>
  <c r="AK67" i="11"/>
  <c r="AJ67" i="11"/>
  <c r="AI67" i="11"/>
  <c r="AH67" i="11"/>
  <c r="AG67" i="11"/>
  <c r="AK66" i="11"/>
  <c r="AJ66" i="11"/>
  <c r="AI66" i="11"/>
  <c r="AH66" i="11"/>
  <c r="AG66" i="11"/>
  <c r="AL66" i="11" s="1"/>
  <c r="AK65" i="11"/>
  <c r="AJ65" i="11"/>
  <c r="AG65" i="11"/>
  <c r="AK64" i="11"/>
  <c r="AJ64" i="11"/>
  <c r="AI64" i="11"/>
  <c r="AH64" i="11"/>
  <c r="AG64" i="11"/>
  <c r="AH63" i="11"/>
  <c r="AG63" i="11"/>
  <c r="AK62" i="11"/>
  <c r="AJ62" i="11"/>
  <c r="AI62" i="11"/>
  <c r="AL62" i="11" s="1"/>
  <c r="AH62" i="11"/>
  <c r="AG62" i="11"/>
  <c r="AK61" i="11"/>
  <c r="AH61" i="11"/>
  <c r="AG61" i="11"/>
  <c r="AK60" i="11"/>
  <c r="AI60" i="11"/>
  <c r="AH60" i="11"/>
  <c r="AG60" i="11"/>
  <c r="AK59" i="11"/>
  <c r="AJ59" i="11"/>
  <c r="AH59" i="11"/>
  <c r="AG59" i="11"/>
  <c r="AK58" i="11"/>
  <c r="AL58" i="11" s="1"/>
  <c r="AJ58" i="11"/>
  <c r="AI58" i="11"/>
  <c r="AH58" i="11"/>
  <c r="AG58" i="11"/>
  <c r="AK57" i="11"/>
  <c r="AJ57" i="11"/>
  <c r="AI57" i="11"/>
  <c r="AG57" i="11"/>
  <c r="Y76" i="10"/>
  <c r="Y77" i="10" s="1"/>
  <c r="AA75" i="10"/>
  <c r="AI68" i="10" s="1"/>
  <c r="Z75" i="10"/>
  <c r="AB74" i="10"/>
  <c r="AA74" i="10"/>
  <c r="AI67" i="10" s="1"/>
  <c r="Z74" i="10"/>
  <c r="AD74" i="10" s="1"/>
  <c r="AD73" i="10"/>
  <c r="AB73" i="10"/>
  <c r="AA73" i="10"/>
  <c r="AA72" i="10"/>
  <c r="Z72" i="10"/>
  <c r="AD72" i="10" s="1"/>
  <c r="AD71" i="10"/>
  <c r="AB71" i="10"/>
  <c r="AJ64" i="10" s="1"/>
  <c r="AA71" i="10"/>
  <c r="AI64" i="10" s="1"/>
  <c r="Z71" i="10"/>
  <c r="AD70" i="10"/>
  <c r="AC70" i="10"/>
  <c r="AB70" i="10"/>
  <c r="AA70" i="10"/>
  <c r="AD69" i="10"/>
  <c r="AB69" i="10"/>
  <c r="AA69" i="10"/>
  <c r="Z69" i="10"/>
  <c r="AD68" i="10"/>
  <c r="AB68" i="10"/>
  <c r="AA68" i="10"/>
  <c r="AB67" i="10"/>
  <c r="AJ60" i="10" s="1"/>
  <c r="AA67" i="10"/>
  <c r="AI60" i="10" s="1"/>
  <c r="Z67" i="10"/>
  <c r="AH60" i="10" s="1"/>
  <c r="AC66" i="10"/>
  <c r="AD66" i="10" s="1"/>
  <c r="AA66" i="10"/>
  <c r="AC65" i="10"/>
  <c r="AC76" i="10" s="1"/>
  <c r="AA65" i="10"/>
  <c r="AA76" i="10" s="1"/>
  <c r="Z65" i="10"/>
  <c r="Z76" i="10" s="1"/>
  <c r="AD64" i="10"/>
  <c r="AB64" i="10"/>
  <c r="AJ57" i="10" s="1"/>
  <c r="AJ69" i="10" s="1"/>
  <c r="AA64" i="10"/>
  <c r="AI57" i="10" s="1"/>
  <c r="Z64" i="10"/>
  <c r="AK68" i="10"/>
  <c r="AJ68" i="10"/>
  <c r="AH68" i="10"/>
  <c r="AG68" i="10"/>
  <c r="AK67" i="10"/>
  <c r="AJ67" i="10"/>
  <c r="AG67" i="10"/>
  <c r="AK66" i="10"/>
  <c r="AJ66" i="10"/>
  <c r="AI66" i="10"/>
  <c r="AL66" i="10" s="1"/>
  <c r="AH66" i="10"/>
  <c r="AG66" i="10"/>
  <c r="AK65" i="10"/>
  <c r="AJ65" i="10"/>
  <c r="AI65" i="10"/>
  <c r="AH65" i="10"/>
  <c r="AG65" i="10"/>
  <c r="AL65" i="10" s="1"/>
  <c r="AK64" i="10"/>
  <c r="AH64" i="10"/>
  <c r="AG64" i="10"/>
  <c r="AK63" i="10"/>
  <c r="AJ63" i="10"/>
  <c r="AI63" i="10"/>
  <c r="AH63" i="10"/>
  <c r="AG63" i="10"/>
  <c r="AK62" i="10"/>
  <c r="AJ62" i="10"/>
  <c r="AI62" i="10"/>
  <c r="AH62" i="10"/>
  <c r="AG62" i="10"/>
  <c r="AL62" i="10" s="1"/>
  <c r="AK61" i="10"/>
  <c r="AJ61" i="10"/>
  <c r="AI61" i="10"/>
  <c r="AH61" i="10"/>
  <c r="AG61" i="10"/>
  <c r="AL61" i="10" s="1"/>
  <c r="AK60" i="10"/>
  <c r="AG60" i="10"/>
  <c r="AK59" i="10"/>
  <c r="AJ59" i="10"/>
  <c r="AI59" i="10"/>
  <c r="AH59" i="10"/>
  <c r="AG59" i="10"/>
  <c r="AK58" i="10"/>
  <c r="AJ58" i="10"/>
  <c r="AI58" i="10"/>
  <c r="AH58" i="10"/>
  <c r="AG58" i="10"/>
  <c r="AL58" i="10" s="1"/>
  <c r="AK57" i="10"/>
  <c r="AH57" i="10"/>
  <c r="AG57" i="10"/>
  <c r="AG69" i="10" s="1"/>
  <c r="Y66" i="9"/>
  <c r="Y65" i="9"/>
  <c r="Y67" i="9" s="1"/>
  <c r="AA64" i="9"/>
  <c r="AI57" i="9" s="1"/>
  <c r="Z64" i="9"/>
  <c r="AD64" i="9" s="1"/>
  <c r="AB63" i="9"/>
  <c r="AA63" i="9"/>
  <c r="AI56" i="9" s="1"/>
  <c r="Z63" i="9"/>
  <c r="AD63" i="9" s="1"/>
  <c r="AD62" i="9"/>
  <c r="AB62" i="9"/>
  <c r="AA62" i="9"/>
  <c r="AI55" i="9" s="1"/>
  <c r="AD61" i="9"/>
  <c r="AA61" i="9"/>
  <c r="Z61" i="9"/>
  <c r="AD60" i="9"/>
  <c r="AB60" i="9"/>
  <c r="AA60" i="9"/>
  <c r="AI53" i="9" s="1"/>
  <c r="Z60" i="9"/>
  <c r="AD59" i="9"/>
  <c r="AC59" i="9"/>
  <c r="AB59" i="9"/>
  <c r="AA59" i="9"/>
  <c r="AD58" i="9"/>
  <c r="AB58" i="9"/>
  <c r="AJ51" i="9" s="1"/>
  <c r="AA58" i="9"/>
  <c r="AI51" i="9" s="1"/>
  <c r="Z58" i="9"/>
  <c r="AD57" i="9"/>
  <c r="AB57" i="9"/>
  <c r="AJ50" i="9" s="1"/>
  <c r="AA57" i="9"/>
  <c r="AB56" i="9"/>
  <c r="AB65" i="9" s="1"/>
  <c r="AA56" i="9"/>
  <c r="Z56" i="9"/>
  <c r="AD56" i="9" s="1"/>
  <c r="AC55" i="9"/>
  <c r="AA55" i="9"/>
  <c r="AD55" i="9" s="1"/>
  <c r="AC54" i="9"/>
  <c r="AC65" i="9" s="1"/>
  <c r="AA54" i="9"/>
  <c r="AI47" i="9" s="1"/>
  <c r="Z54" i="9"/>
  <c r="AD54" i="9" s="1"/>
  <c r="AD53" i="9"/>
  <c r="AB53" i="9"/>
  <c r="AA53" i="9"/>
  <c r="AA65" i="9" s="1"/>
  <c r="Z53" i="9"/>
  <c r="Z65" i="9" s="1"/>
  <c r="AK57" i="9"/>
  <c r="AJ57" i="9"/>
  <c r="AH57" i="9"/>
  <c r="AG57" i="9"/>
  <c r="AK56" i="9"/>
  <c r="AJ56" i="9"/>
  <c r="AG56" i="9"/>
  <c r="AK55" i="9"/>
  <c r="AJ55" i="9"/>
  <c r="AH55" i="9"/>
  <c r="AG55" i="9"/>
  <c r="AK54" i="9"/>
  <c r="AJ54" i="9"/>
  <c r="AI54" i="9"/>
  <c r="AL54" i="9" s="1"/>
  <c r="AH54" i="9"/>
  <c r="AG54" i="9"/>
  <c r="AK53" i="9"/>
  <c r="AJ53" i="9"/>
  <c r="AH53" i="9"/>
  <c r="AG53" i="9"/>
  <c r="AK52" i="9"/>
  <c r="AJ52" i="9"/>
  <c r="AI52" i="9"/>
  <c r="AH52" i="9"/>
  <c r="AG52" i="9"/>
  <c r="AK51" i="9"/>
  <c r="AH51" i="9"/>
  <c r="AG51" i="9"/>
  <c r="AK50" i="9"/>
  <c r="AI50" i="9"/>
  <c r="AH50" i="9"/>
  <c r="AG50" i="9"/>
  <c r="AK49" i="9"/>
  <c r="AJ49" i="9"/>
  <c r="AI49" i="9"/>
  <c r="AH49" i="9"/>
  <c r="AG49" i="9"/>
  <c r="AK48" i="9"/>
  <c r="AJ48" i="9"/>
  <c r="AH48" i="9"/>
  <c r="AG48" i="9"/>
  <c r="AK47" i="9"/>
  <c r="AJ47" i="9"/>
  <c r="AH47" i="9"/>
  <c r="AG47" i="9"/>
  <c r="AK46" i="9"/>
  <c r="AJ46" i="9"/>
  <c r="AI46" i="9"/>
  <c r="AH46" i="9"/>
  <c r="AG46" i="9"/>
  <c r="AG58" i="9" s="1"/>
  <c r="Z53" i="8"/>
  <c r="Z52" i="8"/>
  <c r="Z51" i="8"/>
  <c r="AB50" i="8"/>
  <c r="AJ43" i="8" s="1"/>
  <c r="AA50" i="8"/>
  <c r="AE50" i="8" s="1"/>
  <c r="AC49" i="8"/>
  <c r="AK42" i="8" s="1"/>
  <c r="AB49" i="8"/>
  <c r="AE49" i="8" s="1"/>
  <c r="AA49" i="8"/>
  <c r="AC48" i="8"/>
  <c r="AB48" i="8"/>
  <c r="AE48" i="8" s="1"/>
  <c r="AB47" i="8"/>
  <c r="AJ40" i="8" s="1"/>
  <c r="AA47" i="8"/>
  <c r="AI40" i="8" s="1"/>
  <c r="AM40" i="8" s="1"/>
  <c r="AE46" i="8"/>
  <c r="AC46" i="8"/>
  <c r="AB46" i="8"/>
  <c r="AA46" i="8"/>
  <c r="AD45" i="8"/>
  <c r="AL38" i="8" s="1"/>
  <c r="AC45" i="8"/>
  <c r="AK38" i="8" s="1"/>
  <c r="AB45" i="8"/>
  <c r="AE45" i="8" s="1"/>
  <c r="AE44" i="8"/>
  <c r="AC44" i="8"/>
  <c r="AB44" i="8"/>
  <c r="AA44" i="8"/>
  <c r="AC43" i="8"/>
  <c r="AB43" i="8"/>
  <c r="AE43" i="8" s="1"/>
  <c r="AC42" i="8"/>
  <c r="AE42" i="8" s="1"/>
  <c r="AB42" i="8"/>
  <c r="AA42" i="8"/>
  <c r="AD41" i="8"/>
  <c r="AB41" i="8"/>
  <c r="AJ34" i="8" s="1"/>
  <c r="AD40" i="8"/>
  <c r="AL33" i="8" s="1"/>
  <c r="AB40" i="8"/>
  <c r="AB51" i="8" s="1"/>
  <c r="AA40" i="8"/>
  <c r="AC39" i="8"/>
  <c r="AB39" i="8"/>
  <c r="AA39" i="8"/>
  <c r="AA51" i="8" s="1"/>
  <c r="AL43" i="8"/>
  <c r="AK43" i="8"/>
  <c r="AH43" i="8"/>
  <c r="AL42" i="8"/>
  <c r="AI42" i="8"/>
  <c r="AH42" i="8"/>
  <c r="AL41" i="8"/>
  <c r="AK41" i="8"/>
  <c r="AJ41" i="8"/>
  <c r="AI41" i="8"/>
  <c r="AH41" i="8"/>
  <c r="AM41" i="8" s="1"/>
  <c r="AL40" i="8"/>
  <c r="AK40" i="8"/>
  <c r="AH40" i="8"/>
  <c r="AL39" i="8"/>
  <c r="AK39" i="8"/>
  <c r="AJ39" i="8"/>
  <c r="AI39" i="8"/>
  <c r="AH39" i="8"/>
  <c r="AI38" i="8"/>
  <c r="AH38" i="8"/>
  <c r="AL37" i="8"/>
  <c r="AK37" i="8"/>
  <c r="AJ37" i="8"/>
  <c r="AI37" i="8"/>
  <c r="AH37" i="8"/>
  <c r="AL36" i="8"/>
  <c r="AK36" i="8"/>
  <c r="AJ36" i="8"/>
  <c r="AI36" i="8"/>
  <c r="AM36" i="8" s="1"/>
  <c r="AH36" i="8"/>
  <c r="AL35" i="8"/>
  <c r="AJ35" i="8"/>
  <c r="AI35" i="8"/>
  <c r="AH35" i="8"/>
  <c r="AL34" i="8"/>
  <c r="AK34" i="8"/>
  <c r="AI34" i="8"/>
  <c r="AH34" i="8"/>
  <c r="AK33" i="8"/>
  <c r="AI33" i="8"/>
  <c r="AH33" i="8"/>
  <c r="AL32" i="8"/>
  <c r="AK32" i="8"/>
  <c r="AJ32" i="8"/>
  <c r="AI32" i="8"/>
  <c r="AH32" i="8"/>
  <c r="Y76" i="6"/>
  <c r="Y77" i="6" s="1"/>
  <c r="AA75" i="6"/>
  <c r="AI68" i="6" s="1"/>
  <c r="Z75" i="6"/>
  <c r="AD75" i="6" s="1"/>
  <c r="AB74" i="6"/>
  <c r="AA74" i="6"/>
  <c r="AI67" i="6" s="1"/>
  <c r="Z74" i="6"/>
  <c r="AD74" i="6" s="1"/>
  <c r="AB73" i="6"/>
  <c r="AA73" i="6"/>
  <c r="AD73" i="6" s="1"/>
  <c r="AD72" i="6"/>
  <c r="AA72" i="6"/>
  <c r="Z72" i="6"/>
  <c r="AH65" i="6" s="1"/>
  <c r="AD71" i="6"/>
  <c r="AB71" i="6"/>
  <c r="AJ64" i="6" s="1"/>
  <c r="AA71" i="6"/>
  <c r="AI64" i="6" s="1"/>
  <c r="Z71" i="6"/>
  <c r="AD70" i="6"/>
  <c r="AC70" i="6"/>
  <c r="AB70" i="6"/>
  <c r="AA70" i="6"/>
  <c r="AB69" i="6"/>
  <c r="AA69" i="6"/>
  <c r="AD69" i="6" s="1"/>
  <c r="Z69" i="6"/>
  <c r="AD68" i="6"/>
  <c r="AB68" i="6"/>
  <c r="AJ61" i="6" s="1"/>
  <c r="AA68" i="6"/>
  <c r="AB67" i="6"/>
  <c r="AB76" i="6" s="1"/>
  <c r="AA67" i="6"/>
  <c r="Z67" i="6"/>
  <c r="AH60" i="6" s="1"/>
  <c r="AL60" i="6" s="1"/>
  <c r="AC66" i="6"/>
  <c r="AA66" i="6"/>
  <c r="AD66" i="6" s="1"/>
  <c r="AC65" i="6"/>
  <c r="AC76" i="6" s="1"/>
  <c r="AA65" i="6"/>
  <c r="Z65" i="6"/>
  <c r="AD65" i="6" s="1"/>
  <c r="AB64" i="6"/>
  <c r="AA64" i="6"/>
  <c r="AD64" i="6" s="1"/>
  <c r="Z64" i="6"/>
  <c r="Z76" i="6" s="1"/>
  <c r="AK68" i="6"/>
  <c r="AJ68" i="6"/>
  <c r="AH68" i="6"/>
  <c r="AG68" i="6"/>
  <c r="AK67" i="6"/>
  <c r="AJ67" i="6"/>
  <c r="AG67" i="6"/>
  <c r="AK66" i="6"/>
  <c r="AJ66" i="6"/>
  <c r="AI66" i="6"/>
  <c r="AH66" i="6"/>
  <c r="AL66" i="6" s="1"/>
  <c r="AG66" i="6"/>
  <c r="AK65" i="6"/>
  <c r="AJ65" i="6"/>
  <c r="AI65" i="6"/>
  <c r="AG65" i="6"/>
  <c r="AL65" i="6" s="1"/>
  <c r="AK64" i="6"/>
  <c r="AH64" i="6"/>
  <c r="AG64" i="6"/>
  <c r="AK63" i="6"/>
  <c r="AJ63" i="6"/>
  <c r="AI63" i="6"/>
  <c r="AH63" i="6"/>
  <c r="AG63" i="6"/>
  <c r="AK62" i="6"/>
  <c r="AJ62" i="6"/>
  <c r="AI62" i="6"/>
  <c r="AH62" i="6"/>
  <c r="AG62" i="6"/>
  <c r="AL62" i="6" s="1"/>
  <c r="AK61" i="6"/>
  <c r="AI61" i="6"/>
  <c r="AH61" i="6"/>
  <c r="AG61" i="6"/>
  <c r="AK60" i="6"/>
  <c r="AJ60" i="6"/>
  <c r="AI60" i="6"/>
  <c r="AG60" i="6"/>
  <c r="AK59" i="6"/>
  <c r="AJ59" i="6"/>
  <c r="AI59" i="6"/>
  <c r="AH59" i="6"/>
  <c r="AG59" i="6"/>
  <c r="AK58" i="6"/>
  <c r="AJ58" i="6"/>
  <c r="AI58" i="6"/>
  <c r="AH58" i="6"/>
  <c r="AG58" i="6"/>
  <c r="AL58" i="6" s="1"/>
  <c r="AK57" i="6"/>
  <c r="AJ57" i="6"/>
  <c r="AG57" i="6"/>
  <c r="AG69" i="6" s="1"/>
  <c r="AG36" i="5"/>
  <c r="AH35" i="5"/>
  <c r="AF35" i="5"/>
  <c r="AI56" i="5"/>
  <c r="AI54" i="5"/>
  <c r="AI55" i="5" s="1"/>
  <c r="AE54" i="5"/>
  <c r="AE55" i="5" s="1"/>
  <c r="AJ53" i="5"/>
  <c r="AG53" i="5"/>
  <c r="AF53" i="5"/>
  <c r="AH52" i="5"/>
  <c r="AG52" i="5"/>
  <c r="AF52" i="5"/>
  <c r="AJ52" i="5" s="1"/>
  <c r="AJ51" i="5"/>
  <c r="AH51" i="5"/>
  <c r="AG51" i="5"/>
  <c r="AG50" i="5"/>
  <c r="AF50" i="5"/>
  <c r="AJ50" i="5" s="1"/>
  <c r="AH49" i="5"/>
  <c r="AG49" i="5"/>
  <c r="AO42" i="5" s="1"/>
  <c r="AF49" i="5"/>
  <c r="AJ49" i="5" s="1"/>
  <c r="AI48" i="5"/>
  <c r="AH48" i="5"/>
  <c r="AG48" i="5"/>
  <c r="AJ48" i="5" s="1"/>
  <c r="AH47" i="5"/>
  <c r="AG47" i="5"/>
  <c r="AF47" i="5"/>
  <c r="AJ47" i="5" s="1"/>
  <c r="AH46" i="5"/>
  <c r="AG46" i="5"/>
  <c r="AJ46" i="5" s="1"/>
  <c r="AH45" i="5"/>
  <c r="AP38" i="5" s="1"/>
  <c r="AG45" i="5"/>
  <c r="AO38" i="5" s="1"/>
  <c r="AF45" i="5"/>
  <c r="AN38" i="5" s="1"/>
  <c r="AJ44" i="5"/>
  <c r="AI44" i="5"/>
  <c r="AG44" i="5"/>
  <c r="AI43" i="5"/>
  <c r="AG43" i="5"/>
  <c r="AO36" i="5" s="1"/>
  <c r="AF43" i="5"/>
  <c r="AF54" i="5" s="1"/>
  <c r="AH42" i="5"/>
  <c r="AP35" i="5" s="1"/>
  <c r="AG42" i="5"/>
  <c r="AF42" i="5"/>
  <c r="AQ46" i="5"/>
  <c r="AP46" i="5"/>
  <c r="AO46" i="5"/>
  <c r="AN46" i="5"/>
  <c r="AM46" i="5"/>
  <c r="AR46" i="5" s="1"/>
  <c r="AQ45" i="5"/>
  <c r="AP45" i="5"/>
  <c r="AO45" i="5"/>
  <c r="AM45" i="5"/>
  <c r="AQ44" i="5"/>
  <c r="AP44" i="5"/>
  <c r="AR44" i="5" s="1"/>
  <c r="AO44" i="5"/>
  <c r="AN44" i="5"/>
  <c r="AM44" i="5"/>
  <c r="AQ43" i="5"/>
  <c r="AP43" i="5"/>
  <c r="AO43" i="5"/>
  <c r="AN43" i="5"/>
  <c r="AR43" i="5" s="1"/>
  <c r="AM43" i="5"/>
  <c r="AQ42" i="5"/>
  <c r="AP42" i="5"/>
  <c r="AM42" i="5"/>
  <c r="AQ41" i="5"/>
  <c r="AP41" i="5"/>
  <c r="AN41" i="5"/>
  <c r="AM41" i="5"/>
  <c r="AQ40" i="5"/>
  <c r="AP40" i="5"/>
  <c r="AO40" i="5"/>
  <c r="AN40" i="5"/>
  <c r="AR40" i="5" s="1"/>
  <c r="AM40" i="5"/>
  <c r="AQ39" i="5"/>
  <c r="AP39" i="5"/>
  <c r="AO39" i="5"/>
  <c r="AN39" i="5"/>
  <c r="AM39" i="5"/>
  <c r="AR39" i="5" s="1"/>
  <c r="AQ38" i="5"/>
  <c r="AM38" i="5"/>
  <c r="AQ37" i="5"/>
  <c r="AP37" i="5"/>
  <c r="AO37" i="5"/>
  <c r="AN37" i="5"/>
  <c r="AM37" i="5"/>
  <c r="AQ36" i="5"/>
  <c r="AP36" i="5"/>
  <c r="AN36" i="5"/>
  <c r="AM36" i="5"/>
  <c r="AQ35" i="5"/>
  <c r="AQ47" i="5" s="1"/>
  <c r="AO35" i="5"/>
  <c r="AN35" i="5"/>
  <c r="AM35" i="5"/>
  <c r="AH95" i="15"/>
  <c r="AH94" i="15"/>
  <c r="AH93" i="15"/>
  <c r="AE77" i="15"/>
  <c r="AE76" i="15"/>
  <c r="AD77" i="15"/>
  <c r="AD76" i="15"/>
  <c r="AC77" i="15"/>
  <c r="AC76" i="15"/>
  <c r="AB77" i="15"/>
  <c r="AB76" i="15"/>
  <c r="AA77" i="15"/>
  <c r="AA76" i="15"/>
  <c r="AA97" i="15"/>
  <c r="AE96" i="15"/>
  <c r="AA96" i="15"/>
  <c r="AE95" i="15"/>
  <c r="AE97" i="15" s="1"/>
  <c r="AA95" i="15"/>
  <c r="AC94" i="15"/>
  <c r="AK87" i="15" s="1"/>
  <c r="AN87" i="15" s="1"/>
  <c r="AB94" i="15"/>
  <c r="AF94" i="15" s="1"/>
  <c r="AD93" i="15"/>
  <c r="AL86" i="15" s="1"/>
  <c r="AC93" i="15"/>
  <c r="AF93" i="15" s="1"/>
  <c r="AB93" i="15"/>
  <c r="AD92" i="15"/>
  <c r="AC92" i="15"/>
  <c r="AF92" i="15" s="1"/>
  <c r="AC91" i="15"/>
  <c r="AB91" i="15"/>
  <c r="AJ84" i="15" s="1"/>
  <c r="AF90" i="15"/>
  <c r="AD90" i="15"/>
  <c r="AC90" i="15"/>
  <c r="AB90" i="15"/>
  <c r="AE89" i="15"/>
  <c r="AM82" i="15" s="1"/>
  <c r="AD89" i="15"/>
  <c r="AL82" i="15" s="1"/>
  <c r="AC89" i="15"/>
  <c r="AK82" i="15" s="1"/>
  <c r="AN82" i="15" s="1"/>
  <c r="AF88" i="15"/>
  <c r="AD88" i="15"/>
  <c r="AC88" i="15"/>
  <c r="AB88" i="15"/>
  <c r="AD87" i="15"/>
  <c r="AC87" i="15"/>
  <c r="AF87" i="15" s="1"/>
  <c r="AD86" i="15"/>
  <c r="AL79" i="15" s="1"/>
  <c r="AN79" i="15" s="1"/>
  <c r="AC86" i="15"/>
  <c r="AB86" i="15"/>
  <c r="AE85" i="15"/>
  <c r="AC85" i="15"/>
  <c r="AF85" i="15" s="1"/>
  <c r="AE84" i="15"/>
  <c r="AM77" i="15" s="1"/>
  <c r="AC84" i="15"/>
  <c r="AF84" i="15" s="1"/>
  <c r="AB84" i="15"/>
  <c r="AD83" i="15"/>
  <c r="AL76" i="15" s="1"/>
  <c r="AC83" i="15"/>
  <c r="AB83" i="15"/>
  <c r="AB95" i="15" s="1"/>
  <c r="AM87" i="15"/>
  <c r="AL87" i="15"/>
  <c r="AJ87" i="15"/>
  <c r="AI87" i="15"/>
  <c r="AM86" i="15"/>
  <c r="AJ86" i="15"/>
  <c r="AI86" i="15"/>
  <c r="AM85" i="15"/>
  <c r="AL85" i="15"/>
  <c r="AK85" i="15"/>
  <c r="AJ85" i="15"/>
  <c r="AI85" i="15"/>
  <c r="AM84" i="15"/>
  <c r="AL84" i="15"/>
  <c r="AK84" i="15"/>
  <c r="AI84" i="15"/>
  <c r="AM83" i="15"/>
  <c r="AL83" i="15"/>
  <c r="AK83" i="15"/>
  <c r="AJ83" i="15"/>
  <c r="AI83" i="15"/>
  <c r="AN83" i="15" s="1"/>
  <c r="AJ82" i="15"/>
  <c r="AI82" i="15"/>
  <c r="AM81" i="15"/>
  <c r="AL81" i="15"/>
  <c r="AK81" i="15"/>
  <c r="AJ81" i="15"/>
  <c r="AI81" i="15"/>
  <c r="AM80" i="15"/>
  <c r="AL80" i="15"/>
  <c r="AJ80" i="15"/>
  <c r="AI80" i="15"/>
  <c r="AM79" i="15"/>
  <c r="AK79" i="15"/>
  <c r="AJ79" i="15"/>
  <c r="AI79" i="15"/>
  <c r="AM78" i="15"/>
  <c r="AL78" i="15"/>
  <c r="AK78" i="15"/>
  <c r="AN78" i="15" s="1"/>
  <c r="AJ78" i="15"/>
  <c r="AI78" i="15"/>
  <c r="AL77" i="15"/>
  <c r="AJ77" i="15"/>
  <c r="AI77" i="15"/>
  <c r="AM76" i="15"/>
  <c r="AK76" i="15"/>
  <c r="AJ76" i="15"/>
  <c r="AI76" i="15"/>
  <c r="AG76" i="14"/>
  <c r="AG77" i="14"/>
  <c r="AG75" i="14"/>
  <c r="AD59" i="14"/>
  <c r="AD58" i="14"/>
  <c r="AC59" i="14"/>
  <c r="AC58" i="14"/>
  <c r="AB59" i="14"/>
  <c r="AB58" i="14"/>
  <c r="AA59" i="14"/>
  <c r="AA58" i="14"/>
  <c r="Z59" i="14"/>
  <c r="Z58" i="14"/>
  <c r="AI58" i="14"/>
  <c r="AJ58" i="14"/>
  <c r="AK58" i="14"/>
  <c r="AL58" i="14"/>
  <c r="AI59" i="14"/>
  <c r="AJ59" i="14"/>
  <c r="AK59" i="14"/>
  <c r="AL59" i="14"/>
  <c r="AI60" i="14"/>
  <c r="AJ60" i="14"/>
  <c r="AK60" i="14"/>
  <c r="AL60" i="14"/>
  <c r="AI61" i="14"/>
  <c r="AJ61" i="14"/>
  <c r="AK61" i="14"/>
  <c r="AL61" i="14"/>
  <c r="AI62" i="14"/>
  <c r="AJ62" i="14"/>
  <c r="AK62" i="14"/>
  <c r="AL62" i="14"/>
  <c r="AI63" i="14"/>
  <c r="AJ63" i="14"/>
  <c r="AK63" i="14"/>
  <c r="AL63" i="14"/>
  <c r="AI64" i="14"/>
  <c r="AJ64" i="14"/>
  <c r="AK64" i="14"/>
  <c r="AL64" i="14"/>
  <c r="AI65" i="14"/>
  <c r="AJ65" i="14"/>
  <c r="AK65" i="14"/>
  <c r="AL65" i="14"/>
  <c r="AI66" i="14"/>
  <c r="AJ66" i="14"/>
  <c r="AK66" i="14"/>
  <c r="AL66" i="14"/>
  <c r="AI67" i="14"/>
  <c r="AJ67" i="14"/>
  <c r="AK67" i="14"/>
  <c r="AL67" i="14"/>
  <c r="AI68" i="14"/>
  <c r="AJ68" i="14"/>
  <c r="AK68" i="14"/>
  <c r="AL68" i="14"/>
  <c r="AI69" i="14"/>
  <c r="AJ69" i="14"/>
  <c r="AK69" i="14"/>
  <c r="AL69" i="14"/>
  <c r="AH59" i="14"/>
  <c r="AH60" i="14"/>
  <c r="AH61" i="14"/>
  <c r="AH62" i="14"/>
  <c r="AH63" i="14"/>
  <c r="AH64" i="14"/>
  <c r="AH65" i="14"/>
  <c r="AH66" i="14"/>
  <c r="AH67" i="14"/>
  <c r="AH68" i="14"/>
  <c r="AH69" i="14"/>
  <c r="AH58" i="14"/>
  <c r="AB76" i="14"/>
  <c r="AA76" i="14"/>
  <c r="AC75" i="14"/>
  <c r="AB75" i="14"/>
  <c r="AA75" i="14"/>
  <c r="AC74" i="14"/>
  <c r="AB74" i="14"/>
  <c r="AB73" i="14"/>
  <c r="AA73" i="14"/>
  <c r="AC72" i="14"/>
  <c r="AB72" i="14"/>
  <c r="AA72" i="14"/>
  <c r="AD71" i="14"/>
  <c r="AC71" i="14"/>
  <c r="AB71" i="14"/>
  <c r="AC70" i="14"/>
  <c r="AB70" i="14"/>
  <c r="AA70" i="14"/>
  <c r="AC69" i="14"/>
  <c r="AB69" i="14"/>
  <c r="AC68" i="14"/>
  <c r="AB68" i="14"/>
  <c r="AA68" i="14"/>
  <c r="AD67" i="14"/>
  <c r="AB67" i="14"/>
  <c r="AD66" i="14"/>
  <c r="AB66" i="14"/>
  <c r="AA66" i="14"/>
  <c r="AC65" i="14"/>
  <c r="AB65" i="14"/>
  <c r="AA65" i="14"/>
  <c r="Z29" i="4"/>
  <c r="Z28" i="4"/>
  <c r="Y29" i="4"/>
  <c r="Y28" i="4"/>
  <c r="X29" i="4"/>
  <c r="X28" i="4"/>
  <c r="W29" i="4"/>
  <c r="V29" i="4"/>
  <c r="V28" i="4"/>
  <c r="Z41" i="4"/>
  <c r="Z37" i="4"/>
  <c r="Z36" i="4"/>
  <c r="Y40" i="4"/>
  <c r="Y39" i="4"/>
  <c r="Y45" i="4"/>
  <c r="Y44" i="4"/>
  <c r="Y38" i="4"/>
  <c r="Y41" i="4"/>
  <c r="Y42" i="4"/>
  <c r="Y35" i="4"/>
  <c r="X45" i="4"/>
  <c r="X44" i="4"/>
  <c r="X43" i="4"/>
  <c r="X42" i="4"/>
  <c r="X41" i="4"/>
  <c r="X39" i="4"/>
  <c r="X46" i="4"/>
  <c r="X38" i="4"/>
  <c r="X37" i="4"/>
  <c r="X36" i="4"/>
  <c r="X40" i="4"/>
  <c r="X35" i="4"/>
  <c r="W46" i="4"/>
  <c r="W45" i="4"/>
  <c r="W42" i="4"/>
  <c r="W43" i="4"/>
  <c r="W40" i="4"/>
  <c r="W38" i="4"/>
  <c r="W36" i="4"/>
  <c r="W35" i="4"/>
  <c r="AA77" i="13" l="1"/>
  <c r="AA78" i="13"/>
  <c r="Z77" i="13"/>
  <c r="Z78" i="13"/>
  <c r="AL57" i="13"/>
  <c r="AL64" i="13"/>
  <c r="AI67" i="13"/>
  <c r="AD65" i="13"/>
  <c r="AC76" i="13"/>
  <c r="AB76" i="13"/>
  <c r="AG69" i="13"/>
  <c r="AG71" i="13" s="1"/>
  <c r="AI58" i="13"/>
  <c r="AL58" i="13" s="1"/>
  <c r="AL63" i="13"/>
  <c r="AD72" i="13"/>
  <c r="AH69" i="13"/>
  <c r="AD70" i="13"/>
  <c r="AL67" i="13"/>
  <c r="AI66" i="13"/>
  <c r="AL66" i="13" s="1"/>
  <c r="AD75" i="13"/>
  <c r="AL59" i="13"/>
  <c r="AJ60" i="13"/>
  <c r="AJ69" i="13" s="1"/>
  <c r="AD64" i="13"/>
  <c r="AK69" i="13"/>
  <c r="AL62" i="13"/>
  <c r="AH70" i="13"/>
  <c r="AH71" i="13"/>
  <c r="AK70" i="13"/>
  <c r="AK71" i="13"/>
  <c r="Z77" i="12"/>
  <c r="Z78" i="12"/>
  <c r="AD76" i="12"/>
  <c r="AF74" i="12" s="1"/>
  <c r="AA77" i="12"/>
  <c r="AA78" i="12"/>
  <c r="AC78" i="12"/>
  <c r="AC77" i="12"/>
  <c r="AG69" i="12"/>
  <c r="AI58" i="12"/>
  <c r="AI69" i="12" s="1"/>
  <c r="AL64" i="12"/>
  <c r="AH67" i="12"/>
  <c r="AD67" i="12"/>
  <c r="AB76" i="12"/>
  <c r="AL67" i="12"/>
  <c r="AH57" i="12"/>
  <c r="Y78" i="12"/>
  <c r="AL63" i="12"/>
  <c r="AJ69" i="12"/>
  <c r="AJ71" i="12" s="1"/>
  <c r="AL66" i="12"/>
  <c r="AK69" i="12"/>
  <c r="AK70" i="12" s="1"/>
  <c r="AL59" i="12"/>
  <c r="AL68" i="12"/>
  <c r="AJ70" i="12"/>
  <c r="AK71" i="12"/>
  <c r="AG71" i="12"/>
  <c r="AG70" i="12"/>
  <c r="Z77" i="11"/>
  <c r="Z78" i="11"/>
  <c r="AA77" i="11"/>
  <c r="AA78" i="11"/>
  <c r="AG69" i="11"/>
  <c r="AI61" i="11"/>
  <c r="AL61" i="11" s="1"/>
  <c r="AL64" i="11"/>
  <c r="AC77" i="11"/>
  <c r="AH57" i="11"/>
  <c r="AH69" i="11" s="1"/>
  <c r="AL67" i="11"/>
  <c r="AB76" i="11"/>
  <c r="AK69" i="11"/>
  <c r="AI63" i="11"/>
  <c r="AL60" i="11"/>
  <c r="AJ69" i="11"/>
  <c r="AJ71" i="11" s="1"/>
  <c r="AL63" i="11"/>
  <c r="AD72" i="11"/>
  <c r="AL57" i="11"/>
  <c r="AL69" i="11" s="1"/>
  <c r="AL59" i="11"/>
  <c r="AD66" i="11"/>
  <c r="AD75" i="11"/>
  <c r="AD64" i="11"/>
  <c r="AD76" i="11" s="1"/>
  <c r="AF74" i="11" s="1"/>
  <c r="AI69" i="11"/>
  <c r="AI70" i="11" s="1"/>
  <c r="AJ70" i="11"/>
  <c r="AK70" i="11"/>
  <c r="AK71" i="11"/>
  <c r="AG71" i="11"/>
  <c r="AG70" i="11"/>
  <c r="AH70" i="11"/>
  <c r="AH71" i="11"/>
  <c r="AC78" i="10"/>
  <c r="AC77" i="10"/>
  <c r="AI69" i="10"/>
  <c r="AD76" i="10"/>
  <c r="AF74" i="10" s="1"/>
  <c r="Z77" i="10"/>
  <c r="Z78" i="10"/>
  <c r="AA77" i="10"/>
  <c r="AA78" i="10"/>
  <c r="AL67" i="10"/>
  <c r="AH69" i="10"/>
  <c r="AH70" i="10" s="1"/>
  <c r="AL60" i="10"/>
  <c r="AH67" i="10"/>
  <c r="AD67" i="10"/>
  <c r="AB76" i="10"/>
  <c r="AL63" i="10"/>
  <c r="AD65" i="10"/>
  <c r="Y78" i="10"/>
  <c r="AL59" i="10"/>
  <c r="AL69" i="10" s="1"/>
  <c r="AK69" i="10"/>
  <c r="AK70" i="10" s="1"/>
  <c r="AL57" i="10"/>
  <c r="AL68" i="10"/>
  <c r="AD75" i="10"/>
  <c r="AL64" i="10"/>
  <c r="AJ70" i="10"/>
  <c r="AJ71" i="10"/>
  <c r="AG71" i="10"/>
  <c r="AG70" i="10"/>
  <c r="AI70" i="10"/>
  <c r="AI71" i="10"/>
  <c r="Z66" i="9"/>
  <c r="AD66" i="9" s="1"/>
  <c r="Z67" i="9"/>
  <c r="AD67" i="9" s="1"/>
  <c r="AA66" i="9"/>
  <c r="AA67" i="9"/>
  <c r="AD65" i="9"/>
  <c r="AF63" i="9" s="1"/>
  <c r="AB66" i="9"/>
  <c r="AB67" i="9"/>
  <c r="AC67" i="9"/>
  <c r="AC66" i="9"/>
  <c r="AL48" i="9"/>
  <c r="AJ58" i="9"/>
  <c r="AJ59" i="9" s="1"/>
  <c r="AL53" i="9"/>
  <c r="AH56" i="9"/>
  <c r="AI58" i="9"/>
  <c r="AI59" i="9" s="1"/>
  <c r="AL56" i="9"/>
  <c r="AK58" i="9"/>
  <c r="AK59" i="9" s="1"/>
  <c r="AI48" i="9"/>
  <c r="AL51" i="9"/>
  <c r="AL50" i="9"/>
  <c r="AL52" i="9"/>
  <c r="AL49" i="9"/>
  <c r="AL57" i="9"/>
  <c r="AH58" i="9"/>
  <c r="AH60" i="9" s="1"/>
  <c r="AL47" i="9"/>
  <c r="AL55" i="9"/>
  <c r="AJ60" i="9"/>
  <c r="AG60" i="9"/>
  <c r="AG59" i="9"/>
  <c r="AH59" i="9"/>
  <c r="AI60" i="9"/>
  <c r="AL46" i="9"/>
  <c r="AA52" i="8"/>
  <c r="AA53" i="8"/>
  <c r="AB52" i="8"/>
  <c r="AB53" i="8"/>
  <c r="AJ33" i="8"/>
  <c r="AM33" i="8" s="1"/>
  <c r="AM44" i="8" s="1"/>
  <c r="AM39" i="8"/>
  <c r="AE40" i="8"/>
  <c r="AE47" i="8"/>
  <c r="AD51" i="8"/>
  <c r="AJ38" i="8"/>
  <c r="AM38" i="8" s="1"/>
  <c r="AM34" i="8"/>
  <c r="AK35" i="8"/>
  <c r="AM35" i="8" s="1"/>
  <c r="AM37" i="8"/>
  <c r="AI43" i="8"/>
  <c r="AM43" i="8" s="1"/>
  <c r="AE41" i="8"/>
  <c r="AJ42" i="8"/>
  <c r="AC51" i="8"/>
  <c r="AH44" i="8"/>
  <c r="AL44" i="8"/>
  <c r="AL46" i="8" s="1"/>
  <c r="AE39" i="8"/>
  <c r="AE51" i="8" s="1"/>
  <c r="AG49" i="8" s="1"/>
  <c r="AM32" i="8"/>
  <c r="AM42" i="8"/>
  <c r="AH46" i="8"/>
  <c r="AH45" i="8"/>
  <c r="AC78" i="6"/>
  <c r="AC77" i="6"/>
  <c r="AB77" i="6"/>
  <c r="AB78" i="6"/>
  <c r="AL61" i="6"/>
  <c r="Z77" i="6"/>
  <c r="Z78" i="6"/>
  <c r="AD76" i="6"/>
  <c r="AF74" i="6" s="1"/>
  <c r="AL64" i="6"/>
  <c r="AH57" i="6"/>
  <c r="AH67" i="6"/>
  <c r="AL67" i="6" s="1"/>
  <c r="AD67" i="6"/>
  <c r="AA76" i="6"/>
  <c r="AI57" i="6"/>
  <c r="AI69" i="6" s="1"/>
  <c r="Y78" i="6"/>
  <c r="AJ69" i="6"/>
  <c r="AJ71" i="6" s="1"/>
  <c r="AL63" i="6"/>
  <c r="AK69" i="6"/>
  <c r="AL57" i="6"/>
  <c r="AL69" i="6" s="1"/>
  <c r="AL59" i="6"/>
  <c r="AL68" i="6"/>
  <c r="AK70" i="6"/>
  <c r="AK71" i="6"/>
  <c r="AG71" i="6"/>
  <c r="AG70" i="6"/>
  <c r="AI70" i="6"/>
  <c r="AI71" i="6"/>
  <c r="AP47" i="5"/>
  <c r="AP48" i="5" s="1"/>
  <c r="AR35" i="5"/>
  <c r="AF55" i="5"/>
  <c r="AF56" i="5"/>
  <c r="AN42" i="5"/>
  <c r="AN47" i="5" s="1"/>
  <c r="AR45" i="5"/>
  <c r="AG54" i="5"/>
  <c r="AM47" i="5"/>
  <c r="AM49" i="5" s="1"/>
  <c r="AR38" i="5"/>
  <c r="AN45" i="5"/>
  <c r="AJ45" i="5"/>
  <c r="AH54" i="5"/>
  <c r="AJ42" i="5"/>
  <c r="AJ54" i="5" s="1"/>
  <c r="AL52" i="5" s="1"/>
  <c r="AJ43" i="5"/>
  <c r="AE56" i="5"/>
  <c r="AR41" i="5"/>
  <c r="AO47" i="5"/>
  <c r="AO48" i="5" s="1"/>
  <c r="AR36" i="5"/>
  <c r="AR37" i="5"/>
  <c r="AO41" i="5"/>
  <c r="AP49" i="5"/>
  <c r="AQ48" i="5"/>
  <c r="AQ49" i="5"/>
  <c r="AB96" i="15"/>
  <c r="AB97" i="15"/>
  <c r="AL88" i="15"/>
  <c r="AN77" i="15"/>
  <c r="AN80" i="15"/>
  <c r="AF86" i="15"/>
  <c r="AD95" i="15"/>
  <c r="AM88" i="15"/>
  <c r="AC95" i="15"/>
  <c r="AK77" i="15"/>
  <c r="AK88" i="15" s="1"/>
  <c r="AK80" i="15"/>
  <c r="AN85" i="15"/>
  <c r="AF91" i="15"/>
  <c r="AN76" i="15"/>
  <c r="AN88" i="15" s="1"/>
  <c r="AF89" i="15"/>
  <c r="AK86" i="15"/>
  <c r="AN86" i="15" s="1"/>
  <c r="AN81" i="15"/>
  <c r="AN84" i="15"/>
  <c r="AF83" i="15"/>
  <c r="AJ88" i="15"/>
  <c r="AJ89" i="15" s="1"/>
  <c r="AJ90" i="15"/>
  <c r="AL89" i="15"/>
  <c r="AL90" i="15"/>
  <c r="AM90" i="15"/>
  <c r="AM89" i="15"/>
  <c r="AI88" i="15"/>
  <c r="Z77" i="14"/>
  <c r="Z78" i="14" s="1"/>
  <c r="AE76" i="14"/>
  <c r="AE75" i="14"/>
  <c r="AE74" i="14"/>
  <c r="AE73" i="14"/>
  <c r="AE72" i="14"/>
  <c r="AE71" i="14"/>
  <c r="AE70" i="14"/>
  <c r="AE69" i="14"/>
  <c r="AC77" i="14"/>
  <c r="AE68" i="14"/>
  <c r="AE67" i="14"/>
  <c r="AD77" i="14"/>
  <c r="AE66" i="14"/>
  <c r="AE65" i="14"/>
  <c r="AB77" i="14"/>
  <c r="AA77" i="14"/>
  <c r="AL70" i="14"/>
  <c r="AK70" i="14"/>
  <c r="AH39" i="4"/>
  <c r="AG39" i="4"/>
  <c r="AF39" i="4"/>
  <c r="AE39" i="4"/>
  <c r="AD39" i="4"/>
  <c r="AH38" i="4"/>
  <c r="AG38" i="4"/>
  <c r="AF38" i="4"/>
  <c r="AE38" i="4"/>
  <c r="AD38" i="4"/>
  <c r="AH37" i="4"/>
  <c r="AG37" i="4"/>
  <c r="AF37" i="4"/>
  <c r="AE37" i="4"/>
  <c r="AD37" i="4"/>
  <c r="AH36" i="4"/>
  <c r="AG36" i="4"/>
  <c r="AF36" i="4"/>
  <c r="AE36" i="4"/>
  <c r="AD36" i="4"/>
  <c r="AH35" i="4"/>
  <c r="AG35" i="4"/>
  <c r="AF35" i="4"/>
  <c r="AE35" i="4"/>
  <c r="AD35" i="4"/>
  <c r="AH34" i="4"/>
  <c r="AG34" i="4"/>
  <c r="AF34" i="4"/>
  <c r="AE34" i="4"/>
  <c r="AD34" i="4"/>
  <c r="AH33" i="4"/>
  <c r="AG33" i="4"/>
  <c r="AF33" i="4"/>
  <c r="AE33" i="4"/>
  <c r="AD33" i="4"/>
  <c r="AH32" i="4"/>
  <c r="AG32" i="4"/>
  <c r="AF32" i="4"/>
  <c r="AE32" i="4"/>
  <c r="AD32" i="4"/>
  <c r="AH31" i="4"/>
  <c r="AG31" i="4"/>
  <c r="AF31" i="4"/>
  <c r="AE31" i="4"/>
  <c r="AD31" i="4"/>
  <c r="AH30" i="4"/>
  <c r="AG30" i="4"/>
  <c r="AF30" i="4"/>
  <c r="AE30" i="4"/>
  <c r="AD30" i="4"/>
  <c r="AH29" i="4"/>
  <c r="AG29" i="4"/>
  <c r="AF29" i="4"/>
  <c r="AE29" i="4"/>
  <c r="AD29" i="4"/>
  <c r="AH28" i="4"/>
  <c r="AG28" i="4"/>
  <c r="AF28" i="4"/>
  <c r="AE28" i="4"/>
  <c r="AD28" i="4"/>
  <c r="V47" i="4"/>
  <c r="V49" i="4" s="1"/>
  <c r="AA46" i="4"/>
  <c r="AA45" i="4"/>
  <c r="AA44" i="4"/>
  <c r="AA43" i="4"/>
  <c r="AA42" i="4"/>
  <c r="AA41" i="4"/>
  <c r="AA40" i="4"/>
  <c r="AA39" i="4"/>
  <c r="AA38" i="4"/>
  <c r="AA37" i="4"/>
  <c r="Z47" i="4"/>
  <c r="AA36" i="4"/>
  <c r="Y47" i="4"/>
  <c r="AA35" i="4"/>
  <c r="AJ70" i="13" l="1"/>
  <c r="AJ71" i="13"/>
  <c r="AB77" i="13"/>
  <c r="AD77" i="13" s="1"/>
  <c r="AB78" i="13"/>
  <c r="AI69" i="13"/>
  <c r="AD76" i="13"/>
  <c r="AF74" i="13" s="1"/>
  <c r="AC78" i="13"/>
  <c r="AC77" i="13"/>
  <c r="AL60" i="13"/>
  <c r="AL69" i="13" s="1"/>
  <c r="AG70" i="13"/>
  <c r="AI70" i="12"/>
  <c r="AI71" i="12"/>
  <c r="AL58" i="12"/>
  <c r="AB77" i="12"/>
  <c r="AD77" i="12" s="1"/>
  <c r="AB78" i="12"/>
  <c r="AH69" i="12"/>
  <c r="AL57" i="12"/>
  <c r="AL69" i="12" s="1"/>
  <c r="AD78" i="12"/>
  <c r="AD78" i="11"/>
  <c r="AD77" i="11"/>
  <c r="AB77" i="11"/>
  <c r="AB78" i="11"/>
  <c r="AI71" i="11"/>
  <c r="AL70" i="11"/>
  <c r="AL71" i="11"/>
  <c r="AK71" i="10"/>
  <c r="AH71" i="10"/>
  <c r="AL71" i="10" s="1"/>
  <c r="AB77" i="10"/>
  <c r="AD77" i="10" s="1"/>
  <c r="AB78" i="10"/>
  <c r="AD78" i="10"/>
  <c r="AL70" i="10"/>
  <c r="AK60" i="9"/>
  <c r="AL58" i="9"/>
  <c r="AL59" i="9"/>
  <c r="AL60" i="9"/>
  <c r="AK44" i="8"/>
  <c r="AC52" i="8"/>
  <c r="AE52" i="8" s="1"/>
  <c r="AC53" i="8"/>
  <c r="AE53" i="8" s="1"/>
  <c r="AD53" i="8"/>
  <c r="AD52" i="8"/>
  <c r="AL45" i="8"/>
  <c r="AJ44" i="8"/>
  <c r="AI44" i="8"/>
  <c r="AJ70" i="6"/>
  <c r="AA77" i="6"/>
  <c r="AD77" i="6" s="1"/>
  <c r="AA78" i="6"/>
  <c r="AD78" i="6" s="1"/>
  <c r="AH69" i="6"/>
  <c r="AN48" i="5"/>
  <c r="AN49" i="5"/>
  <c r="AR49" i="5" s="1"/>
  <c r="AJ56" i="5"/>
  <c r="AG56" i="5"/>
  <c r="AG55" i="5"/>
  <c r="AO49" i="5"/>
  <c r="AR42" i="5"/>
  <c r="AR47" i="5" s="1"/>
  <c r="AM48" i="5"/>
  <c r="AR48" i="5" s="1"/>
  <c r="AH55" i="5"/>
  <c r="AH56" i="5"/>
  <c r="AK90" i="15"/>
  <c r="AK89" i="15"/>
  <c r="AD96" i="15"/>
  <c r="AD97" i="15"/>
  <c r="AF95" i="15"/>
  <c r="AC96" i="15"/>
  <c r="AC97" i="15"/>
  <c r="AF97" i="15" s="1"/>
  <c r="AF96" i="15"/>
  <c r="AI89" i="15"/>
  <c r="AI90" i="15"/>
  <c r="AN90" i="15" s="1"/>
  <c r="V48" i="4"/>
  <c r="AG40" i="4"/>
  <c r="AG41" i="4" s="1"/>
  <c r="AM60" i="14"/>
  <c r="AM66" i="14"/>
  <c r="AM68" i="14"/>
  <c r="AB79" i="14"/>
  <c r="AB78" i="14"/>
  <c r="AC78" i="14"/>
  <c r="AC79" i="14"/>
  <c r="AD78" i="14"/>
  <c r="AD79" i="14"/>
  <c r="AA78" i="14"/>
  <c r="AA79" i="14"/>
  <c r="AM64" i="14"/>
  <c r="AM62" i="14"/>
  <c r="Z79" i="14"/>
  <c r="AE77" i="14"/>
  <c r="AM63" i="14"/>
  <c r="AI70" i="14"/>
  <c r="AI71" i="14" s="1"/>
  <c r="AM61" i="14"/>
  <c r="AM69" i="14"/>
  <c r="AM58" i="14"/>
  <c r="AJ70" i="14"/>
  <c r="AJ72" i="14" s="1"/>
  <c r="AM59" i="14"/>
  <c r="AM65" i="14"/>
  <c r="AM67" i="14"/>
  <c r="AK71" i="14"/>
  <c r="AK72" i="14"/>
  <c r="AL71" i="14"/>
  <c r="AL72" i="14"/>
  <c r="AI28" i="4"/>
  <c r="AI29" i="4"/>
  <c r="AI35" i="4"/>
  <c r="AI37" i="4"/>
  <c r="AI34" i="4"/>
  <c r="AD40" i="4"/>
  <c r="AD41" i="4" s="1"/>
  <c r="AI32" i="4"/>
  <c r="AE40" i="4"/>
  <c r="AE42" i="4" s="1"/>
  <c r="AI31" i="4"/>
  <c r="AI33" i="4"/>
  <c r="AI39" i="4"/>
  <c r="AF40" i="4"/>
  <c r="AF41" i="4" s="1"/>
  <c r="AI30" i="4"/>
  <c r="AI38" i="4"/>
  <c r="AI36" i="4"/>
  <c r="AH40" i="4"/>
  <c r="Y48" i="4"/>
  <c r="Y49" i="4"/>
  <c r="Z49" i="4"/>
  <c r="Z48" i="4"/>
  <c r="AA47" i="4"/>
  <c r="AC45" i="4" s="1"/>
  <c r="X47" i="4"/>
  <c r="W47" i="4"/>
  <c r="AI70" i="13" l="1"/>
  <c r="AL70" i="13" s="1"/>
  <c r="AI71" i="13"/>
  <c r="AL71" i="13" s="1"/>
  <c r="AD78" i="13"/>
  <c r="AH70" i="12"/>
  <c r="AL70" i="12" s="1"/>
  <c r="AH71" i="12"/>
  <c r="AL71" i="12" s="1"/>
  <c r="AJ45" i="8"/>
  <c r="AJ46" i="8"/>
  <c r="AK46" i="8"/>
  <c r="AK45" i="8"/>
  <c r="AI45" i="8"/>
  <c r="AM45" i="8" s="1"/>
  <c r="AI46" i="8"/>
  <c r="AM46" i="8" s="1"/>
  <c r="AH70" i="6"/>
  <c r="AL70" i="6" s="1"/>
  <c r="AH71" i="6"/>
  <c r="AL71" i="6" s="1"/>
  <c r="AJ55" i="5"/>
  <c r="AN89" i="15"/>
  <c r="AM70" i="14"/>
  <c r="AH70" i="14"/>
  <c r="AG42" i="4"/>
  <c r="AD42" i="4"/>
  <c r="AF42" i="4"/>
  <c r="AI40" i="4"/>
  <c r="AE78" i="14"/>
  <c r="AI72" i="14"/>
  <c r="AE79" i="14"/>
  <c r="AJ71" i="14"/>
  <c r="AE41" i="4"/>
  <c r="AH41" i="4"/>
  <c r="AH42" i="4"/>
  <c r="W49" i="4"/>
  <c r="W48" i="4"/>
  <c r="X49" i="4"/>
  <c r="X48" i="4"/>
  <c r="H27" i="19" l="1"/>
  <c r="AH71" i="14"/>
  <c r="AM71" i="14" s="1"/>
  <c r="AH72" i="14"/>
  <c r="AM72" i="14" s="1"/>
  <c r="AI42" i="4"/>
  <c r="AI41" i="4"/>
  <c r="AA48" i="4"/>
  <c r="AA49" i="4"/>
  <c r="G14" i="18"/>
  <c r="AE75" i="15"/>
  <c r="AD75" i="15"/>
  <c r="AC75" i="15"/>
  <c r="AB75" i="15"/>
  <c r="AA75" i="15"/>
  <c r="AF74" i="15"/>
  <c r="AF73" i="15"/>
  <c r="AF72" i="15"/>
  <c r="AF71" i="15"/>
  <c r="AF70" i="15"/>
  <c r="AF69" i="15"/>
  <c r="AF68" i="15"/>
  <c r="AF67" i="15"/>
  <c r="AF66" i="15"/>
  <c r="AF65" i="15"/>
  <c r="AF64" i="15"/>
  <c r="AF63" i="15"/>
  <c r="O56" i="15"/>
  <c r="H56" i="15"/>
  <c r="E56" i="15"/>
  <c r="O55" i="15"/>
  <c r="H55" i="15"/>
  <c r="E55" i="15"/>
  <c r="O54" i="15"/>
  <c r="H54" i="15"/>
  <c r="E54" i="15"/>
  <c r="O53" i="15"/>
  <c r="H53" i="15"/>
  <c r="E53" i="15"/>
  <c r="O52" i="15"/>
  <c r="H52" i="15"/>
  <c r="E52" i="15"/>
  <c r="O51" i="15"/>
  <c r="H51" i="15"/>
  <c r="E51" i="15"/>
  <c r="O50" i="15"/>
  <c r="H50" i="15"/>
  <c r="E50" i="15"/>
  <c r="O49" i="15"/>
  <c r="H49" i="15"/>
  <c r="E49" i="15"/>
  <c r="O48" i="15"/>
  <c r="H48" i="15"/>
  <c r="E48" i="15"/>
  <c r="O47" i="15"/>
  <c r="H47" i="15"/>
  <c r="E47" i="15"/>
  <c r="O46" i="15"/>
  <c r="H46" i="15"/>
  <c r="E46" i="15"/>
  <c r="I46" i="15" s="1"/>
  <c r="J46" i="15" s="1"/>
  <c r="K46" i="15" s="1"/>
  <c r="O45" i="15"/>
  <c r="H45" i="15"/>
  <c r="E45" i="15"/>
  <c r="I45" i="15" s="1"/>
  <c r="J45" i="15" s="1"/>
  <c r="K45" i="15" s="1"/>
  <c r="O44" i="15"/>
  <c r="H44" i="15"/>
  <c r="E44" i="15"/>
  <c r="O43" i="15"/>
  <c r="H43" i="15"/>
  <c r="E43" i="15"/>
  <c r="O42" i="15"/>
  <c r="H42" i="15"/>
  <c r="E42" i="15"/>
  <c r="O41" i="15"/>
  <c r="H41" i="15"/>
  <c r="E41" i="15"/>
  <c r="W40" i="15"/>
  <c r="W41" i="15" s="1"/>
  <c r="O40" i="15"/>
  <c r="H40" i="15"/>
  <c r="E40" i="15"/>
  <c r="O39" i="15"/>
  <c r="H39" i="15"/>
  <c r="E39" i="15"/>
  <c r="O38" i="15"/>
  <c r="H38" i="15"/>
  <c r="E38" i="15"/>
  <c r="O37" i="15"/>
  <c r="H37" i="15"/>
  <c r="E37" i="15"/>
  <c r="O36" i="15"/>
  <c r="H36" i="15"/>
  <c r="I36" i="15" s="1"/>
  <c r="J36" i="15" s="1"/>
  <c r="K36" i="15" s="1"/>
  <c r="E36" i="15"/>
  <c r="O35" i="15"/>
  <c r="H35" i="15"/>
  <c r="E35" i="15"/>
  <c r="I35" i="15" s="1"/>
  <c r="J35" i="15" s="1"/>
  <c r="K35" i="15" s="1"/>
  <c r="O34" i="15"/>
  <c r="H34" i="15"/>
  <c r="E34" i="15"/>
  <c r="O33" i="15"/>
  <c r="H33" i="15"/>
  <c r="E33" i="15"/>
  <c r="O32" i="15"/>
  <c r="H32" i="15"/>
  <c r="E32" i="15"/>
  <c r="O31" i="15"/>
  <c r="H31" i="15"/>
  <c r="E31" i="15"/>
  <c r="O30" i="15"/>
  <c r="H30" i="15"/>
  <c r="E30" i="15"/>
  <c r="O29" i="15"/>
  <c r="H29" i="15"/>
  <c r="E29" i="15"/>
  <c r="I29" i="15" s="1"/>
  <c r="J29" i="15" s="1"/>
  <c r="K29" i="15" s="1"/>
  <c r="O28" i="15"/>
  <c r="H28" i="15"/>
  <c r="E28" i="15"/>
  <c r="O27" i="15"/>
  <c r="H27" i="15"/>
  <c r="E27" i="15"/>
  <c r="O26" i="15"/>
  <c r="H26" i="15"/>
  <c r="I26" i="15" s="1"/>
  <c r="J26" i="15" s="1"/>
  <c r="E26" i="15"/>
  <c r="O25" i="15"/>
  <c r="H25" i="15"/>
  <c r="E25" i="15"/>
  <c r="I25" i="15" s="1"/>
  <c r="J25" i="15" s="1"/>
  <c r="O24" i="15"/>
  <c r="H24" i="15"/>
  <c r="E24" i="15"/>
  <c r="O23" i="15"/>
  <c r="H23" i="15"/>
  <c r="E23" i="15"/>
  <c r="O22" i="15"/>
  <c r="H22" i="15"/>
  <c r="E22" i="15"/>
  <c r="O21" i="15"/>
  <c r="H21" i="15"/>
  <c r="E21" i="15"/>
  <c r="O20" i="15"/>
  <c r="H20" i="15"/>
  <c r="I20" i="15" s="1"/>
  <c r="J20" i="15" s="1"/>
  <c r="K20" i="15" s="1"/>
  <c r="E20" i="15"/>
  <c r="O19" i="15"/>
  <c r="H19" i="15"/>
  <c r="E19" i="15"/>
  <c r="I19" i="15" s="1"/>
  <c r="J19" i="15" s="1"/>
  <c r="K19" i="15" s="1"/>
  <c r="O18" i="15"/>
  <c r="H18" i="15"/>
  <c r="E18" i="15"/>
  <c r="I18" i="15" s="1"/>
  <c r="J18" i="15" s="1"/>
  <c r="K18" i="15" s="1"/>
  <c r="O17" i="15"/>
  <c r="H17" i="15"/>
  <c r="E17" i="15"/>
  <c r="O16" i="15"/>
  <c r="H16" i="15"/>
  <c r="E16" i="15"/>
  <c r="O15" i="15"/>
  <c r="H15" i="15"/>
  <c r="E15" i="15"/>
  <c r="O14" i="15"/>
  <c r="H14" i="15"/>
  <c r="E14" i="15"/>
  <c r="O13" i="15"/>
  <c r="H13" i="15"/>
  <c r="E13" i="15"/>
  <c r="O12" i="15"/>
  <c r="H12" i="15"/>
  <c r="I12" i="15" s="1"/>
  <c r="E12" i="15"/>
  <c r="O11" i="15"/>
  <c r="H11" i="15"/>
  <c r="E11" i="15"/>
  <c r="O10" i="15"/>
  <c r="H10" i="15"/>
  <c r="E10" i="15"/>
  <c r="O9" i="15"/>
  <c r="H9" i="15"/>
  <c r="E9" i="15"/>
  <c r="O8" i="15"/>
  <c r="H8" i="15"/>
  <c r="E8" i="15"/>
  <c r="O7" i="15"/>
  <c r="H7" i="15"/>
  <c r="E7" i="15"/>
  <c r="O6" i="15"/>
  <c r="H6" i="15"/>
  <c r="E6" i="15"/>
  <c r="I6" i="15" s="1"/>
  <c r="J6" i="15" s="1"/>
  <c r="K6" i="15" s="1"/>
  <c r="O5" i="15"/>
  <c r="H5" i="15"/>
  <c r="E5" i="15"/>
  <c r="O4" i="15"/>
  <c r="H4" i="15"/>
  <c r="E4" i="15"/>
  <c r="O3" i="15"/>
  <c r="H3" i="15"/>
  <c r="E3" i="15"/>
  <c r="AD57" i="14"/>
  <c r="AC57" i="14"/>
  <c r="AB57" i="14"/>
  <c r="AA57" i="14"/>
  <c r="Z57" i="14"/>
  <c r="AE56" i="14"/>
  <c r="O56" i="14"/>
  <c r="H56" i="14"/>
  <c r="E56" i="14"/>
  <c r="AE55" i="14"/>
  <c r="O55" i="14"/>
  <c r="H55" i="14"/>
  <c r="E55" i="14"/>
  <c r="AE54" i="14"/>
  <c r="O54" i="14"/>
  <c r="H54" i="14"/>
  <c r="E54" i="14"/>
  <c r="AE53" i="14"/>
  <c r="O53" i="14"/>
  <c r="H53" i="14"/>
  <c r="E53" i="14"/>
  <c r="AE52" i="14"/>
  <c r="O52" i="14"/>
  <c r="H52" i="14"/>
  <c r="I52" i="14" s="1"/>
  <c r="J52" i="14" s="1"/>
  <c r="K52" i="14" s="1"/>
  <c r="E52" i="14"/>
  <c r="AE51" i="14"/>
  <c r="O51" i="14"/>
  <c r="H51" i="14"/>
  <c r="E51" i="14"/>
  <c r="AE50" i="14"/>
  <c r="O50" i="14"/>
  <c r="H50" i="14"/>
  <c r="E50" i="14"/>
  <c r="AE49" i="14"/>
  <c r="O49" i="14"/>
  <c r="H49" i="14"/>
  <c r="E49" i="14"/>
  <c r="AE48" i="14"/>
  <c r="O48" i="14"/>
  <c r="H48" i="14"/>
  <c r="I48" i="14" s="1"/>
  <c r="J48" i="14" s="1"/>
  <c r="K48" i="14" s="1"/>
  <c r="E48" i="14"/>
  <c r="AE47" i="14"/>
  <c r="O47" i="14"/>
  <c r="H47" i="14"/>
  <c r="E47" i="14"/>
  <c r="I47" i="14" s="1"/>
  <c r="J47" i="14" s="1"/>
  <c r="K47" i="14" s="1"/>
  <c r="AE46" i="14"/>
  <c r="O46" i="14"/>
  <c r="H46" i="14"/>
  <c r="I46" i="14" s="1"/>
  <c r="J46" i="14" s="1"/>
  <c r="K46" i="14" s="1"/>
  <c r="E46" i="14"/>
  <c r="AE45" i="14"/>
  <c r="O45" i="14"/>
  <c r="H45" i="14"/>
  <c r="E45" i="14"/>
  <c r="O44" i="14"/>
  <c r="H44" i="14"/>
  <c r="E44" i="14"/>
  <c r="O43" i="14"/>
  <c r="H43" i="14"/>
  <c r="I43" i="14" s="1"/>
  <c r="J43" i="14" s="1"/>
  <c r="K43" i="14" s="1"/>
  <c r="E43" i="14"/>
  <c r="O42" i="14"/>
  <c r="H42" i="14"/>
  <c r="E42" i="14"/>
  <c r="O41" i="14"/>
  <c r="H41" i="14"/>
  <c r="E41" i="14"/>
  <c r="O40" i="14"/>
  <c r="H40" i="14"/>
  <c r="E40" i="14"/>
  <c r="O39" i="14"/>
  <c r="H39" i="14"/>
  <c r="E39" i="14"/>
  <c r="O38" i="14"/>
  <c r="H38" i="14"/>
  <c r="E38" i="14"/>
  <c r="O37" i="14"/>
  <c r="H37" i="14"/>
  <c r="E37" i="14"/>
  <c r="O36" i="14"/>
  <c r="H36" i="14"/>
  <c r="E36" i="14"/>
  <c r="O35" i="14"/>
  <c r="H35" i="14"/>
  <c r="E35" i="14"/>
  <c r="O34" i="14"/>
  <c r="H34" i="14"/>
  <c r="E34" i="14"/>
  <c r="O33" i="14"/>
  <c r="H33" i="14"/>
  <c r="E33" i="14"/>
  <c r="O32" i="14"/>
  <c r="H32" i="14"/>
  <c r="E32" i="14"/>
  <c r="O31" i="14"/>
  <c r="H31" i="14"/>
  <c r="E31" i="14"/>
  <c r="I31" i="14" s="1"/>
  <c r="J31" i="14" s="1"/>
  <c r="O30" i="14"/>
  <c r="H30" i="14"/>
  <c r="E30" i="14"/>
  <c r="O29" i="14"/>
  <c r="H29" i="14"/>
  <c r="E29" i="14"/>
  <c r="O28" i="14"/>
  <c r="H28" i="14"/>
  <c r="E28" i="14"/>
  <c r="O27" i="14"/>
  <c r="H27" i="14"/>
  <c r="E27" i="14"/>
  <c r="O26" i="14"/>
  <c r="H26" i="14"/>
  <c r="E26" i="14"/>
  <c r="O25" i="14"/>
  <c r="H25" i="14"/>
  <c r="E25" i="14"/>
  <c r="O24" i="14"/>
  <c r="H24" i="14"/>
  <c r="E24" i="14"/>
  <c r="O23" i="14"/>
  <c r="H23" i="14"/>
  <c r="E23" i="14"/>
  <c r="O22" i="14"/>
  <c r="H22" i="14"/>
  <c r="I22" i="14" s="1"/>
  <c r="J22" i="14" s="1"/>
  <c r="K22" i="14" s="1"/>
  <c r="E22" i="14"/>
  <c r="O21" i="14"/>
  <c r="H21" i="14"/>
  <c r="E21" i="14"/>
  <c r="V20" i="14"/>
  <c r="V21" i="14" s="1"/>
  <c r="O20" i="14"/>
  <c r="H20" i="14"/>
  <c r="E20" i="14"/>
  <c r="W19" i="14"/>
  <c r="O19" i="14"/>
  <c r="H19" i="14"/>
  <c r="E19" i="14"/>
  <c r="W18" i="14"/>
  <c r="O18" i="14"/>
  <c r="H18" i="14"/>
  <c r="E18" i="14"/>
  <c r="I18" i="14" s="1"/>
  <c r="J18" i="14" s="1"/>
  <c r="K18" i="14" s="1"/>
  <c r="W17" i="14"/>
  <c r="O17" i="14"/>
  <c r="H17" i="14"/>
  <c r="E17" i="14"/>
  <c r="W16" i="14"/>
  <c r="O16" i="14"/>
  <c r="H16" i="14"/>
  <c r="E16" i="14"/>
  <c r="I16" i="14" s="1"/>
  <c r="J16" i="14" s="1"/>
  <c r="K16" i="14" s="1"/>
  <c r="W15" i="14"/>
  <c r="O15" i="14"/>
  <c r="H15" i="14"/>
  <c r="E15" i="14"/>
  <c r="I15" i="14" s="1"/>
  <c r="J15" i="14" s="1"/>
  <c r="W14" i="14"/>
  <c r="O14" i="14"/>
  <c r="H14" i="14"/>
  <c r="E14" i="14"/>
  <c r="W13" i="14"/>
  <c r="O13" i="14"/>
  <c r="H13" i="14"/>
  <c r="E13" i="14"/>
  <c r="W12" i="14"/>
  <c r="O12" i="14"/>
  <c r="H12" i="14"/>
  <c r="E12" i="14"/>
  <c r="W11" i="14"/>
  <c r="O11" i="14"/>
  <c r="H11" i="14"/>
  <c r="E11" i="14"/>
  <c r="W10" i="14"/>
  <c r="O10" i="14"/>
  <c r="H10" i="14"/>
  <c r="I10" i="14" s="1"/>
  <c r="J10" i="14" s="1"/>
  <c r="K10" i="14" s="1"/>
  <c r="E10" i="14"/>
  <c r="W9" i="14"/>
  <c r="O9" i="14"/>
  <c r="H9" i="14"/>
  <c r="I9" i="14" s="1"/>
  <c r="J9" i="14" s="1"/>
  <c r="K9" i="14" s="1"/>
  <c r="E9" i="14"/>
  <c r="W8" i="14"/>
  <c r="O8" i="14"/>
  <c r="H8" i="14"/>
  <c r="I8" i="14" s="1"/>
  <c r="J8" i="14" s="1"/>
  <c r="K8" i="14" s="1"/>
  <c r="E8" i="14"/>
  <c r="W7" i="14"/>
  <c r="O7" i="14"/>
  <c r="H7" i="14"/>
  <c r="E7" i="14"/>
  <c r="W6" i="14"/>
  <c r="O6" i="14"/>
  <c r="H6" i="14"/>
  <c r="E6" i="14"/>
  <c r="W5" i="14"/>
  <c r="O5" i="14"/>
  <c r="H5" i="14"/>
  <c r="I5" i="14" s="1"/>
  <c r="J5" i="14" s="1"/>
  <c r="K5" i="14" s="1"/>
  <c r="E5" i="14"/>
  <c r="W4" i="14"/>
  <c r="O4" i="14"/>
  <c r="H4" i="14"/>
  <c r="E4" i="14"/>
  <c r="O3" i="14"/>
  <c r="H3" i="14"/>
  <c r="E3" i="14"/>
  <c r="P8" i="14" l="1"/>
  <c r="Q8" i="14" s="1"/>
  <c r="I14" i="14"/>
  <c r="P14" i="14" s="1"/>
  <c r="I33" i="14"/>
  <c r="J33" i="14" s="1"/>
  <c r="K33" i="14" s="1"/>
  <c r="I38" i="14"/>
  <c r="I10" i="15"/>
  <c r="I23" i="15"/>
  <c r="J23" i="15" s="1"/>
  <c r="K23" i="15" s="1"/>
  <c r="I31" i="15"/>
  <c r="P31" i="15" s="1"/>
  <c r="I34" i="15"/>
  <c r="J34" i="15" s="1"/>
  <c r="K34" i="15" s="1"/>
  <c r="I44" i="15"/>
  <c r="I52" i="15"/>
  <c r="I7" i="14"/>
  <c r="J7" i="14" s="1"/>
  <c r="K7" i="14" s="1"/>
  <c r="I23" i="14"/>
  <c r="I39" i="14"/>
  <c r="J39" i="14" s="1"/>
  <c r="I54" i="14"/>
  <c r="J54" i="14" s="1"/>
  <c r="K54" i="14" s="1"/>
  <c r="I56" i="14"/>
  <c r="J56" i="14" s="1"/>
  <c r="K56" i="14" s="1"/>
  <c r="I37" i="15"/>
  <c r="P37" i="15" s="1"/>
  <c r="Q37" i="15" s="1"/>
  <c r="I42" i="15"/>
  <c r="I50" i="15"/>
  <c r="I11" i="14"/>
  <c r="P11" i="14" s="1"/>
  <c r="Q11" i="14" s="1"/>
  <c r="I13" i="14"/>
  <c r="J13" i="14" s="1"/>
  <c r="K13" i="14" s="1"/>
  <c r="I17" i="14"/>
  <c r="J17" i="14" s="1"/>
  <c r="K17" i="14" s="1"/>
  <c r="I21" i="14"/>
  <c r="J21" i="14" s="1"/>
  <c r="K21" i="14" s="1"/>
  <c r="I49" i="14"/>
  <c r="J49" i="14" s="1"/>
  <c r="K49" i="14" s="1"/>
  <c r="I51" i="14"/>
  <c r="J51" i="14" s="1"/>
  <c r="K51" i="14" s="1"/>
  <c r="I14" i="15"/>
  <c r="I22" i="15"/>
  <c r="I43" i="15"/>
  <c r="J43" i="15" s="1"/>
  <c r="K43" i="15" s="1"/>
  <c r="I56" i="15"/>
  <c r="I37" i="14"/>
  <c r="I55" i="14"/>
  <c r="J55" i="14" s="1"/>
  <c r="K55" i="14" s="1"/>
  <c r="P19" i="15"/>
  <c r="Q19" i="15" s="1"/>
  <c r="I15" i="15"/>
  <c r="J15" i="15" s="1"/>
  <c r="K15" i="15" s="1"/>
  <c r="I28" i="15"/>
  <c r="P28" i="15" s="1"/>
  <c r="Q28" i="15" s="1"/>
  <c r="I33" i="15"/>
  <c r="I49" i="15"/>
  <c r="J49" i="15" s="1"/>
  <c r="K49" i="15" s="1"/>
  <c r="I54" i="15"/>
  <c r="I3" i="15"/>
  <c r="I4" i="15"/>
  <c r="J4" i="15" s="1"/>
  <c r="K4" i="15" s="1"/>
  <c r="P6" i="15"/>
  <c r="Q6" i="15" s="1"/>
  <c r="I9" i="15"/>
  <c r="J9" i="15" s="1"/>
  <c r="K9" i="15" s="1"/>
  <c r="I13" i="15"/>
  <c r="I17" i="15"/>
  <c r="J17" i="15" s="1"/>
  <c r="K17" i="15" s="1"/>
  <c r="L18" i="15"/>
  <c r="P29" i="15"/>
  <c r="Q29" i="15" s="1"/>
  <c r="I38" i="15"/>
  <c r="P38" i="15" s="1"/>
  <c r="P45" i="15"/>
  <c r="Q45" i="15" s="1"/>
  <c r="I48" i="15"/>
  <c r="J48" i="15" s="1"/>
  <c r="K48" i="15" s="1"/>
  <c r="AF75" i="15"/>
  <c r="P26" i="15"/>
  <c r="Q26" i="15" s="1"/>
  <c r="P20" i="15"/>
  <c r="Q20" i="15" s="1"/>
  <c r="I7" i="15"/>
  <c r="J7" i="15" s="1"/>
  <c r="K7" i="15" s="1"/>
  <c r="I11" i="15"/>
  <c r="J11" i="15" s="1"/>
  <c r="I16" i="15"/>
  <c r="J16" i="15" s="1"/>
  <c r="K16" i="15" s="1"/>
  <c r="P18" i="15"/>
  <c r="Q18" i="15" s="1"/>
  <c r="I27" i="15"/>
  <c r="L29" i="15"/>
  <c r="L35" i="15"/>
  <c r="I39" i="15"/>
  <c r="J39" i="15" s="1"/>
  <c r="I40" i="15"/>
  <c r="P40" i="15" s="1"/>
  <c r="Q40" i="15" s="1"/>
  <c r="I41" i="15"/>
  <c r="P41" i="15" s="1"/>
  <c r="Q41" i="15" s="1"/>
  <c r="L46" i="15"/>
  <c r="I47" i="15"/>
  <c r="J47" i="15" s="1"/>
  <c r="K47" i="15" s="1"/>
  <c r="P7" i="15"/>
  <c r="Q7" i="15" s="1"/>
  <c r="L26" i="15"/>
  <c r="P35" i="15"/>
  <c r="Q35" i="15" s="1"/>
  <c r="P36" i="15"/>
  <c r="Q36" i="15" s="1"/>
  <c r="L39" i="15"/>
  <c r="P47" i="15"/>
  <c r="Q47" i="15" s="1"/>
  <c r="P3" i="15"/>
  <c r="Q3" i="15" s="1"/>
  <c r="J3" i="15"/>
  <c r="K3" i="15" s="1"/>
  <c r="L6" i="15"/>
  <c r="L7" i="15"/>
  <c r="P12" i="15"/>
  <c r="Q12" i="15" s="1"/>
  <c r="J12" i="15"/>
  <c r="K12" i="15" s="1"/>
  <c r="L3" i="15"/>
  <c r="I5" i="15"/>
  <c r="J5" i="15" s="1"/>
  <c r="K5" i="15" s="1"/>
  <c r="I8" i="15"/>
  <c r="L17" i="15"/>
  <c r="X34" i="15"/>
  <c r="K26" i="15"/>
  <c r="J38" i="15"/>
  <c r="L38" i="15" s="1"/>
  <c r="P39" i="15"/>
  <c r="P46" i="15"/>
  <c r="Q46" i="15" s="1"/>
  <c r="P50" i="15"/>
  <c r="Q50" i="15" s="1"/>
  <c r="J50" i="15"/>
  <c r="K50" i="15" s="1"/>
  <c r="P52" i="15"/>
  <c r="Q52" i="15" s="1"/>
  <c r="J52" i="15"/>
  <c r="K52" i="15" s="1"/>
  <c r="P54" i="15"/>
  <c r="Q54" i="15" s="1"/>
  <c r="J54" i="15"/>
  <c r="K54" i="15" s="1"/>
  <c r="P56" i="15"/>
  <c r="Q56" i="15" s="1"/>
  <c r="J56" i="15"/>
  <c r="K56" i="15" s="1"/>
  <c r="J14" i="15"/>
  <c r="P14" i="15"/>
  <c r="L15" i="15"/>
  <c r="P44" i="15"/>
  <c r="Q44" i="15" s="1"/>
  <c r="J44" i="15"/>
  <c r="K44" i="15" s="1"/>
  <c r="L19" i="15"/>
  <c r="L20" i="15"/>
  <c r="P22" i="15"/>
  <c r="Q22" i="15" s="1"/>
  <c r="J22" i="15"/>
  <c r="K22" i="15" s="1"/>
  <c r="L23" i="15"/>
  <c r="P25" i="15"/>
  <c r="L36" i="15"/>
  <c r="P42" i="15"/>
  <c r="Q42" i="15" s="1"/>
  <c r="J42" i="15"/>
  <c r="K42" i="15" s="1"/>
  <c r="P43" i="15"/>
  <c r="Q43" i="15" s="1"/>
  <c r="P49" i="15"/>
  <c r="Q49" i="15" s="1"/>
  <c r="L22" i="15"/>
  <c r="P27" i="15"/>
  <c r="Q27" i="15" s="1"/>
  <c r="J27" i="15"/>
  <c r="K27" i="15" s="1"/>
  <c r="X39" i="15"/>
  <c r="K39" i="15"/>
  <c r="L45" i="15"/>
  <c r="P10" i="15"/>
  <c r="Q10" i="15" s="1"/>
  <c r="J10" i="15"/>
  <c r="K10" i="15" s="1"/>
  <c r="P13" i="15"/>
  <c r="Q13" i="15" s="1"/>
  <c r="J13" i="15"/>
  <c r="K13" i="15" s="1"/>
  <c r="P33" i="15"/>
  <c r="Q33" i="15" s="1"/>
  <c r="J33" i="15"/>
  <c r="K33" i="15" s="1"/>
  <c r="L12" i="15"/>
  <c r="I21" i="15"/>
  <c r="J21" i="15" s="1"/>
  <c r="K21" i="15" s="1"/>
  <c r="I24" i="15"/>
  <c r="J24" i="15" s="1"/>
  <c r="K24" i="15" s="1"/>
  <c r="I30" i="15"/>
  <c r="J30" i="15" s="1"/>
  <c r="K30" i="15" s="1"/>
  <c r="I32" i="15"/>
  <c r="I51" i="15"/>
  <c r="I53" i="15"/>
  <c r="I55" i="15"/>
  <c r="L54" i="15"/>
  <c r="L56" i="15"/>
  <c r="L44" i="15"/>
  <c r="J28" i="15"/>
  <c r="K28" i="15" s="1"/>
  <c r="I27" i="14"/>
  <c r="P31" i="14"/>
  <c r="Q31" i="14" s="1"/>
  <c r="I35" i="14"/>
  <c r="I36" i="14"/>
  <c r="I44" i="14"/>
  <c r="L47" i="14"/>
  <c r="P52" i="14"/>
  <c r="Q52" i="14" s="1"/>
  <c r="L55" i="14"/>
  <c r="I4" i="14"/>
  <c r="J4" i="14" s="1"/>
  <c r="K4" i="14" s="1"/>
  <c r="J11" i="14"/>
  <c r="K11" i="14" s="1"/>
  <c r="J14" i="14"/>
  <c r="I29" i="14"/>
  <c r="I3" i="14"/>
  <c r="J3" i="14" s="1"/>
  <c r="K3" i="14" s="1"/>
  <c r="I6" i="14"/>
  <c r="J6" i="14" s="1"/>
  <c r="K6" i="14" s="1"/>
  <c r="I12" i="14"/>
  <c r="P22" i="14"/>
  <c r="Q22" i="14" s="1"/>
  <c r="I24" i="14"/>
  <c r="J24" i="14" s="1"/>
  <c r="K24" i="14" s="1"/>
  <c r="I25" i="14"/>
  <c r="I26" i="14"/>
  <c r="J26" i="14" s="1"/>
  <c r="I28" i="14"/>
  <c r="J28" i="14" s="1"/>
  <c r="K28" i="14" s="1"/>
  <c r="I32" i="14"/>
  <c r="J32" i="14" s="1"/>
  <c r="I34" i="14"/>
  <c r="L39" i="14"/>
  <c r="I40" i="14"/>
  <c r="J40" i="14" s="1"/>
  <c r="I41" i="14"/>
  <c r="P41" i="14" s="1"/>
  <c r="Q41" i="14" s="1"/>
  <c r="I42" i="14"/>
  <c r="P42" i="14" s="1"/>
  <c r="Q42" i="14" s="1"/>
  <c r="AE57" i="14"/>
  <c r="P46" i="14"/>
  <c r="Q46" i="14" s="1"/>
  <c r="P47" i="14"/>
  <c r="Q47" i="14" s="1"/>
  <c r="P54" i="14"/>
  <c r="Q54" i="14" s="1"/>
  <c r="P55" i="14"/>
  <c r="Q55" i="14" s="1"/>
  <c r="P33" i="14"/>
  <c r="Q33" i="14" s="1"/>
  <c r="P39" i="14"/>
  <c r="P5" i="14"/>
  <c r="Q5" i="14" s="1"/>
  <c r="P6" i="14"/>
  <c r="Q6" i="14" s="1"/>
  <c r="P10" i="14"/>
  <c r="Q10" i="14" s="1"/>
  <c r="I19" i="14"/>
  <c r="J19" i="14" s="1"/>
  <c r="K19" i="14" s="1"/>
  <c r="I20" i="14"/>
  <c r="J20" i="14" s="1"/>
  <c r="K20" i="14" s="1"/>
  <c r="P28" i="14"/>
  <c r="Q28" i="14" s="1"/>
  <c r="I30" i="14"/>
  <c r="J30" i="14" s="1"/>
  <c r="K30" i="14" s="1"/>
  <c r="L31" i="14"/>
  <c r="P43" i="14"/>
  <c r="Q43" i="14" s="1"/>
  <c r="I45" i="14"/>
  <c r="J45" i="14" s="1"/>
  <c r="K45" i="14" s="1"/>
  <c r="P48" i="14"/>
  <c r="Q48" i="14" s="1"/>
  <c r="I50" i="14"/>
  <c r="J50" i="14" s="1"/>
  <c r="K50" i="14" s="1"/>
  <c r="I53" i="14"/>
  <c r="J53" i="14" s="1"/>
  <c r="K53" i="14" s="1"/>
  <c r="P56" i="14"/>
  <c r="Q56" i="14" s="1"/>
  <c r="K15" i="14"/>
  <c r="L5" i="14"/>
  <c r="L7" i="14"/>
  <c r="L8" i="14"/>
  <c r="P16" i="14"/>
  <c r="Q16" i="14" s="1"/>
  <c r="L17" i="14"/>
  <c r="L21" i="14"/>
  <c r="P24" i="14"/>
  <c r="Q24" i="14" s="1"/>
  <c r="P32" i="14"/>
  <c r="P37" i="14"/>
  <c r="Q37" i="14" s="1"/>
  <c r="J37" i="14"/>
  <c r="K37" i="14" s="1"/>
  <c r="Q39" i="14"/>
  <c r="L46" i="14"/>
  <c r="L54" i="14"/>
  <c r="P9" i="14"/>
  <c r="Q9" i="14" s="1"/>
  <c r="P13" i="14"/>
  <c r="Q13" i="14" s="1"/>
  <c r="P15" i="14"/>
  <c r="Q15" i="14" s="1"/>
  <c r="L16" i="14"/>
  <c r="P19" i="14"/>
  <c r="Q19" i="14" s="1"/>
  <c r="P29" i="14"/>
  <c r="Q29" i="14" s="1"/>
  <c r="J29" i="14"/>
  <c r="K29" i="14" s="1"/>
  <c r="P36" i="14"/>
  <c r="Q36" i="14" s="1"/>
  <c r="J36" i="14"/>
  <c r="K36" i="14" s="1"/>
  <c r="L43" i="14"/>
  <c r="P44" i="14"/>
  <c r="Q44" i="14" s="1"/>
  <c r="J44" i="14"/>
  <c r="K44" i="14" s="1"/>
  <c r="L48" i="14"/>
  <c r="L6" i="14"/>
  <c r="P7" i="14"/>
  <c r="Q7" i="14" s="1"/>
  <c r="L10" i="14"/>
  <c r="L15" i="14"/>
  <c r="P18" i="14"/>
  <c r="Q18" i="14" s="1"/>
  <c r="L19" i="14"/>
  <c r="L22" i="14"/>
  <c r="P23" i="14"/>
  <c r="Q23" i="14" s="1"/>
  <c r="J23" i="14"/>
  <c r="L32" i="14"/>
  <c r="P40" i="14"/>
  <c r="Q40" i="14" s="1"/>
  <c r="L9" i="14"/>
  <c r="L13" i="14"/>
  <c r="P17" i="14"/>
  <c r="Q17" i="14" s="1"/>
  <c r="L18" i="14"/>
  <c r="P21" i="14"/>
  <c r="Q21" i="14" s="1"/>
  <c r="P26" i="14"/>
  <c r="K31" i="14"/>
  <c r="K32" i="14"/>
  <c r="L33" i="14"/>
  <c r="P34" i="14"/>
  <c r="Q34" i="14" s="1"/>
  <c r="J34" i="14"/>
  <c r="P38" i="14"/>
  <c r="J38" i="14"/>
  <c r="K39" i="14"/>
  <c r="L52" i="14"/>
  <c r="L36" i="14"/>
  <c r="L38" i="14"/>
  <c r="L44" i="14"/>
  <c r="U40" i="7"/>
  <c r="T40" i="7"/>
  <c r="S40" i="7"/>
  <c r="U39" i="7"/>
  <c r="N40" i="7"/>
  <c r="M40" i="7"/>
  <c r="K39" i="7"/>
  <c r="W22" i="7"/>
  <c r="V21" i="7"/>
  <c r="U21" i="7"/>
  <c r="T21" i="7"/>
  <c r="K22" i="7"/>
  <c r="O21" i="7"/>
  <c r="N21" i="7"/>
  <c r="K21" i="7"/>
  <c r="D40" i="7"/>
  <c r="C40" i="7"/>
  <c r="G22" i="7"/>
  <c r="F22" i="7"/>
  <c r="C22" i="7"/>
  <c r="D21" i="7"/>
  <c r="C21" i="7"/>
  <c r="O38" i="7"/>
  <c r="O39" i="7" s="1"/>
  <c r="N38" i="7"/>
  <c r="N39" i="7" s="1"/>
  <c r="M38" i="7"/>
  <c r="M39" i="7" s="1"/>
  <c r="L38" i="7"/>
  <c r="L40" i="7" s="1"/>
  <c r="K38" i="7"/>
  <c r="K40" i="7" s="1"/>
  <c r="P37" i="7"/>
  <c r="P36" i="7"/>
  <c r="P35" i="7"/>
  <c r="P34" i="7"/>
  <c r="P33" i="7"/>
  <c r="P32" i="7"/>
  <c r="P31" i="7"/>
  <c r="P30" i="7"/>
  <c r="P29" i="7"/>
  <c r="P28" i="7"/>
  <c r="P27" i="7"/>
  <c r="P26" i="7"/>
  <c r="G38" i="7"/>
  <c r="G39" i="7" s="1"/>
  <c r="F38" i="7"/>
  <c r="F39" i="7" s="1"/>
  <c r="E38" i="7"/>
  <c r="E39" i="7" s="1"/>
  <c r="D38" i="7"/>
  <c r="D39" i="7" s="1"/>
  <c r="C38" i="7"/>
  <c r="C39" i="7" s="1"/>
  <c r="H37" i="7"/>
  <c r="H36" i="7"/>
  <c r="H35" i="7"/>
  <c r="H34" i="7"/>
  <c r="H33" i="7"/>
  <c r="H32" i="7"/>
  <c r="H31" i="7"/>
  <c r="H30" i="7"/>
  <c r="H29" i="7"/>
  <c r="H28" i="7"/>
  <c r="H27" i="7"/>
  <c r="H38" i="7" s="1"/>
  <c r="H26" i="7"/>
  <c r="G56" i="7"/>
  <c r="G58" i="7" s="1"/>
  <c r="F56" i="7"/>
  <c r="F58" i="7" s="1"/>
  <c r="E56" i="7"/>
  <c r="E58" i="7" s="1"/>
  <c r="D56" i="7"/>
  <c r="D57" i="7" s="1"/>
  <c r="C56" i="7"/>
  <c r="C58" i="7" s="1"/>
  <c r="H55" i="7"/>
  <c r="H54" i="7"/>
  <c r="H53" i="7"/>
  <c r="H52" i="7"/>
  <c r="H51" i="7"/>
  <c r="H50" i="7"/>
  <c r="H49" i="7"/>
  <c r="H48" i="7"/>
  <c r="H47" i="7"/>
  <c r="H46" i="7"/>
  <c r="H45" i="7"/>
  <c r="H44" i="7"/>
  <c r="W38" i="7"/>
  <c r="W39" i="7" s="1"/>
  <c r="V38" i="7"/>
  <c r="V39" i="7" s="1"/>
  <c r="U38" i="7"/>
  <c r="T38" i="7"/>
  <c r="T39" i="7" s="1"/>
  <c r="S38" i="7"/>
  <c r="S39" i="7" s="1"/>
  <c r="X37" i="7"/>
  <c r="X36" i="7"/>
  <c r="X35" i="7"/>
  <c r="X34" i="7"/>
  <c r="X33" i="7"/>
  <c r="X32" i="7"/>
  <c r="X31" i="7"/>
  <c r="X30" i="7"/>
  <c r="X29" i="7"/>
  <c r="X28" i="7"/>
  <c r="X27" i="7"/>
  <c r="X26" i="7"/>
  <c r="W20" i="7"/>
  <c r="W21" i="7" s="1"/>
  <c r="V20" i="7"/>
  <c r="V22" i="7" s="1"/>
  <c r="U20" i="7"/>
  <c r="U22" i="7" s="1"/>
  <c r="T20" i="7"/>
  <c r="T22" i="7" s="1"/>
  <c r="S20" i="7"/>
  <c r="S21" i="7" s="1"/>
  <c r="X19" i="7"/>
  <c r="X18" i="7"/>
  <c r="X17" i="7"/>
  <c r="X16" i="7"/>
  <c r="X15" i="7"/>
  <c r="X14" i="7"/>
  <c r="X13" i="7"/>
  <c r="X12" i="7"/>
  <c r="X11" i="7"/>
  <c r="X10" i="7"/>
  <c r="X9" i="7"/>
  <c r="X8" i="7"/>
  <c r="O20" i="7"/>
  <c r="O22" i="7" s="1"/>
  <c r="N20" i="7"/>
  <c r="N22" i="7" s="1"/>
  <c r="M20" i="7"/>
  <c r="M21" i="7" s="1"/>
  <c r="L20" i="7"/>
  <c r="L21" i="7" s="1"/>
  <c r="K20" i="7"/>
  <c r="P19" i="7"/>
  <c r="P18" i="7"/>
  <c r="P17" i="7"/>
  <c r="P16" i="7"/>
  <c r="P15" i="7"/>
  <c r="P14" i="7"/>
  <c r="P13" i="7"/>
  <c r="P12" i="7"/>
  <c r="P11" i="7"/>
  <c r="P10" i="7"/>
  <c r="P9" i="7"/>
  <c r="P8" i="7"/>
  <c r="G20" i="7"/>
  <c r="G21" i="7" s="1"/>
  <c r="F20" i="7"/>
  <c r="F21" i="7" s="1"/>
  <c r="E20" i="7"/>
  <c r="E22" i="7" s="1"/>
  <c r="D20" i="7"/>
  <c r="D22" i="7" s="1"/>
  <c r="C20" i="7"/>
  <c r="H19" i="7"/>
  <c r="H18" i="7"/>
  <c r="H17" i="7"/>
  <c r="H16" i="7"/>
  <c r="H15" i="7"/>
  <c r="H14" i="7"/>
  <c r="H13" i="7"/>
  <c r="H12" i="7"/>
  <c r="H11" i="7"/>
  <c r="H10" i="7"/>
  <c r="H9" i="7"/>
  <c r="H8" i="7"/>
  <c r="K40" i="14" l="1"/>
  <c r="L40" i="14"/>
  <c r="P49" i="14"/>
  <c r="Q49" i="14" s="1"/>
  <c r="L4" i="14"/>
  <c r="L24" i="14"/>
  <c r="J41" i="15"/>
  <c r="K41" i="15" s="1"/>
  <c r="X35" i="15"/>
  <c r="J37" i="15"/>
  <c r="K37" i="15" s="1"/>
  <c r="P38" i="7"/>
  <c r="H20" i="7"/>
  <c r="O40" i="7"/>
  <c r="E21" i="7"/>
  <c r="F40" i="7"/>
  <c r="L22" i="7"/>
  <c r="V40" i="7"/>
  <c r="P30" i="14"/>
  <c r="Q30" i="14" s="1"/>
  <c r="J42" i="14"/>
  <c r="P51" i="14"/>
  <c r="Q51" i="14" s="1"/>
  <c r="L50" i="14"/>
  <c r="L52" i="15"/>
  <c r="P11" i="15"/>
  <c r="Q11" i="15" s="1"/>
  <c r="P34" i="15"/>
  <c r="Q34" i="15" s="1"/>
  <c r="L51" i="14"/>
  <c r="E40" i="7"/>
  <c r="H40" i="7" s="1"/>
  <c r="L39" i="7"/>
  <c r="G40" i="7"/>
  <c r="M22" i="7"/>
  <c r="S22" i="7"/>
  <c r="W40" i="7"/>
  <c r="L56" i="14"/>
  <c r="L49" i="14"/>
  <c r="L50" i="15"/>
  <c r="L27" i="15"/>
  <c r="J40" i="15"/>
  <c r="P9" i="15"/>
  <c r="Q9" i="15" s="1"/>
  <c r="L49" i="15"/>
  <c r="P23" i="15"/>
  <c r="Q23" i="15" s="1"/>
  <c r="AE58" i="14"/>
  <c r="J41" i="14"/>
  <c r="P45" i="14"/>
  <c r="Q45" i="14" s="1"/>
  <c r="J31" i="15"/>
  <c r="L31" i="15" s="1"/>
  <c r="L48" i="15"/>
  <c r="P15" i="15"/>
  <c r="Q15" i="15" s="1"/>
  <c r="P16" i="15"/>
  <c r="Q16" i="15" s="1"/>
  <c r="L34" i="15"/>
  <c r="X20" i="7"/>
  <c r="H56" i="7"/>
  <c r="L13" i="15"/>
  <c r="P48" i="15"/>
  <c r="Q48" i="15" s="1"/>
  <c r="P4" i="15"/>
  <c r="Q4" i="15" s="1"/>
  <c r="R26" i="15"/>
  <c r="L43" i="15"/>
  <c r="K11" i="15"/>
  <c r="L11" i="15"/>
  <c r="L33" i="15"/>
  <c r="L42" i="15"/>
  <c r="L10" i="15"/>
  <c r="P17" i="15"/>
  <c r="Q17" i="15" s="1"/>
  <c r="L16" i="15"/>
  <c r="L41" i="15"/>
  <c r="AF77" i="15"/>
  <c r="L47" i="15"/>
  <c r="L4" i="15"/>
  <c r="P53" i="15"/>
  <c r="Q53" i="15" s="1"/>
  <c r="J53" i="15"/>
  <c r="L28" i="15"/>
  <c r="R31" i="15"/>
  <c r="Q31" i="15"/>
  <c r="L24" i="15"/>
  <c r="R38" i="15"/>
  <c r="Q38" i="15"/>
  <c r="AF76" i="15"/>
  <c r="P51" i="15"/>
  <c r="Q51" i="15" s="1"/>
  <c r="J51" i="15"/>
  <c r="P32" i="15"/>
  <c r="J32" i="15"/>
  <c r="L21" i="15"/>
  <c r="P21" i="15"/>
  <c r="Q21" i="15" s="1"/>
  <c r="L9" i="15"/>
  <c r="L5" i="15"/>
  <c r="R39" i="15"/>
  <c r="Q39" i="15"/>
  <c r="P30" i="15"/>
  <c r="P55" i="15"/>
  <c r="Q55" i="15" s="1"/>
  <c r="J55" i="15"/>
  <c r="L30" i="15"/>
  <c r="P24" i="15"/>
  <c r="Q24" i="15" s="1"/>
  <c r="X36" i="15"/>
  <c r="K31" i="15"/>
  <c r="X38" i="15"/>
  <c r="K38" i="15"/>
  <c r="J8" i="15"/>
  <c r="P8" i="15"/>
  <c r="Q8" i="15" s="1"/>
  <c r="P5" i="15"/>
  <c r="Q5" i="15" s="1"/>
  <c r="AE59" i="14"/>
  <c r="P3" i="14"/>
  <c r="Q3" i="14" s="1"/>
  <c r="P25" i="14"/>
  <c r="J25" i="14"/>
  <c r="L11" i="14"/>
  <c r="P53" i="14"/>
  <c r="Q53" i="14" s="1"/>
  <c r="P27" i="14"/>
  <c r="Q27" i="14" s="1"/>
  <c r="J27" i="14"/>
  <c r="P12" i="14"/>
  <c r="Q12" i="14" s="1"/>
  <c r="J12" i="14"/>
  <c r="L37" i="14"/>
  <c r="L29" i="14"/>
  <c r="L20" i="14"/>
  <c r="P20" i="14"/>
  <c r="Q20" i="14" s="1"/>
  <c r="L3" i="14"/>
  <c r="L28" i="14"/>
  <c r="L53" i="14"/>
  <c r="L45" i="14"/>
  <c r="P4" i="14"/>
  <c r="Q4" i="14" s="1"/>
  <c r="P50" i="14"/>
  <c r="Q50" i="14" s="1"/>
  <c r="P35" i="14"/>
  <c r="Q35" i="14" s="1"/>
  <c r="J35" i="14"/>
  <c r="L30" i="14"/>
  <c r="K38" i="14"/>
  <c r="Q38" i="14"/>
  <c r="K26" i="14"/>
  <c r="L26" i="14"/>
  <c r="K34" i="14"/>
  <c r="L34" i="14"/>
  <c r="Q26" i="14"/>
  <c r="K23" i="14"/>
  <c r="L23" i="14"/>
  <c r="Q32" i="14"/>
  <c r="E57" i="7"/>
  <c r="D58" i="7"/>
  <c r="F57" i="7"/>
  <c r="C57" i="7"/>
  <c r="G57" i="7"/>
  <c r="X38" i="7"/>
  <c r="P20" i="7"/>
  <c r="P21" i="7"/>
  <c r="H21" i="7"/>
  <c r="P40" i="7"/>
  <c r="H39" i="7"/>
  <c r="X40" i="7"/>
  <c r="X21" i="7"/>
  <c r="X22" i="7"/>
  <c r="Y18" i="9"/>
  <c r="K41" i="14" l="1"/>
  <c r="L41" i="14"/>
  <c r="L37" i="15"/>
  <c r="K40" i="15"/>
  <c r="L40" i="15"/>
  <c r="K42" i="14"/>
  <c r="L42" i="14"/>
  <c r="R32" i="15"/>
  <c r="Q32" i="15"/>
  <c r="K8" i="15"/>
  <c r="L8" i="15"/>
  <c r="K51" i="15"/>
  <c r="L51" i="15"/>
  <c r="K53" i="15"/>
  <c r="L53" i="15"/>
  <c r="K55" i="15"/>
  <c r="L55" i="15"/>
  <c r="R30" i="15"/>
  <c r="Q30" i="15"/>
  <c r="K32" i="15"/>
  <c r="X37" i="15"/>
  <c r="L32" i="15"/>
  <c r="K27" i="14"/>
  <c r="L27" i="14"/>
  <c r="K35" i="14"/>
  <c r="L35" i="14"/>
  <c r="K12" i="14"/>
  <c r="L12" i="14"/>
  <c r="H58" i="7"/>
  <c r="P22" i="7"/>
  <c r="P39" i="7"/>
  <c r="H57" i="7"/>
  <c r="X39" i="7"/>
  <c r="H22" i="7"/>
  <c r="Z27" i="4"/>
  <c r="Y27" i="4"/>
  <c r="X27" i="4"/>
  <c r="W27" i="4"/>
  <c r="V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W28" i="4" l="1"/>
  <c r="AA27" i="4"/>
  <c r="AA29" i="4" l="1"/>
  <c r="AC47" i="4" s="1"/>
  <c r="AA28" i="4"/>
  <c r="AC46" i="4" s="1"/>
  <c r="U57" i="13"/>
  <c r="AC56" i="13"/>
  <c r="AC58" i="13" s="1"/>
  <c r="AB56" i="13"/>
  <c r="AB57" i="13" s="1"/>
  <c r="AA56" i="13"/>
  <c r="AA57" i="13" s="1"/>
  <c r="Z56" i="13"/>
  <c r="Z58" i="13" s="1"/>
  <c r="Y56" i="13"/>
  <c r="Y58" i="13" s="1"/>
  <c r="P56" i="13"/>
  <c r="R56" i="13" s="1"/>
  <c r="O56" i="13"/>
  <c r="H56" i="13"/>
  <c r="I56" i="13" s="1"/>
  <c r="E56" i="13"/>
  <c r="AD55" i="13"/>
  <c r="R55" i="13"/>
  <c r="P55" i="13"/>
  <c r="O55" i="13"/>
  <c r="H55" i="13"/>
  <c r="E55" i="13"/>
  <c r="I55" i="13" s="1"/>
  <c r="J55" i="13" s="1"/>
  <c r="K55" i="13" s="1"/>
  <c r="AD54" i="13"/>
  <c r="P54" i="13"/>
  <c r="R54" i="13" s="1"/>
  <c r="O54" i="13"/>
  <c r="H54" i="13"/>
  <c r="E54" i="13"/>
  <c r="AD53" i="13"/>
  <c r="P53" i="13"/>
  <c r="R53" i="13" s="1"/>
  <c r="O53" i="13"/>
  <c r="H53" i="13"/>
  <c r="I53" i="13" s="1"/>
  <c r="J53" i="13" s="1"/>
  <c r="K53" i="13" s="1"/>
  <c r="E53" i="13"/>
  <c r="AD52" i="13"/>
  <c r="P52" i="13"/>
  <c r="R52" i="13" s="1"/>
  <c r="O52" i="13"/>
  <c r="H52" i="13"/>
  <c r="E52" i="13"/>
  <c r="AD51" i="13"/>
  <c r="P51" i="13"/>
  <c r="R51" i="13" s="1"/>
  <c r="O51" i="13"/>
  <c r="H51" i="13"/>
  <c r="E51" i="13"/>
  <c r="AD50" i="13"/>
  <c r="P50" i="13"/>
  <c r="R50" i="13" s="1"/>
  <c r="O50" i="13"/>
  <c r="H50" i="13"/>
  <c r="E50" i="13"/>
  <c r="AD49" i="13"/>
  <c r="R49" i="13"/>
  <c r="P49" i="13"/>
  <c r="O49" i="13"/>
  <c r="I49" i="13"/>
  <c r="J49" i="13" s="1"/>
  <c r="K49" i="13" s="1"/>
  <c r="H49" i="13"/>
  <c r="E49" i="13"/>
  <c r="AD48" i="13"/>
  <c r="P48" i="13"/>
  <c r="R48" i="13" s="1"/>
  <c r="O48" i="13"/>
  <c r="H48" i="13"/>
  <c r="E48" i="13"/>
  <c r="AD47" i="13"/>
  <c r="P47" i="13"/>
  <c r="R47" i="13" s="1"/>
  <c r="O47" i="13"/>
  <c r="S47" i="13" s="1"/>
  <c r="H47" i="13"/>
  <c r="E47" i="13"/>
  <c r="I47" i="13" s="1"/>
  <c r="J47" i="13" s="1"/>
  <c r="K47" i="13" s="1"/>
  <c r="AD46" i="13"/>
  <c r="P46" i="13"/>
  <c r="R46" i="13" s="1"/>
  <c r="O46" i="13"/>
  <c r="H46" i="13"/>
  <c r="E46" i="13"/>
  <c r="AD45" i="13"/>
  <c r="P45" i="13"/>
  <c r="R45" i="13" s="1"/>
  <c r="O45" i="13"/>
  <c r="H45" i="13"/>
  <c r="I45" i="13" s="1"/>
  <c r="J45" i="13" s="1"/>
  <c r="K45" i="13" s="1"/>
  <c r="E45" i="13"/>
  <c r="AD44" i="13"/>
  <c r="P44" i="13"/>
  <c r="R44" i="13" s="1"/>
  <c r="O44" i="13"/>
  <c r="H44" i="13"/>
  <c r="I44" i="13" s="1"/>
  <c r="E44" i="13"/>
  <c r="P43" i="13"/>
  <c r="R43" i="13" s="1"/>
  <c r="O43" i="13"/>
  <c r="H43" i="13"/>
  <c r="E43" i="13"/>
  <c r="P42" i="13"/>
  <c r="R42" i="13" s="1"/>
  <c r="O42" i="13"/>
  <c r="H42" i="13"/>
  <c r="I42" i="13" s="1"/>
  <c r="E42" i="13"/>
  <c r="P41" i="13"/>
  <c r="R41" i="13" s="1"/>
  <c r="O41" i="13"/>
  <c r="H41" i="13"/>
  <c r="E41" i="13"/>
  <c r="P40" i="13"/>
  <c r="R40" i="13" s="1"/>
  <c r="O40" i="13"/>
  <c r="H40" i="13"/>
  <c r="I40" i="13" s="1"/>
  <c r="E40" i="13"/>
  <c r="P39" i="13"/>
  <c r="R39" i="13" s="1"/>
  <c r="O39" i="13"/>
  <c r="H39" i="13"/>
  <c r="E39" i="13"/>
  <c r="P38" i="13"/>
  <c r="R38" i="13" s="1"/>
  <c r="O38" i="13"/>
  <c r="H38" i="13"/>
  <c r="I38" i="13" s="1"/>
  <c r="E38" i="13"/>
  <c r="P37" i="13"/>
  <c r="R37" i="13" s="1"/>
  <c r="O37" i="13"/>
  <c r="H37" i="13"/>
  <c r="E37" i="13"/>
  <c r="P36" i="13"/>
  <c r="R36" i="13" s="1"/>
  <c r="O36" i="13"/>
  <c r="H36" i="13"/>
  <c r="E36" i="13"/>
  <c r="I36" i="13" s="1"/>
  <c r="J36" i="13" s="1"/>
  <c r="K36" i="13" s="1"/>
  <c r="P35" i="13"/>
  <c r="R35" i="13" s="1"/>
  <c r="O35" i="13"/>
  <c r="H35" i="13"/>
  <c r="E35" i="13"/>
  <c r="Z34" i="13"/>
  <c r="P34" i="13"/>
  <c r="R34" i="13" s="1"/>
  <c r="O34" i="13"/>
  <c r="H34" i="13"/>
  <c r="E34" i="13"/>
  <c r="R33" i="13"/>
  <c r="P33" i="13"/>
  <c r="O33" i="13"/>
  <c r="H33" i="13"/>
  <c r="E33" i="13"/>
  <c r="R32" i="13"/>
  <c r="P32" i="13"/>
  <c r="O32" i="13"/>
  <c r="H32" i="13"/>
  <c r="E32" i="13"/>
  <c r="R31" i="13"/>
  <c r="P31" i="13"/>
  <c r="O31" i="13"/>
  <c r="H31" i="13"/>
  <c r="E31" i="13"/>
  <c r="R30" i="13"/>
  <c r="P30" i="13"/>
  <c r="O30" i="13"/>
  <c r="H30" i="13"/>
  <c r="E30" i="13"/>
  <c r="R29" i="13"/>
  <c r="P29" i="13"/>
  <c r="O29" i="13"/>
  <c r="H29" i="13"/>
  <c r="E29" i="13"/>
  <c r="R28" i="13"/>
  <c r="P28" i="13"/>
  <c r="O28" i="13"/>
  <c r="H28" i="13"/>
  <c r="E28" i="13"/>
  <c r="P27" i="13"/>
  <c r="R27" i="13" s="1"/>
  <c r="O27" i="13"/>
  <c r="H27" i="13"/>
  <c r="E27" i="13"/>
  <c r="P26" i="13"/>
  <c r="R26" i="13" s="1"/>
  <c r="O26" i="13"/>
  <c r="H26" i="13"/>
  <c r="E26" i="13"/>
  <c r="I26" i="13" s="1"/>
  <c r="J26" i="13" s="1"/>
  <c r="K26" i="13" s="1"/>
  <c r="R25" i="13"/>
  <c r="O25" i="13"/>
  <c r="H25" i="13"/>
  <c r="K25" i="13" s="1"/>
  <c r="E25" i="13"/>
  <c r="P24" i="13"/>
  <c r="R24" i="13" s="1"/>
  <c r="O24" i="13"/>
  <c r="I24" i="13"/>
  <c r="J24" i="13" s="1"/>
  <c r="K24" i="13" s="1"/>
  <c r="H24" i="13"/>
  <c r="E24" i="13"/>
  <c r="R23" i="13"/>
  <c r="P23" i="13"/>
  <c r="O23" i="13"/>
  <c r="I23" i="13"/>
  <c r="J23" i="13" s="1"/>
  <c r="K23" i="13" s="1"/>
  <c r="H23" i="13"/>
  <c r="E23" i="13"/>
  <c r="R22" i="13"/>
  <c r="P22" i="13"/>
  <c r="O22" i="13"/>
  <c r="H22" i="13"/>
  <c r="E22" i="13"/>
  <c r="I22" i="13" s="1"/>
  <c r="J22" i="13" s="1"/>
  <c r="K22" i="13" s="1"/>
  <c r="R21" i="13"/>
  <c r="P21" i="13"/>
  <c r="O21" i="13"/>
  <c r="H21" i="13"/>
  <c r="I21" i="13" s="1"/>
  <c r="J21" i="13" s="1"/>
  <c r="K21" i="13" s="1"/>
  <c r="E21" i="13"/>
  <c r="P20" i="13"/>
  <c r="R20" i="13" s="1"/>
  <c r="O20" i="13"/>
  <c r="H20" i="13"/>
  <c r="E20" i="13"/>
  <c r="P19" i="13"/>
  <c r="R19" i="13" s="1"/>
  <c r="O19" i="13"/>
  <c r="H19" i="13"/>
  <c r="E19" i="13"/>
  <c r="I19" i="13" s="1"/>
  <c r="J19" i="13" s="1"/>
  <c r="K19" i="13" s="1"/>
  <c r="R18" i="13"/>
  <c r="P18" i="13"/>
  <c r="O18" i="13"/>
  <c r="H18" i="13"/>
  <c r="E18" i="13"/>
  <c r="I18" i="13" s="1"/>
  <c r="J18" i="13" s="1"/>
  <c r="K18" i="13" s="1"/>
  <c r="R17" i="13"/>
  <c r="P17" i="13"/>
  <c r="O17" i="13"/>
  <c r="H17" i="13"/>
  <c r="E17" i="13"/>
  <c r="R16" i="13"/>
  <c r="P16" i="13"/>
  <c r="O16" i="13"/>
  <c r="H16" i="13"/>
  <c r="I16" i="13" s="1"/>
  <c r="J16" i="13" s="1"/>
  <c r="K16" i="13" s="1"/>
  <c r="E16" i="13"/>
  <c r="R15" i="13"/>
  <c r="P15" i="13"/>
  <c r="O15" i="13"/>
  <c r="H15" i="13"/>
  <c r="E15" i="13"/>
  <c r="R14" i="13"/>
  <c r="O14" i="13"/>
  <c r="H14" i="13"/>
  <c r="K14" i="13" s="1"/>
  <c r="E14" i="13"/>
  <c r="P13" i="13"/>
  <c r="R13" i="13" s="1"/>
  <c r="O13" i="13"/>
  <c r="H13" i="13"/>
  <c r="I13" i="13" s="1"/>
  <c r="E13" i="13"/>
  <c r="P12" i="13"/>
  <c r="R12" i="13" s="1"/>
  <c r="O12" i="13"/>
  <c r="H12" i="13"/>
  <c r="I12" i="13" s="1"/>
  <c r="E12" i="13"/>
  <c r="P11" i="13"/>
  <c r="R11" i="13" s="1"/>
  <c r="O11" i="13"/>
  <c r="H11" i="13"/>
  <c r="I11" i="13" s="1"/>
  <c r="E11" i="13"/>
  <c r="P10" i="13"/>
  <c r="R10" i="13" s="1"/>
  <c r="O10" i="13"/>
  <c r="H10" i="13"/>
  <c r="I10" i="13" s="1"/>
  <c r="E10" i="13"/>
  <c r="P9" i="13"/>
  <c r="R9" i="13" s="1"/>
  <c r="O9" i="13"/>
  <c r="H9" i="13"/>
  <c r="I9" i="13" s="1"/>
  <c r="E9" i="13"/>
  <c r="P8" i="13"/>
  <c r="R8" i="13" s="1"/>
  <c r="O8" i="13"/>
  <c r="H8" i="13"/>
  <c r="I8" i="13" s="1"/>
  <c r="E8" i="13"/>
  <c r="P7" i="13"/>
  <c r="R7" i="13" s="1"/>
  <c r="O7" i="13"/>
  <c r="H7" i="13"/>
  <c r="I7" i="13" s="1"/>
  <c r="E7" i="13"/>
  <c r="P6" i="13"/>
  <c r="R6" i="13" s="1"/>
  <c r="O6" i="13"/>
  <c r="H6" i="13"/>
  <c r="I6" i="13" s="1"/>
  <c r="E6" i="13"/>
  <c r="P5" i="13"/>
  <c r="R5" i="13" s="1"/>
  <c r="O5" i="13"/>
  <c r="H5" i="13"/>
  <c r="I5" i="13" s="1"/>
  <c r="J5" i="13" s="1"/>
  <c r="K5" i="13" s="1"/>
  <c r="E5" i="13"/>
  <c r="P4" i="13"/>
  <c r="R4" i="13" s="1"/>
  <c r="O4" i="13"/>
  <c r="S4" i="13" s="1"/>
  <c r="J4" i="13"/>
  <c r="K4" i="13" s="1"/>
  <c r="I4" i="13"/>
  <c r="H4" i="13"/>
  <c r="E4" i="13"/>
  <c r="P3" i="13"/>
  <c r="R3" i="13" s="1"/>
  <c r="O3" i="13"/>
  <c r="H3" i="13"/>
  <c r="I3" i="13" s="1"/>
  <c r="J3" i="13" s="1"/>
  <c r="E3" i="13"/>
  <c r="Z34" i="12"/>
  <c r="U57" i="12"/>
  <c r="AC56" i="12"/>
  <c r="AC57" i="12" s="1"/>
  <c r="AB56" i="12"/>
  <c r="AB57" i="12" s="1"/>
  <c r="AA56" i="12"/>
  <c r="AA57" i="12" s="1"/>
  <c r="Z56" i="12"/>
  <c r="Z57" i="12" s="1"/>
  <c r="Y56" i="12"/>
  <c r="Y57" i="12" s="1"/>
  <c r="P56" i="12"/>
  <c r="R56" i="12" s="1"/>
  <c r="O56" i="12"/>
  <c r="H56" i="12"/>
  <c r="E56" i="12"/>
  <c r="I56" i="12" s="1"/>
  <c r="J56" i="12" s="1"/>
  <c r="K56" i="12" s="1"/>
  <c r="AD55" i="12"/>
  <c r="P55" i="12"/>
  <c r="R55" i="12" s="1"/>
  <c r="O55" i="12"/>
  <c r="H55" i="12"/>
  <c r="E55" i="12"/>
  <c r="AD54" i="12"/>
  <c r="P54" i="12"/>
  <c r="R54" i="12" s="1"/>
  <c r="O54" i="12"/>
  <c r="H54" i="12"/>
  <c r="E54" i="12"/>
  <c r="AD53" i="12"/>
  <c r="P53" i="12"/>
  <c r="R53" i="12" s="1"/>
  <c r="O53" i="12"/>
  <c r="H53" i="12"/>
  <c r="E53" i="12"/>
  <c r="AD52" i="12"/>
  <c r="P52" i="12"/>
  <c r="R52" i="12" s="1"/>
  <c r="O52" i="12"/>
  <c r="H52" i="12"/>
  <c r="E52" i="12"/>
  <c r="AD51" i="12"/>
  <c r="P51" i="12"/>
  <c r="R51" i="12" s="1"/>
  <c r="O51" i="12"/>
  <c r="H51" i="12"/>
  <c r="E51" i="12"/>
  <c r="AD50" i="12"/>
  <c r="P50" i="12"/>
  <c r="R50" i="12" s="1"/>
  <c r="O50" i="12"/>
  <c r="H50" i="12"/>
  <c r="E50" i="12"/>
  <c r="AD49" i="12"/>
  <c r="P49" i="12"/>
  <c r="R49" i="12" s="1"/>
  <c r="O49" i="12"/>
  <c r="H49" i="12"/>
  <c r="E49" i="12"/>
  <c r="AD48" i="12"/>
  <c r="P48" i="12"/>
  <c r="R48" i="12" s="1"/>
  <c r="O48" i="12"/>
  <c r="H48" i="12"/>
  <c r="E48" i="12"/>
  <c r="AD47" i="12"/>
  <c r="P47" i="12"/>
  <c r="R47" i="12" s="1"/>
  <c r="O47" i="12"/>
  <c r="H47" i="12"/>
  <c r="E47" i="12"/>
  <c r="AD46" i="12"/>
  <c r="P46" i="12"/>
  <c r="R46" i="12" s="1"/>
  <c r="O46" i="12"/>
  <c r="H46" i="12"/>
  <c r="E46" i="12"/>
  <c r="AD45" i="12"/>
  <c r="R45" i="12"/>
  <c r="P45" i="12"/>
  <c r="O45" i="12"/>
  <c r="H45" i="12"/>
  <c r="E45" i="12"/>
  <c r="AD44" i="12"/>
  <c r="P44" i="12"/>
  <c r="R44" i="12" s="1"/>
  <c r="O44" i="12"/>
  <c r="I44" i="12"/>
  <c r="J44" i="12" s="1"/>
  <c r="K44" i="12" s="1"/>
  <c r="H44" i="12"/>
  <c r="E44" i="12"/>
  <c r="P43" i="12"/>
  <c r="R43" i="12" s="1"/>
  <c r="O43" i="12"/>
  <c r="H43" i="12"/>
  <c r="E43" i="12"/>
  <c r="P42" i="12"/>
  <c r="R42" i="12" s="1"/>
  <c r="O42" i="12"/>
  <c r="H42" i="12"/>
  <c r="E42" i="12"/>
  <c r="P41" i="12"/>
  <c r="R41" i="12" s="1"/>
  <c r="O41" i="12"/>
  <c r="H41" i="12"/>
  <c r="E41" i="12"/>
  <c r="P40" i="12"/>
  <c r="R40" i="12" s="1"/>
  <c r="O40" i="12"/>
  <c r="H40" i="12"/>
  <c r="E40" i="12"/>
  <c r="I40" i="12" s="1"/>
  <c r="J40" i="12" s="1"/>
  <c r="K40" i="12" s="1"/>
  <c r="P39" i="12"/>
  <c r="R39" i="12" s="1"/>
  <c r="O39" i="12"/>
  <c r="H39" i="12"/>
  <c r="I39" i="12" s="1"/>
  <c r="J39" i="12" s="1"/>
  <c r="K39" i="12" s="1"/>
  <c r="E39" i="12"/>
  <c r="P38" i="12"/>
  <c r="R38" i="12" s="1"/>
  <c r="O38" i="12"/>
  <c r="H38" i="12"/>
  <c r="E38" i="12"/>
  <c r="R37" i="12"/>
  <c r="P37" i="12"/>
  <c r="O37" i="12"/>
  <c r="H37" i="12"/>
  <c r="E37" i="12"/>
  <c r="P36" i="12"/>
  <c r="R36" i="12" s="1"/>
  <c r="O36" i="12"/>
  <c r="H36" i="12"/>
  <c r="E36" i="12"/>
  <c r="P35" i="12"/>
  <c r="R35" i="12" s="1"/>
  <c r="O35" i="12"/>
  <c r="H35" i="12"/>
  <c r="E35" i="12"/>
  <c r="P34" i="12"/>
  <c r="R34" i="12" s="1"/>
  <c r="O34" i="12"/>
  <c r="H34" i="12"/>
  <c r="E34" i="12"/>
  <c r="R33" i="12"/>
  <c r="P33" i="12"/>
  <c r="O33" i="12"/>
  <c r="H33" i="12"/>
  <c r="E33" i="12"/>
  <c r="P32" i="12"/>
  <c r="R32" i="12" s="1"/>
  <c r="O32" i="12"/>
  <c r="H32" i="12"/>
  <c r="E32" i="12"/>
  <c r="P31" i="12"/>
  <c r="R31" i="12" s="1"/>
  <c r="O31" i="12"/>
  <c r="H31" i="12"/>
  <c r="E31" i="12"/>
  <c r="I31" i="12" s="1"/>
  <c r="J31" i="12" s="1"/>
  <c r="K31" i="12" s="1"/>
  <c r="P30" i="12"/>
  <c r="R30" i="12" s="1"/>
  <c r="O30" i="12"/>
  <c r="H30" i="12"/>
  <c r="E30" i="12"/>
  <c r="R29" i="12"/>
  <c r="P29" i="12"/>
  <c r="O29" i="12"/>
  <c r="H29" i="12"/>
  <c r="E29" i="12"/>
  <c r="P28" i="12"/>
  <c r="R28" i="12" s="1"/>
  <c r="O28" i="12"/>
  <c r="H28" i="12"/>
  <c r="E28" i="12"/>
  <c r="I28" i="12" s="1"/>
  <c r="J28" i="12" s="1"/>
  <c r="K28" i="12" s="1"/>
  <c r="P27" i="12"/>
  <c r="R27" i="12" s="1"/>
  <c r="O27" i="12"/>
  <c r="H27" i="12"/>
  <c r="I27" i="12" s="1"/>
  <c r="E27" i="12"/>
  <c r="P26" i="12"/>
  <c r="R26" i="12" s="1"/>
  <c r="O26" i="12"/>
  <c r="H26" i="12"/>
  <c r="E26" i="12"/>
  <c r="R25" i="12"/>
  <c r="O25" i="12"/>
  <c r="K25" i="12"/>
  <c r="H25" i="12"/>
  <c r="E25" i="12"/>
  <c r="I25" i="12" s="1"/>
  <c r="P24" i="12"/>
  <c r="R24" i="12" s="1"/>
  <c r="O24" i="12"/>
  <c r="H24" i="12"/>
  <c r="I24" i="12" s="1"/>
  <c r="J24" i="12" s="1"/>
  <c r="K24" i="12" s="1"/>
  <c r="E24" i="12"/>
  <c r="R23" i="12"/>
  <c r="P23" i="12"/>
  <c r="O23" i="12"/>
  <c r="H23" i="12"/>
  <c r="E23" i="12"/>
  <c r="P22" i="12"/>
  <c r="R22" i="12" s="1"/>
  <c r="O22" i="12"/>
  <c r="H22" i="12"/>
  <c r="E22" i="12"/>
  <c r="R21" i="12"/>
  <c r="P21" i="12"/>
  <c r="O21" i="12"/>
  <c r="H21" i="12"/>
  <c r="E21" i="12"/>
  <c r="I21" i="12" s="1"/>
  <c r="J21" i="12" s="1"/>
  <c r="K21" i="12" s="1"/>
  <c r="P20" i="12"/>
  <c r="R20" i="12" s="1"/>
  <c r="O20" i="12"/>
  <c r="H20" i="12"/>
  <c r="I20" i="12" s="1"/>
  <c r="J20" i="12" s="1"/>
  <c r="K20" i="12" s="1"/>
  <c r="E20" i="12"/>
  <c r="P19" i="12"/>
  <c r="R19" i="12" s="1"/>
  <c r="O19" i="12"/>
  <c r="H19" i="12"/>
  <c r="E19" i="12"/>
  <c r="P18" i="12"/>
  <c r="R18" i="12" s="1"/>
  <c r="O18" i="12"/>
  <c r="H18" i="12"/>
  <c r="I18" i="12" s="1"/>
  <c r="J18" i="12" s="1"/>
  <c r="K18" i="12" s="1"/>
  <c r="E18" i="12"/>
  <c r="R17" i="12"/>
  <c r="P17" i="12"/>
  <c r="O17" i="12"/>
  <c r="H17" i="12"/>
  <c r="E17" i="12"/>
  <c r="P16" i="12"/>
  <c r="R16" i="12" s="1"/>
  <c r="O16" i="12"/>
  <c r="H16" i="12"/>
  <c r="E16" i="12"/>
  <c r="P15" i="12"/>
  <c r="R15" i="12" s="1"/>
  <c r="O15" i="12"/>
  <c r="H15" i="12"/>
  <c r="E15" i="12"/>
  <c r="I15" i="12" s="1"/>
  <c r="J15" i="12" s="1"/>
  <c r="K15" i="12" s="1"/>
  <c r="R14" i="12"/>
  <c r="O14" i="12"/>
  <c r="H14" i="12"/>
  <c r="K14" i="12" s="1"/>
  <c r="E14" i="12"/>
  <c r="P13" i="12"/>
  <c r="R13" i="12" s="1"/>
  <c r="O13" i="12"/>
  <c r="H13" i="12"/>
  <c r="E13" i="12"/>
  <c r="R12" i="12"/>
  <c r="P12" i="12"/>
  <c r="O12" i="12"/>
  <c r="H12" i="12"/>
  <c r="E12" i="12"/>
  <c r="P11" i="12"/>
  <c r="R11" i="12" s="1"/>
  <c r="O11" i="12"/>
  <c r="H11" i="12"/>
  <c r="E11" i="12"/>
  <c r="P10" i="12"/>
  <c r="R10" i="12" s="1"/>
  <c r="O10" i="12"/>
  <c r="H10" i="12"/>
  <c r="E10" i="12"/>
  <c r="P9" i="12"/>
  <c r="R9" i="12" s="1"/>
  <c r="O9" i="12"/>
  <c r="H9" i="12"/>
  <c r="E9" i="12"/>
  <c r="R8" i="12"/>
  <c r="P8" i="12"/>
  <c r="O8" i="12"/>
  <c r="H8" i="12"/>
  <c r="E8" i="12"/>
  <c r="P7" i="12"/>
  <c r="R7" i="12" s="1"/>
  <c r="O7" i="12"/>
  <c r="H7" i="12"/>
  <c r="E7" i="12"/>
  <c r="P6" i="12"/>
  <c r="R6" i="12" s="1"/>
  <c r="O6" i="12"/>
  <c r="H6" i="12"/>
  <c r="E6" i="12"/>
  <c r="P5" i="12"/>
  <c r="R5" i="12" s="1"/>
  <c r="O5" i="12"/>
  <c r="H5" i="12"/>
  <c r="E5" i="12"/>
  <c r="R4" i="12"/>
  <c r="P4" i="12"/>
  <c r="O4" i="12"/>
  <c r="H4" i="12"/>
  <c r="E4" i="12"/>
  <c r="P3" i="12"/>
  <c r="R3" i="12" s="1"/>
  <c r="O3" i="12"/>
  <c r="H3" i="12"/>
  <c r="E3" i="12"/>
  <c r="I47" i="12" l="1"/>
  <c r="J47" i="12" s="1"/>
  <c r="K47" i="12" s="1"/>
  <c r="I14" i="13"/>
  <c r="I17" i="13"/>
  <c r="J17" i="13" s="1"/>
  <c r="K17" i="13" s="1"/>
  <c r="I35" i="13"/>
  <c r="J35" i="13" s="1"/>
  <c r="K35" i="13" s="1"/>
  <c r="I23" i="12"/>
  <c r="J23" i="12" s="1"/>
  <c r="K23" i="12" s="1"/>
  <c r="I52" i="12"/>
  <c r="J52" i="12" s="1"/>
  <c r="K52" i="12" s="1"/>
  <c r="I55" i="12"/>
  <c r="J55" i="12" s="1"/>
  <c r="K55" i="12" s="1"/>
  <c r="I29" i="13"/>
  <c r="J29" i="13" s="1"/>
  <c r="K29" i="13" s="1"/>
  <c r="S36" i="13"/>
  <c r="L47" i="13"/>
  <c r="T47" i="13"/>
  <c r="U47" i="13" s="1"/>
  <c r="I16" i="12"/>
  <c r="J16" i="12" s="1"/>
  <c r="K16" i="12" s="1"/>
  <c r="I41" i="12"/>
  <c r="J41" i="12" s="1"/>
  <c r="K41" i="12" s="1"/>
  <c r="I43" i="12"/>
  <c r="J43" i="12" s="1"/>
  <c r="K43" i="12" s="1"/>
  <c r="I49" i="12"/>
  <c r="J49" i="12" s="1"/>
  <c r="K49" i="12" s="1"/>
  <c r="I29" i="12"/>
  <c r="J29" i="12" s="1"/>
  <c r="K29" i="12" s="1"/>
  <c r="S3" i="13"/>
  <c r="I15" i="13"/>
  <c r="J15" i="13" s="1"/>
  <c r="K15" i="13" s="1"/>
  <c r="I28" i="13"/>
  <c r="J28" i="13" s="1"/>
  <c r="K28" i="13" s="1"/>
  <c r="I37" i="13"/>
  <c r="J37" i="13" s="1"/>
  <c r="I39" i="13"/>
  <c r="I41" i="13"/>
  <c r="I43" i="13"/>
  <c r="S16" i="13"/>
  <c r="T16" i="13" s="1"/>
  <c r="U16" i="13" s="1"/>
  <c r="S53" i="13"/>
  <c r="T53" i="13" s="1"/>
  <c r="U53" i="13" s="1"/>
  <c r="L16" i="13"/>
  <c r="I13" i="12"/>
  <c r="S13" i="12" s="1"/>
  <c r="I17" i="12"/>
  <c r="J17" i="12" s="1"/>
  <c r="K17" i="12" s="1"/>
  <c r="I22" i="12"/>
  <c r="J22" i="12" s="1"/>
  <c r="K22" i="12" s="1"/>
  <c r="I42" i="12"/>
  <c r="J42" i="12" s="1"/>
  <c r="K42" i="12" s="1"/>
  <c r="I48" i="12"/>
  <c r="J48" i="12" s="1"/>
  <c r="K48" i="12" s="1"/>
  <c r="I25" i="13"/>
  <c r="L36" i="13"/>
  <c r="S49" i="13"/>
  <c r="T49" i="13" s="1"/>
  <c r="U49" i="13" s="1"/>
  <c r="I52" i="13"/>
  <c r="L29" i="13"/>
  <c r="I19" i="12"/>
  <c r="J19" i="12" s="1"/>
  <c r="K19" i="12" s="1"/>
  <c r="L4" i="13"/>
  <c r="I20" i="13"/>
  <c r="J20" i="13" s="1"/>
  <c r="K20" i="13" s="1"/>
  <c r="I27" i="13"/>
  <c r="J27" i="13" s="1"/>
  <c r="K27" i="13" s="1"/>
  <c r="S45" i="13"/>
  <c r="T45" i="13" s="1"/>
  <c r="U45" i="13" s="1"/>
  <c r="I48" i="13"/>
  <c r="J48" i="13" s="1"/>
  <c r="I51" i="13"/>
  <c r="J51" i="13" s="1"/>
  <c r="K51" i="13" s="1"/>
  <c r="AD56" i="13"/>
  <c r="L3" i="13"/>
  <c r="T4" i="13"/>
  <c r="U4" i="13" s="1"/>
  <c r="S5" i="13"/>
  <c r="T5" i="13" s="1"/>
  <c r="U5" i="13" s="1"/>
  <c r="K3" i="13"/>
  <c r="T3" i="13"/>
  <c r="U3" i="13" s="1"/>
  <c r="J6" i="13"/>
  <c r="K6" i="13" s="1"/>
  <c r="S6" i="13"/>
  <c r="T6" i="13" s="1"/>
  <c r="U6" i="13" s="1"/>
  <c r="J7" i="13"/>
  <c r="K7" i="13" s="1"/>
  <c r="S7" i="13"/>
  <c r="T7" i="13" s="1"/>
  <c r="U7" i="13" s="1"/>
  <c r="J8" i="13"/>
  <c r="K8" i="13" s="1"/>
  <c r="S8" i="13"/>
  <c r="T8" i="13" s="1"/>
  <c r="U8" i="13" s="1"/>
  <c r="J9" i="13"/>
  <c r="K9" i="13" s="1"/>
  <c r="S9" i="13"/>
  <c r="T9" i="13" s="1"/>
  <c r="U9" i="13" s="1"/>
  <c r="J10" i="13"/>
  <c r="K10" i="13" s="1"/>
  <c r="S10" i="13"/>
  <c r="T10" i="13" s="1"/>
  <c r="U10" i="13" s="1"/>
  <c r="J11" i="13"/>
  <c r="K11" i="13" s="1"/>
  <c r="S11" i="13"/>
  <c r="T11" i="13" s="1"/>
  <c r="U11" i="13" s="1"/>
  <c r="J12" i="13"/>
  <c r="K12" i="13" s="1"/>
  <c r="S12" i="13"/>
  <c r="T12" i="13" s="1"/>
  <c r="U12" i="13" s="1"/>
  <c r="J13" i="13"/>
  <c r="K13" i="13" s="1"/>
  <c r="S13" i="13"/>
  <c r="T13" i="13" s="1"/>
  <c r="U13" i="13" s="1"/>
  <c r="L19" i="13"/>
  <c r="L20" i="13"/>
  <c r="L21" i="13"/>
  <c r="L22" i="13"/>
  <c r="L23" i="13"/>
  <c r="L24" i="13"/>
  <c r="S28" i="13"/>
  <c r="T28" i="13" s="1"/>
  <c r="U28" i="13" s="1"/>
  <c r="J52" i="13"/>
  <c r="K52" i="13" s="1"/>
  <c r="S52" i="13"/>
  <c r="T52" i="13" s="1"/>
  <c r="U52" i="13" s="1"/>
  <c r="L5" i="13"/>
  <c r="L6" i="13"/>
  <c r="L9" i="13"/>
  <c r="L10" i="13"/>
  <c r="L13" i="13"/>
  <c r="L15" i="13"/>
  <c r="S15" i="13"/>
  <c r="T15" i="13" s="1"/>
  <c r="U15" i="13" s="1"/>
  <c r="L17" i="13"/>
  <c r="S17" i="13"/>
  <c r="T17" i="13" s="1"/>
  <c r="U17" i="13" s="1"/>
  <c r="S26" i="13"/>
  <c r="T26" i="13" s="1"/>
  <c r="U26" i="13" s="1"/>
  <c r="S27" i="13"/>
  <c r="T27" i="13" s="1"/>
  <c r="U27" i="13" s="1"/>
  <c r="S48" i="13"/>
  <c r="T48" i="13" s="1"/>
  <c r="U48" i="13" s="1"/>
  <c r="L53" i="13"/>
  <c r="L55" i="13"/>
  <c r="L26" i="13"/>
  <c r="L27" i="13"/>
  <c r="L28" i="13"/>
  <c r="J38" i="13"/>
  <c r="K38" i="13" s="1"/>
  <c r="S38" i="13"/>
  <c r="T38" i="13" s="1"/>
  <c r="U38" i="13" s="1"/>
  <c r="J39" i="13"/>
  <c r="K39" i="13" s="1"/>
  <c r="S39" i="13"/>
  <c r="T39" i="13" s="1"/>
  <c r="U39" i="13" s="1"/>
  <c r="J40" i="13"/>
  <c r="K40" i="13" s="1"/>
  <c r="S40" i="13"/>
  <c r="T40" i="13" s="1"/>
  <c r="U40" i="13" s="1"/>
  <c r="J41" i="13"/>
  <c r="K41" i="13" s="1"/>
  <c r="S41" i="13"/>
  <c r="T41" i="13" s="1"/>
  <c r="U41" i="13" s="1"/>
  <c r="J42" i="13"/>
  <c r="K42" i="13" s="1"/>
  <c r="S42" i="13"/>
  <c r="T42" i="13" s="1"/>
  <c r="U42" i="13" s="1"/>
  <c r="J43" i="13"/>
  <c r="K43" i="13" s="1"/>
  <c r="S43" i="13"/>
  <c r="T43" i="13" s="1"/>
  <c r="U43" i="13" s="1"/>
  <c r="J44" i="13"/>
  <c r="K44" i="13" s="1"/>
  <c r="S44" i="13"/>
  <c r="T44" i="13" s="1"/>
  <c r="U44" i="13" s="1"/>
  <c r="L49" i="13"/>
  <c r="L51" i="13"/>
  <c r="S55" i="13"/>
  <c r="T55" i="13" s="1"/>
  <c r="U55" i="13" s="1"/>
  <c r="L18" i="13"/>
  <c r="S18" i="13"/>
  <c r="T18" i="13" s="1"/>
  <c r="U18" i="13" s="1"/>
  <c r="S19" i="13"/>
  <c r="T19" i="13" s="1"/>
  <c r="U19" i="13" s="1"/>
  <c r="S20" i="13"/>
  <c r="T20" i="13" s="1"/>
  <c r="U20" i="13" s="1"/>
  <c r="S21" i="13"/>
  <c r="T21" i="13" s="1"/>
  <c r="U21" i="13" s="1"/>
  <c r="S22" i="13"/>
  <c r="T22" i="13" s="1"/>
  <c r="U22" i="13" s="1"/>
  <c r="S23" i="13"/>
  <c r="T23" i="13" s="1"/>
  <c r="U23" i="13" s="1"/>
  <c r="S24" i="13"/>
  <c r="T24" i="13" s="1"/>
  <c r="U24" i="13" s="1"/>
  <c r="L35" i="13"/>
  <c r="T36" i="13"/>
  <c r="U36" i="13" s="1"/>
  <c r="L45" i="13"/>
  <c r="S51" i="13"/>
  <c r="T51" i="13" s="1"/>
  <c r="U51" i="13" s="1"/>
  <c r="J56" i="13"/>
  <c r="K56" i="13" s="1"/>
  <c r="S56" i="13"/>
  <c r="T56" i="13" s="1"/>
  <c r="U56" i="13" s="1"/>
  <c r="I30" i="13"/>
  <c r="J30" i="13" s="1"/>
  <c r="K30" i="13" s="1"/>
  <c r="I31" i="13"/>
  <c r="I32" i="13"/>
  <c r="I33" i="13"/>
  <c r="I34" i="13"/>
  <c r="I46" i="13"/>
  <c r="I50" i="13"/>
  <c r="I54" i="13"/>
  <c r="Y57" i="13"/>
  <c r="AC57" i="13"/>
  <c r="AA58" i="13"/>
  <c r="L38" i="13"/>
  <c r="L40" i="13"/>
  <c r="L41" i="13"/>
  <c r="L44" i="13"/>
  <c r="L52" i="13"/>
  <c r="L56" i="13"/>
  <c r="Z57" i="13"/>
  <c r="AB58" i="13"/>
  <c r="S43" i="12"/>
  <c r="S48" i="12"/>
  <c r="I4" i="12"/>
  <c r="S4" i="12" s="1"/>
  <c r="T4" i="12" s="1"/>
  <c r="U4" i="12" s="1"/>
  <c r="I8" i="12"/>
  <c r="S8" i="12" s="1"/>
  <c r="T8" i="12" s="1"/>
  <c r="U8" i="12" s="1"/>
  <c r="I12" i="12"/>
  <c r="S12" i="12" s="1"/>
  <c r="T12" i="12" s="1"/>
  <c r="U12" i="12" s="1"/>
  <c r="L28" i="12"/>
  <c r="I38" i="12"/>
  <c r="L42" i="12"/>
  <c r="S44" i="12"/>
  <c r="T44" i="12" s="1"/>
  <c r="U44" i="12" s="1"/>
  <c r="I45" i="12"/>
  <c r="L47" i="12"/>
  <c r="S49" i="12"/>
  <c r="T49" i="12" s="1"/>
  <c r="U49" i="12" s="1"/>
  <c r="L52" i="12"/>
  <c r="S56" i="12"/>
  <c r="T56" i="12" s="1"/>
  <c r="U56" i="12" s="1"/>
  <c r="Y58" i="12"/>
  <c r="Z58" i="12"/>
  <c r="T13" i="12"/>
  <c r="U13" i="12" s="1"/>
  <c r="I6" i="12"/>
  <c r="S6" i="12" s="1"/>
  <c r="T6" i="12" s="1"/>
  <c r="U6" i="12" s="1"/>
  <c r="I26" i="12"/>
  <c r="J26" i="12" s="1"/>
  <c r="K26" i="12" s="1"/>
  <c r="S28" i="12"/>
  <c r="T28" i="12" s="1"/>
  <c r="U28" i="12" s="1"/>
  <c r="I30" i="12"/>
  <c r="J30" i="12" s="1"/>
  <c r="K30" i="12" s="1"/>
  <c r="S42" i="12"/>
  <c r="T42" i="12" s="1"/>
  <c r="U42" i="12" s="1"/>
  <c r="L44" i="12"/>
  <c r="AD56" i="12"/>
  <c r="I51" i="12"/>
  <c r="J51" i="12" s="1"/>
  <c r="K51" i="12" s="1"/>
  <c r="I53" i="12"/>
  <c r="J53" i="12" s="1"/>
  <c r="K53" i="12" s="1"/>
  <c r="S55" i="12"/>
  <c r="T55" i="12" s="1"/>
  <c r="U55" i="12" s="1"/>
  <c r="L56" i="12"/>
  <c r="AD57" i="12"/>
  <c r="AF75" i="12" s="1"/>
  <c r="AC58" i="12"/>
  <c r="J4" i="12"/>
  <c r="K4" i="12" s="1"/>
  <c r="J27" i="12"/>
  <c r="S27" i="12"/>
  <c r="T27" i="12" s="1"/>
  <c r="U27" i="12" s="1"/>
  <c r="J13" i="12"/>
  <c r="K13" i="12" s="1"/>
  <c r="L4" i="12"/>
  <c r="I3" i="12"/>
  <c r="S3" i="12" s="1"/>
  <c r="T3" i="12" s="1"/>
  <c r="U3" i="12" s="1"/>
  <c r="I5" i="12"/>
  <c r="S5" i="12" s="1"/>
  <c r="T5" i="12" s="1"/>
  <c r="U5" i="12" s="1"/>
  <c r="I7" i="12"/>
  <c r="S7" i="12" s="1"/>
  <c r="T7" i="12" s="1"/>
  <c r="U7" i="12" s="1"/>
  <c r="I9" i="12"/>
  <c r="S9" i="12" s="1"/>
  <c r="T9" i="12" s="1"/>
  <c r="U9" i="12" s="1"/>
  <c r="I10" i="12"/>
  <c r="S10" i="12" s="1"/>
  <c r="T10" i="12" s="1"/>
  <c r="U10" i="12" s="1"/>
  <c r="I11" i="12"/>
  <c r="S11" i="12" s="1"/>
  <c r="T11" i="12" s="1"/>
  <c r="U11" i="12" s="1"/>
  <c r="L39" i="12"/>
  <c r="S40" i="12"/>
  <c r="T40" i="12" s="1"/>
  <c r="U40" i="12" s="1"/>
  <c r="T43" i="12"/>
  <c r="U43" i="12" s="1"/>
  <c r="T48" i="12"/>
  <c r="U48" i="12" s="1"/>
  <c r="L51" i="12"/>
  <c r="S53" i="12"/>
  <c r="T53" i="12" s="1"/>
  <c r="U53" i="12" s="1"/>
  <c r="L16" i="12"/>
  <c r="S16" i="12"/>
  <c r="T16" i="12" s="1"/>
  <c r="U16" i="12" s="1"/>
  <c r="L18" i="12"/>
  <c r="S18" i="12"/>
  <c r="T18" i="12" s="1"/>
  <c r="U18" i="12" s="1"/>
  <c r="L20" i="12"/>
  <c r="S20" i="12"/>
  <c r="T20" i="12" s="1"/>
  <c r="U20" i="12" s="1"/>
  <c r="L22" i="12"/>
  <c r="S22" i="12"/>
  <c r="T22" i="12" s="1"/>
  <c r="U22" i="12" s="1"/>
  <c r="L24" i="12"/>
  <c r="S24" i="12"/>
  <c r="T24" i="12" s="1"/>
  <c r="U24" i="12" s="1"/>
  <c r="S31" i="12"/>
  <c r="T31" i="12" s="1"/>
  <c r="U31" i="12" s="1"/>
  <c r="S45" i="12"/>
  <c r="T45" i="12" s="1"/>
  <c r="U45" i="12" s="1"/>
  <c r="J45" i="12"/>
  <c r="K45" i="12" s="1"/>
  <c r="S51" i="12"/>
  <c r="T51" i="12" s="1"/>
  <c r="U51" i="12" s="1"/>
  <c r="L13" i="12"/>
  <c r="S29" i="12"/>
  <c r="T29" i="12" s="1"/>
  <c r="U29" i="12" s="1"/>
  <c r="S39" i="12"/>
  <c r="T39" i="12" s="1"/>
  <c r="U39" i="12" s="1"/>
  <c r="L40" i="12"/>
  <c r="L43" i="12"/>
  <c r="S47" i="12"/>
  <c r="T47" i="12" s="1"/>
  <c r="U47" i="12" s="1"/>
  <c r="L48" i="12"/>
  <c r="I14" i="12"/>
  <c r="L15" i="12"/>
  <c r="S15" i="12"/>
  <c r="T15" i="12" s="1"/>
  <c r="U15" i="12" s="1"/>
  <c r="L19" i="12"/>
  <c r="S19" i="12"/>
  <c r="T19" i="12" s="1"/>
  <c r="U19" i="12" s="1"/>
  <c r="L21" i="12"/>
  <c r="S21" i="12"/>
  <c r="T21" i="12" s="1"/>
  <c r="U21" i="12" s="1"/>
  <c r="L23" i="12"/>
  <c r="S23" i="12"/>
  <c r="T23" i="12" s="1"/>
  <c r="U23" i="12" s="1"/>
  <c r="L29" i="12"/>
  <c r="L31" i="12"/>
  <c r="I32" i="12"/>
  <c r="J32" i="12" s="1"/>
  <c r="K32" i="12" s="1"/>
  <c r="I33" i="12"/>
  <c r="I34" i="12"/>
  <c r="I35" i="12"/>
  <c r="I36" i="12"/>
  <c r="I37" i="12"/>
  <c r="I46" i="12"/>
  <c r="I50" i="12"/>
  <c r="I54" i="12"/>
  <c r="L55" i="12"/>
  <c r="AA58" i="12"/>
  <c r="AB58" i="12"/>
  <c r="L45" i="12"/>
  <c r="L49" i="12"/>
  <c r="L53" i="12"/>
  <c r="AD58" i="13" l="1"/>
  <c r="AF76" i="13" s="1"/>
  <c r="K37" i="13"/>
  <c r="L37" i="13"/>
  <c r="K48" i="13"/>
  <c r="L48" i="13"/>
  <c r="L30" i="12"/>
  <c r="S17" i="12"/>
  <c r="T17" i="12" s="1"/>
  <c r="U17" i="12" s="1"/>
  <c r="S41" i="12"/>
  <c r="T41" i="12" s="1"/>
  <c r="U41" i="12" s="1"/>
  <c r="L39" i="13"/>
  <c r="L17" i="12"/>
  <c r="L41" i="12"/>
  <c r="L7" i="13"/>
  <c r="AD58" i="12"/>
  <c r="AF76" i="12" s="1"/>
  <c r="S30" i="12"/>
  <c r="T30" i="12" s="1"/>
  <c r="U30" i="12" s="1"/>
  <c r="S52" i="12"/>
  <c r="T52" i="12" s="1"/>
  <c r="U52" i="12" s="1"/>
  <c r="L43" i="13"/>
  <c r="S37" i="13"/>
  <c r="T37" i="13" s="1"/>
  <c r="U37" i="13" s="1"/>
  <c r="S35" i="13"/>
  <c r="T35" i="13" s="1"/>
  <c r="U35" i="13" s="1"/>
  <c r="S32" i="12"/>
  <c r="T32" i="12" s="1"/>
  <c r="U32" i="12" s="1"/>
  <c r="J8" i="12"/>
  <c r="L11" i="13"/>
  <c r="S30" i="13"/>
  <c r="T30" i="13" s="1"/>
  <c r="U30" i="13" s="1"/>
  <c r="S29" i="13"/>
  <c r="T29" i="13" s="1"/>
  <c r="U29" i="13" s="1"/>
  <c r="S54" i="13"/>
  <c r="T54" i="13" s="1"/>
  <c r="U54" i="13" s="1"/>
  <c r="J54" i="13"/>
  <c r="S50" i="13"/>
  <c r="T50" i="13" s="1"/>
  <c r="U50" i="13" s="1"/>
  <c r="J50" i="13"/>
  <c r="S32" i="13"/>
  <c r="T32" i="13" s="1"/>
  <c r="U32" i="13" s="1"/>
  <c r="J32" i="13"/>
  <c r="S33" i="13"/>
  <c r="T33" i="13" s="1"/>
  <c r="U33" i="13" s="1"/>
  <c r="J33" i="13"/>
  <c r="S31" i="13"/>
  <c r="T31" i="13" s="1"/>
  <c r="U31" i="13" s="1"/>
  <c r="J31" i="13"/>
  <c r="S46" i="13"/>
  <c r="T46" i="13" s="1"/>
  <c r="U46" i="13" s="1"/>
  <c r="J46" i="13"/>
  <c r="L42" i="13"/>
  <c r="AD57" i="13"/>
  <c r="AF75" i="13" s="1"/>
  <c r="S34" i="13"/>
  <c r="T34" i="13" s="1"/>
  <c r="U34" i="13" s="1"/>
  <c r="J34" i="13"/>
  <c r="L30" i="13"/>
  <c r="L12" i="13"/>
  <c r="L8" i="13"/>
  <c r="J5" i="12"/>
  <c r="K5" i="12" s="1"/>
  <c r="L26" i="12"/>
  <c r="J6" i="12"/>
  <c r="S26" i="12"/>
  <c r="T26" i="12" s="1"/>
  <c r="U26" i="12" s="1"/>
  <c r="J9" i="12"/>
  <c r="K9" i="12" s="1"/>
  <c r="S38" i="12"/>
  <c r="T38" i="12" s="1"/>
  <c r="U38" i="12" s="1"/>
  <c r="J38" i="12"/>
  <c r="J12" i="12"/>
  <c r="J7" i="12"/>
  <c r="S54" i="12"/>
  <c r="T54" i="12" s="1"/>
  <c r="U54" i="12" s="1"/>
  <c r="J54" i="12"/>
  <c r="S37" i="12"/>
  <c r="T37" i="12" s="1"/>
  <c r="U37" i="12" s="1"/>
  <c r="J37" i="12"/>
  <c r="S33" i="12"/>
  <c r="T33" i="12" s="1"/>
  <c r="U33" i="12" s="1"/>
  <c r="J33" i="12"/>
  <c r="L27" i="12"/>
  <c r="K27" i="12"/>
  <c r="J3" i="12"/>
  <c r="S34" i="12"/>
  <c r="T34" i="12" s="1"/>
  <c r="U34" i="12" s="1"/>
  <c r="J34" i="12"/>
  <c r="S50" i="12"/>
  <c r="T50" i="12" s="1"/>
  <c r="U50" i="12" s="1"/>
  <c r="J50" i="12"/>
  <c r="S36" i="12"/>
  <c r="T36" i="12" s="1"/>
  <c r="U36" i="12" s="1"/>
  <c r="J36" i="12"/>
  <c r="L32" i="12"/>
  <c r="J11" i="12"/>
  <c r="J10" i="12"/>
  <c r="S46" i="12"/>
  <c r="T46" i="12" s="1"/>
  <c r="U46" i="12" s="1"/>
  <c r="J46" i="12"/>
  <c r="S35" i="12"/>
  <c r="T35" i="12" s="1"/>
  <c r="U35" i="12" s="1"/>
  <c r="J35" i="12"/>
  <c r="L5" i="12"/>
  <c r="K8" i="12" l="1"/>
  <c r="L8" i="12"/>
  <c r="K31" i="13"/>
  <c r="L31" i="13"/>
  <c r="K32" i="13"/>
  <c r="L32" i="13"/>
  <c r="J57" i="13"/>
  <c r="Z35" i="13" s="1"/>
  <c r="K54" i="13"/>
  <c r="L54" i="13"/>
  <c r="K34" i="13"/>
  <c r="L34" i="13"/>
  <c r="K46" i="13"/>
  <c r="L46" i="13"/>
  <c r="K33" i="13"/>
  <c r="L33" i="13"/>
  <c r="K50" i="13"/>
  <c r="L50" i="13"/>
  <c r="K12" i="12"/>
  <c r="L12" i="12"/>
  <c r="L9" i="12"/>
  <c r="K38" i="12"/>
  <c r="L38" i="12"/>
  <c r="K6" i="12"/>
  <c r="L6" i="12"/>
  <c r="K36" i="12"/>
  <c r="L36" i="12"/>
  <c r="K34" i="12"/>
  <c r="L34" i="12"/>
  <c r="K33" i="12"/>
  <c r="L33" i="12"/>
  <c r="K54" i="12"/>
  <c r="L54" i="12"/>
  <c r="K35" i="12"/>
  <c r="L35" i="12"/>
  <c r="K10" i="12"/>
  <c r="L10" i="12"/>
  <c r="K11" i="12"/>
  <c r="L11" i="12"/>
  <c r="J57" i="12"/>
  <c r="K3" i="12"/>
  <c r="L3" i="12"/>
  <c r="K50" i="12"/>
  <c r="L50" i="12"/>
  <c r="K46" i="12"/>
  <c r="L46" i="12"/>
  <c r="K37" i="12"/>
  <c r="L37" i="12"/>
  <c r="K7" i="12"/>
  <c r="L7" i="12"/>
  <c r="U57" i="11"/>
  <c r="AC56" i="11"/>
  <c r="AC58" i="11" s="1"/>
  <c r="AB56" i="11"/>
  <c r="AB57" i="11" s="1"/>
  <c r="AA56" i="11"/>
  <c r="AA57" i="11" s="1"/>
  <c r="Z56" i="11"/>
  <c r="Z58" i="11" s="1"/>
  <c r="Y56" i="11"/>
  <c r="Y58" i="11" s="1"/>
  <c r="P56" i="11"/>
  <c r="R56" i="11" s="1"/>
  <c r="O56" i="11"/>
  <c r="H56" i="11"/>
  <c r="E56" i="11"/>
  <c r="AD55" i="11"/>
  <c r="P55" i="11"/>
  <c r="R55" i="11" s="1"/>
  <c r="O55" i="11"/>
  <c r="H55" i="11"/>
  <c r="I55" i="11" s="1"/>
  <c r="J55" i="11" s="1"/>
  <c r="K55" i="11" s="1"/>
  <c r="E55" i="11"/>
  <c r="AD54" i="11"/>
  <c r="P54" i="11"/>
  <c r="R54" i="11" s="1"/>
  <c r="O54" i="11"/>
  <c r="H54" i="11"/>
  <c r="E54" i="11"/>
  <c r="I54" i="11" s="1"/>
  <c r="J54" i="11" s="1"/>
  <c r="K54" i="11" s="1"/>
  <c r="AD53" i="11"/>
  <c r="P53" i="11"/>
  <c r="R53" i="11" s="1"/>
  <c r="O53" i="11"/>
  <c r="H53" i="11"/>
  <c r="E53" i="11"/>
  <c r="AD52" i="11"/>
  <c r="P52" i="11"/>
  <c r="R52" i="11" s="1"/>
  <c r="O52" i="11"/>
  <c r="H52" i="11"/>
  <c r="I52" i="11" s="1"/>
  <c r="J52" i="11" s="1"/>
  <c r="K52" i="11" s="1"/>
  <c r="E52" i="11"/>
  <c r="AD51" i="11"/>
  <c r="P51" i="11"/>
  <c r="R51" i="11" s="1"/>
  <c r="O51" i="11"/>
  <c r="I51" i="11"/>
  <c r="J51" i="11" s="1"/>
  <c r="K51" i="11" s="1"/>
  <c r="H51" i="11"/>
  <c r="E51" i="11"/>
  <c r="AD50" i="11"/>
  <c r="R50" i="11"/>
  <c r="P50" i="11"/>
  <c r="O50" i="11"/>
  <c r="H50" i="11"/>
  <c r="E50" i="11"/>
  <c r="I50" i="11" s="1"/>
  <c r="J50" i="11" s="1"/>
  <c r="K50" i="11" s="1"/>
  <c r="AD49" i="11"/>
  <c r="P49" i="11"/>
  <c r="R49" i="11" s="1"/>
  <c r="O49" i="11"/>
  <c r="H49" i="11"/>
  <c r="I49" i="11" s="1"/>
  <c r="E49" i="11"/>
  <c r="AD48" i="11"/>
  <c r="P48" i="11"/>
  <c r="R48" i="11" s="1"/>
  <c r="O48" i="11"/>
  <c r="H48" i="11"/>
  <c r="E48" i="11"/>
  <c r="AD47" i="11"/>
  <c r="P47" i="11"/>
  <c r="R47" i="11" s="1"/>
  <c r="O47" i="11"/>
  <c r="H47" i="11"/>
  <c r="E47" i="11"/>
  <c r="AD46" i="11"/>
  <c r="P46" i="11"/>
  <c r="R46" i="11" s="1"/>
  <c r="O46" i="11"/>
  <c r="H46" i="11"/>
  <c r="E46" i="11"/>
  <c r="AD45" i="11"/>
  <c r="P45" i="11"/>
  <c r="R45" i="11" s="1"/>
  <c r="O45" i="11"/>
  <c r="H45" i="11"/>
  <c r="E45" i="11"/>
  <c r="AD44" i="11"/>
  <c r="P44" i="11"/>
  <c r="R44" i="11" s="1"/>
  <c r="O44" i="11"/>
  <c r="H44" i="11"/>
  <c r="E44" i="11"/>
  <c r="I44" i="11" s="1"/>
  <c r="J44" i="11" s="1"/>
  <c r="K44" i="11" s="1"/>
  <c r="P43" i="11"/>
  <c r="R43" i="11" s="1"/>
  <c r="O43" i="11"/>
  <c r="H43" i="11"/>
  <c r="E43" i="11"/>
  <c r="P42" i="11"/>
  <c r="R42" i="11" s="1"/>
  <c r="O42" i="11"/>
  <c r="I42" i="11"/>
  <c r="J42" i="11" s="1"/>
  <c r="K42" i="11" s="1"/>
  <c r="H42" i="11"/>
  <c r="E42" i="11"/>
  <c r="R41" i="11"/>
  <c r="P41" i="11"/>
  <c r="O41" i="11"/>
  <c r="H41" i="11"/>
  <c r="E41" i="11"/>
  <c r="P40" i="11"/>
  <c r="R40" i="11" s="1"/>
  <c r="O40" i="11"/>
  <c r="H40" i="11"/>
  <c r="I40" i="11" s="1"/>
  <c r="J40" i="11" s="1"/>
  <c r="K40" i="11" s="1"/>
  <c r="E40" i="11"/>
  <c r="P39" i="11"/>
  <c r="R39" i="11" s="1"/>
  <c r="O39" i="11"/>
  <c r="H39" i="11"/>
  <c r="E39" i="11"/>
  <c r="P38" i="11"/>
  <c r="R38" i="11" s="1"/>
  <c r="O38" i="11"/>
  <c r="H38" i="11"/>
  <c r="E38" i="11"/>
  <c r="Z37" i="11"/>
  <c r="P37" i="11"/>
  <c r="R37" i="11" s="1"/>
  <c r="O37" i="11"/>
  <c r="H37" i="11"/>
  <c r="E37" i="11"/>
  <c r="I37" i="11" s="1"/>
  <c r="J37" i="11" s="1"/>
  <c r="K37" i="11" s="1"/>
  <c r="P36" i="11"/>
  <c r="R36" i="11" s="1"/>
  <c r="O36" i="11"/>
  <c r="H36" i="11"/>
  <c r="E36" i="11"/>
  <c r="I36" i="11" s="1"/>
  <c r="J36" i="11" s="1"/>
  <c r="K36" i="11" s="1"/>
  <c r="P35" i="11"/>
  <c r="R35" i="11" s="1"/>
  <c r="O35" i="11"/>
  <c r="H35" i="11"/>
  <c r="E35" i="11"/>
  <c r="I35" i="11" s="1"/>
  <c r="J35" i="11" s="1"/>
  <c r="K35" i="11" s="1"/>
  <c r="R34" i="11"/>
  <c r="P34" i="11"/>
  <c r="O34" i="11"/>
  <c r="I34" i="11"/>
  <c r="J34" i="11" s="1"/>
  <c r="K34" i="11" s="1"/>
  <c r="H34" i="11"/>
  <c r="E34" i="11"/>
  <c r="R33" i="11"/>
  <c r="P33" i="11"/>
  <c r="O33" i="11"/>
  <c r="H33" i="11"/>
  <c r="E33" i="11"/>
  <c r="I33" i="11" s="1"/>
  <c r="J33" i="11" s="1"/>
  <c r="K33" i="11" s="1"/>
  <c r="R32" i="11"/>
  <c r="P32" i="11"/>
  <c r="O32" i="11"/>
  <c r="H32" i="11"/>
  <c r="E32" i="11"/>
  <c r="P31" i="11"/>
  <c r="R31" i="11" s="1"/>
  <c r="O31" i="11"/>
  <c r="H31" i="11"/>
  <c r="E31" i="11"/>
  <c r="P30" i="11"/>
  <c r="R30" i="11" s="1"/>
  <c r="O30" i="11"/>
  <c r="H30" i="11"/>
  <c r="E30" i="11"/>
  <c r="I30" i="11" s="1"/>
  <c r="J30" i="11" s="1"/>
  <c r="K30" i="11" s="1"/>
  <c r="P29" i="11"/>
  <c r="R29" i="11" s="1"/>
  <c r="O29" i="11"/>
  <c r="H29" i="11"/>
  <c r="E29" i="11"/>
  <c r="I29" i="11" s="1"/>
  <c r="J29" i="11" s="1"/>
  <c r="K29" i="11" s="1"/>
  <c r="R28" i="11"/>
  <c r="P28" i="11"/>
  <c r="O28" i="11"/>
  <c r="H28" i="11"/>
  <c r="E28" i="11"/>
  <c r="I28" i="11" s="1"/>
  <c r="J28" i="11" s="1"/>
  <c r="K28" i="11" s="1"/>
  <c r="R27" i="11"/>
  <c r="P27" i="11"/>
  <c r="O27" i="11"/>
  <c r="H27" i="11"/>
  <c r="E27" i="11"/>
  <c r="P26" i="11"/>
  <c r="R26" i="11" s="1"/>
  <c r="O26" i="11"/>
  <c r="H26" i="11"/>
  <c r="E26" i="11"/>
  <c r="R25" i="11"/>
  <c r="O25" i="11"/>
  <c r="H25" i="11"/>
  <c r="K25" i="11" s="1"/>
  <c r="E25" i="11"/>
  <c r="I25" i="11" s="1"/>
  <c r="P24" i="11"/>
  <c r="R24" i="11" s="1"/>
  <c r="O24" i="11"/>
  <c r="H24" i="11"/>
  <c r="E24" i="11"/>
  <c r="I24" i="11" s="1"/>
  <c r="J24" i="11" s="1"/>
  <c r="K24" i="11" s="1"/>
  <c r="R23" i="11"/>
  <c r="P23" i="11"/>
  <c r="O23" i="11"/>
  <c r="H23" i="11"/>
  <c r="E23" i="11"/>
  <c r="I23" i="11" s="1"/>
  <c r="J23" i="11" s="1"/>
  <c r="K23" i="11" s="1"/>
  <c r="R22" i="11"/>
  <c r="P22" i="11"/>
  <c r="O22" i="11"/>
  <c r="H22" i="11"/>
  <c r="E22" i="11"/>
  <c r="P21" i="11"/>
  <c r="R21" i="11" s="1"/>
  <c r="O21" i="11"/>
  <c r="H21" i="11"/>
  <c r="E21" i="11"/>
  <c r="R20" i="11"/>
  <c r="P20" i="11"/>
  <c r="O20" i="11"/>
  <c r="H20" i="11"/>
  <c r="E20" i="11"/>
  <c r="I20" i="11" s="1"/>
  <c r="J20" i="11" s="1"/>
  <c r="K20" i="11" s="1"/>
  <c r="R19" i="11"/>
  <c r="P19" i="11"/>
  <c r="O19" i="11"/>
  <c r="H19" i="11"/>
  <c r="E19" i="11"/>
  <c r="P18" i="11"/>
  <c r="R18" i="11" s="1"/>
  <c r="O18" i="11"/>
  <c r="H18" i="11"/>
  <c r="E18" i="11"/>
  <c r="P17" i="11"/>
  <c r="R17" i="11" s="1"/>
  <c r="O17" i="11"/>
  <c r="I17" i="11"/>
  <c r="J17" i="11" s="1"/>
  <c r="K17" i="11" s="1"/>
  <c r="H17" i="11"/>
  <c r="E17" i="11"/>
  <c r="R16" i="11"/>
  <c r="P16" i="11"/>
  <c r="O16" i="11"/>
  <c r="H16" i="11"/>
  <c r="E16" i="11"/>
  <c r="R15" i="11"/>
  <c r="P15" i="11"/>
  <c r="O15" i="11"/>
  <c r="H15" i="11"/>
  <c r="I15" i="11" s="1"/>
  <c r="E15" i="11"/>
  <c r="R14" i="11"/>
  <c r="O14" i="11"/>
  <c r="K14" i="11"/>
  <c r="I14" i="11"/>
  <c r="H14" i="11"/>
  <c r="E14" i="11"/>
  <c r="P13" i="11"/>
  <c r="R13" i="11" s="1"/>
  <c r="O13" i="11"/>
  <c r="H13" i="11"/>
  <c r="E13" i="11"/>
  <c r="P12" i="11"/>
  <c r="R12" i="11" s="1"/>
  <c r="O12" i="11"/>
  <c r="H12" i="11"/>
  <c r="I12" i="11" s="1"/>
  <c r="J12" i="11" s="1"/>
  <c r="K12" i="11" s="1"/>
  <c r="E12" i="11"/>
  <c r="P11" i="11"/>
  <c r="R11" i="11" s="1"/>
  <c r="O11" i="11"/>
  <c r="H11" i="11"/>
  <c r="I11" i="11" s="1"/>
  <c r="J11" i="11" s="1"/>
  <c r="K11" i="11" s="1"/>
  <c r="E11" i="11"/>
  <c r="P10" i="11"/>
  <c r="R10" i="11" s="1"/>
  <c r="O10" i="11"/>
  <c r="H10" i="11"/>
  <c r="E10" i="11"/>
  <c r="I10" i="11" s="1"/>
  <c r="J10" i="11" s="1"/>
  <c r="K10" i="11" s="1"/>
  <c r="P9" i="11"/>
  <c r="R9" i="11" s="1"/>
  <c r="O9" i="11"/>
  <c r="H9" i="11"/>
  <c r="I9" i="11" s="1"/>
  <c r="J9" i="11" s="1"/>
  <c r="K9" i="11" s="1"/>
  <c r="E9" i="11"/>
  <c r="P8" i="11"/>
  <c r="R8" i="11" s="1"/>
  <c r="O8" i="11"/>
  <c r="H8" i="11"/>
  <c r="I8" i="11" s="1"/>
  <c r="J8" i="11" s="1"/>
  <c r="K8" i="11" s="1"/>
  <c r="E8" i="11"/>
  <c r="P7" i="11"/>
  <c r="R7" i="11" s="1"/>
  <c r="O7" i="11"/>
  <c r="I7" i="11"/>
  <c r="J7" i="11" s="1"/>
  <c r="K7" i="11" s="1"/>
  <c r="H7" i="11"/>
  <c r="E7" i="11"/>
  <c r="P6" i="11"/>
  <c r="R6" i="11" s="1"/>
  <c r="O6" i="11"/>
  <c r="I6" i="11"/>
  <c r="J6" i="11" s="1"/>
  <c r="K6" i="11" s="1"/>
  <c r="H6" i="11"/>
  <c r="E6" i="11"/>
  <c r="P5" i="11"/>
  <c r="R5" i="11" s="1"/>
  <c r="O5" i="11"/>
  <c r="H5" i="11"/>
  <c r="I5" i="11" s="1"/>
  <c r="J5" i="11" s="1"/>
  <c r="K5" i="11" s="1"/>
  <c r="E5" i="11"/>
  <c r="P4" i="11"/>
  <c r="R4" i="11" s="1"/>
  <c r="O4" i="11"/>
  <c r="H4" i="11"/>
  <c r="I4" i="11" s="1"/>
  <c r="J4" i="11" s="1"/>
  <c r="K4" i="11" s="1"/>
  <c r="E4" i="11"/>
  <c r="P3" i="11"/>
  <c r="R3" i="11" s="1"/>
  <c r="O3" i="11"/>
  <c r="H3" i="11"/>
  <c r="I3" i="11" s="1"/>
  <c r="J3" i="11" s="1"/>
  <c r="E3" i="11"/>
  <c r="Z36" i="10"/>
  <c r="S52" i="11" l="1"/>
  <c r="T52" i="11" s="1"/>
  <c r="U52" i="11" s="1"/>
  <c r="S6" i="11"/>
  <c r="I38" i="11"/>
  <c r="S38" i="11" s="1"/>
  <c r="T38" i="11" s="1"/>
  <c r="U38" i="11" s="1"/>
  <c r="L41" i="11"/>
  <c r="S42" i="11"/>
  <c r="T42" i="11" s="1"/>
  <c r="U42" i="11" s="1"/>
  <c r="S11" i="11"/>
  <c r="S17" i="11"/>
  <c r="T17" i="11" s="1"/>
  <c r="U17" i="11" s="1"/>
  <c r="I41" i="11"/>
  <c r="J41" i="11" s="1"/>
  <c r="K41" i="11" s="1"/>
  <c r="I45" i="11"/>
  <c r="S51" i="11"/>
  <c r="S3" i="11"/>
  <c r="S8" i="11"/>
  <c r="T8" i="11" s="1"/>
  <c r="U8" i="11" s="1"/>
  <c r="L10" i="11"/>
  <c r="I13" i="11"/>
  <c r="J13" i="11" s="1"/>
  <c r="K13" i="11" s="1"/>
  <c r="L19" i="11"/>
  <c r="I22" i="11"/>
  <c r="J22" i="11" s="1"/>
  <c r="K22" i="11" s="1"/>
  <c r="I27" i="11"/>
  <c r="J27" i="11" s="1"/>
  <c r="K27" i="11" s="1"/>
  <c r="S41" i="11"/>
  <c r="T41" i="11" s="1"/>
  <c r="U41" i="11" s="1"/>
  <c r="S5" i="11"/>
  <c r="I19" i="11"/>
  <c r="J19" i="11" s="1"/>
  <c r="K19" i="11" s="1"/>
  <c r="I32" i="11"/>
  <c r="J32" i="11" s="1"/>
  <c r="K32" i="11" s="1"/>
  <c r="S40" i="11"/>
  <c r="T40" i="11" s="1"/>
  <c r="U40" i="11" s="1"/>
  <c r="S44" i="11"/>
  <c r="T44" i="11" s="1"/>
  <c r="U44" i="11" s="1"/>
  <c r="I53" i="11"/>
  <c r="S53" i="11" s="1"/>
  <c r="T53" i="11" s="1"/>
  <c r="U53" i="11" s="1"/>
  <c r="S9" i="11"/>
  <c r="T9" i="11" s="1"/>
  <c r="U9" i="11" s="1"/>
  <c r="S10" i="11"/>
  <c r="S7" i="11"/>
  <c r="S19" i="11"/>
  <c r="T19" i="11" s="1"/>
  <c r="U19" i="11" s="1"/>
  <c r="I21" i="11"/>
  <c r="J21" i="11" s="1"/>
  <c r="K21" i="11" s="1"/>
  <c r="I26" i="11"/>
  <c r="J26" i="11" s="1"/>
  <c r="K26" i="11" s="1"/>
  <c r="L35" i="11"/>
  <c r="I39" i="11"/>
  <c r="J39" i="11" s="1"/>
  <c r="K39" i="11" s="1"/>
  <c r="I43" i="11"/>
  <c r="J43" i="11" s="1"/>
  <c r="K43" i="11" s="1"/>
  <c r="I48" i="11"/>
  <c r="J48" i="11" s="1"/>
  <c r="K48" i="11" s="1"/>
  <c r="I56" i="11"/>
  <c r="J56" i="11" s="1"/>
  <c r="K56" i="11" s="1"/>
  <c r="S4" i="11"/>
  <c r="T4" i="11" s="1"/>
  <c r="U4" i="11" s="1"/>
  <c r="L6" i="11"/>
  <c r="S12" i="11"/>
  <c r="T12" i="11" s="1"/>
  <c r="U12" i="11" s="1"/>
  <c r="L17" i="11"/>
  <c r="I31" i="11"/>
  <c r="J31" i="11" s="1"/>
  <c r="K31" i="11" s="1"/>
  <c r="L34" i="11"/>
  <c r="S43" i="11"/>
  <c r="T43" i="11" s="1"/>
  <c r="U43" i="11" s="1"/>
  <c r="I46" i="11"/>
  <c r="J46" i="11" s="1"/>
  <c r="K46" i="11" s="1"/>
  <c r="I47" i="11"/>
  <c r="J47" i="11" s="1"/>
  <c r="K47" i="11" s="1"/>
  <c r="S48" i="11"/>
  <c r="T48" i="11" s="1"/>
  <c r="U48" i="11" s="1"/>
  <c r="L51" i="11"/>
  <c r="S56" i="11"/>
  <c r="T56" i="11" s="1"/>
  <c r="U56" i="11" s="1"/>
  <c r="AD56" i="11"/>
  <c r="L3" i="11"/>
  <c r="T5" i="11"/>
  <c r="U5" i="11" s="1"/>
  <c r="L7" i="11"/>
  <c r="L11" i="11"/>
  <c r="K3" i="11"/>
  <c r="L4" i="11"/>
  <c r="T6" i="11"/>
  <c r="U6" i="11" s="1"/>
  <c r="L8" i="11"/>
  <c r="T10" i="11"/>
  <c r="U10" i="11" s="1"/>
  <c r="L12" i="11"/>
  <c r="J15" i="11"/>
  <c r="K15" i="11" s="1"/>
  <c r="S15" i="11"/>
  <c r="T15" i="11" s="1"/>
  <c r="U15" i="11" s="1"/>
  <c r="T3" i="11"/>
  <c r="U3" i="11" s="1"/>
  <c r="L5" i="11"/>
  <c r="T7" i="11"/>
  <c r="U7" i="11" s="1"/>
  <c r="L9" i="11"/>
  <c r="T11" i="11"/>
  <c r="U11" i="11" s="1"/>
  <c r="I16" i="11"/>
  <c r="J16" i="11" s="1"/>
  <c r="K16" i="11" s="1"/>
  <c r="I18" i="11"/>
  <c r="J18" i="11" s="1"/>
  <c r="K18" i="11" s="1"/>
  <c r="L26" i="11"/>
  <c r="L27" i="11"/>
  <c r="L28" i="11"/>
  <c r="L29" i="11"/>
  <c r="L30" i="11"/>
  <c r="L31" i="11"/>
  <c r="L33" i="11"/>
  <c r="L40" i="11"/>
  <c r="L42" i="11"/>
  <c r="L44" i="11"/>
  <c r="S54" i="11"/>
  <c r="T54" i="11" s="1"/>
  <c r="U54" i="11" s="1"/>
  <c r="L24" i="11"/>
  <c r="S36" i="11"/>
  <c r="T36" i="11" s="1"/>
  <c r="U36" i="11" s="1"/>
  <c r="L37" i="11"/>
  <c r="J38" i="11"/>
  <c r="K38" i="11" s="1"/>
  <c r="S49" i="11"/>
  <c r="T49" i="11" s="1"/>
  <c r="U49" i="11" s="1"/>
  <c r="J49" i="11"/>
  <c r="K49" i="11" s="1"/>
  <c r="S20" i="11"/>
  <c r="T20" i="11" s="1"/>
  <c r="U20" i="11" s="1"/>
  <c r="S21" i="11"/>
  <c r="T21" i="11" s="1"/>
  <c r="U21" i="11" s="1"/>
  <c r="S22" i="11"/>
  <c r="T22" i="11" s="1"/>
  <c r="U22" i="11" s="1"/>
  <c r="S23" i="11"/>
  <c r="T23" i="11" s="1"/>
  <c r="U23" i="11" s="1"/>
  <c r="S24" i="11"/>
  <c r="T24" i="11" s="1"/>
  <c r="U24" i="11" s="1"/>
  <c r="S46" i="11"/>
  <c r="T46" i="11" s="1"/>
  <c r="U46" i="11" s="1"/>
  <c r="L50" i="11"/>
  <c r="J53" i="11"/>
  <c r="K53" i="11" s="1"/>
  <c r="S55" i="11"/>
  <c r="T55" i="11" s="1"/>
  <c r="U55" i="11" s="1"/>
  <c r="L20" i="11"/>
  <c r="L21" i="11"/>
  <c r="L22" i="11"/>
  <c r="L23" i="11"/>
  <c r="S26" i="11"/>
  <c r="T26" i="11" s="1"/>
  <c r="U26" i="11" s="1"/>
  <c r="S27" i="11"/>
  <c r="T27" i="11" s="1"/>
  <c r="U27" i="11" s="1"/>
  <c r="S28" i="11"/>
  <c r="T28" i="11" s="1"/>
  <c r="U28" i="11" s="1"/>
  <c r="S29" i="11"/>
  <c r="T29" i="11" s="1"/>
  <c r="U29" i="11" s="1"/>
  <c r="S30" i="11"/>
  <c r="T30" i="11" s="1"/>
  <c r="U30" i="11" s="1"/>
  <c r="S31" i="11"/>
  <c r="T31" i="11" s="1"/>
  <c r="U31" i="11" s="1"/>
  <c r="S33" i="11"/>
  <c r="T33" i="11" s="1"/>
  <c r="U33" i="11" s="1"/>
  <c r="S34" i="11"/>
  <c r="T34" i="11" s="1"/>
  <c r="U34" i="11" s="1"/>
  <c r="S35" i="11"/>
  <c r="T35" i="11" s="1"/>
  <c r="U35" i="11" s="1"/>
  <c r="L36" i="11"/>
  <c r="S37" i="11"/>
  <c r="T37" i="11" s="1"/>
  <c r="U37" i="11" s="1"/>
  <c r="S45" i="11"/>
  <c r="T45" i="11" s="1"/>
  <c r="U45" i="11" s="1"/>
  <c r="J45" i="11"/>
  <c r="K45" i="11" s="1"/>
  <c r="S50" i="11"/>
  <c r="T50" i="11" s="1"/>
  <c r="U50" i="11" s="1"/>
  <c r="T51" i="11"/>
  <c r="U51" i="11" s="1"/>
  <c r="L52" i="11"/>
  <c r="L54" i="11"/>
  <c r="L55" i="11"/>
  <c r="Y57" i="11"/>
  <c r="AC57" i="11"/>
  <c r="AA58" i="11"/>
  <c r="Z57" i="11"/>
  <c r="AB58" i="11"/>
  <c r="L49" i="11"/>
  <c r="L53" i="11"/>
  <c r="U57" i="10"/>
  <c r="AC56" i="10"/>
  <c r="AC58" i="10" s="1"/>
  <c r="AB56" i="10"/>
  <c r="AB57" i="10" s="1"/>
  <c r="AA56" i="10"/>
  <c r="AA57" i="10" s="1"/>
  <c r="Z56" i="10"/>
  <c r="Z58" i="10" s="1"/>
  <c r="Y56" i="10"/>
  <c r="Y58" i="10" s="1"/>
  <c r="P56" i="10"/>
  <c r="R56" i="10" s="1"/>
  <c r="O56" i="10"/>
  <c r="H56" i="10"/>
  <c r="E56" i="10"/>
  <c r="AD55" i="10"/>
  <c r="P55" i="10"/>
  <c r="R55" i="10" s="1"/>
  <c r="O55" i="10"/>
  <c r="H55" i="10"/>
  <c r="E55" i="10"/>
  <c r="I55" i="10" s="1"/>
  <c r="J55" i="10" s="1"/>
  <c r="K55" i="10" s="1"/>
  <c r="AD54" i="10"/>
  <c r="R54" i="10"/>
  <c r="P54" i="10"/>
  <c r="O54" i="10"/>
  <c r="H54" i="10"/>
  <c r="E54" i="10"/>
  <c r="AD53" i="10"/>
  <c r="R53" i="10"/>
  <c r="P53" i="10"/>
  <c r="O53" i="10"/>
  <c r="H53" i="10"/>
  <c r="E53" i="10"/>
  <c r="I53" i="10" s="1"/>
  <c r="J53" i="10" s="1"/>
  <c r="K53" i="10" s="1"/>
  <c r="AD52" i="10"/>
  <c r="P52" i="10"/>
  <c r="R52" i="10" s="1"/>
  <c r="O52" i="10"/>
  <c r="I52" i="10"/>
  <c r="J52" i="10" s="1"/>
  <c r="K52" i="10" s="1"/>
  <c r="H52" i="10"/>
  <c r="E52" i="10"/>
  <c r="AD51" i="10"/>
  <c r="R51" i="10"/>
  <c r="P51" i="10"/>
  <c r="O51" i="10"/>
  <c r="H51" i="10"/>
  <c r="E51" i="10"/>
  <c r="I51" i="10" s="1"/>
  <c r="J51" i="10" s="1"/>
  <c r="K51" i="10" s="1"/>
  <c r="AD50" i="10"/>
  <c r="P50" i="10"/>
  <c r="R50" i="10" s="1"/>
  <c r="O50" i="10"/>
  <c r="H50" i="10"/>
  <c r="E50" i="10"/>
  <c r="AD49" i="10"/>
  <c r="R49" i="10"/>
  <c r="P49" i="10"/>
  <c r="O49" i="10"/>
  <c r="H49" i="10"/>
  <c r="I49" i="10" s="1"/>
  <c r="J49" i="10" s="1"/>
  <c r="K49" i="10" s="1"/>
  <c r="E49" i="10"/>
  <c r="AD48" i="10"/>
  <c r="P48" i="10"/>
  <c r="R48" i="10" s="1"/>
  <c r="O48" i="10"/>
  <c r="H48" i="10"/>
  <c r="E48" i="10"/>
  <c r="AD47" i="10"/>
  <c r="R47" i="10"/>
  <c r="P47" i="10"/>
  <c r="O47" i="10"/>
  <c r="H47" i="10"/>
  <c r="E47" i="10"/>
  <c r="AD46" i="10"/>
  <c r="R46" i="10"/>
  <c r="P46" i="10"/>
  <c r="O46" i="10"/>
  <c r="H46" i="10"/>
  <c r="E46" i="10"/>
  <c r="AD45" i="10"/>
  <c r="P45" i="10"/>
  <c r="R45" i="10" s="1"/>
  <c r="O45" i="10"/>
  <c r="H45" i="10"/>
  <c r="I45" i="10" s="1"/>
  <c r="J45" i="10" s="1"/>
  <c r="K45" i="10" s="1"/>
  <c r="E45" i="10"/>
  <c r="AD44" i="10"/>
  <c r="P44" i="10"/>
  <c r="R44" i="10" s="1"/>
  <c r="O44" i="10"/>
  <c r="I44" i="10"/>
  <c r="J44" i="10" s="1"/>
  <c r="K44" i="10" s="1"/>
  <c r="H44" i="10"/>
  <c r="E44" i="10"/>
  <c r="P43" i="10"/>
  <c r="R43" i="10" s="1"/>
  <c r="O43" i="10"/>
  <c r="H43" i="10"/>
  <c r="E43" i="10"/>
  <c r="P42" i="10"/>
  <c r="R42" i="10" s="1"/>
  <c r="O42" i="10"/>
  <c r="H42" i="10"/>
  <c r="I42" i="10" s="1"/>
  <c r="J42" i="10" s="1"/>
  <c r="K42" i="10" s="1"/>
  <c r="E42" i="10"/>
  <c r="P41" i="10"/>
  <c r="R41" i="10" s="1"/>
  <c r="O41" i="10"/>
  <c r="I41" i="10"/>
  <c r="J41" i="10" s="1"/>
  <c r="K41" i="10" s="1"/>
  <c r="H41" i="10"/>
  <c r="E41" i="10"/>
  <c r="P40" i="10"/>
  <c r="R40" i="10" s="1"/>
  <c r="O40" i="10"/>
  <c r="H40" i="10"/>
  <c r="E40" i="10"/>
  <c r="I40" i="10" s="1"/>
  <c r="J40" i="10" s="1"/>
  <c r="K40" i="10" s="1"/>
  <c r="P39" i="10"/>
  <c r="R39" i="10" s="1"/>
  <c r="O39" i="10"/>
  <c r="H39" i="10"/>
  <c r="E39" i="10"/>
  <c r="I39" i="10" s="1"/>
  <c r="J39" i="10" s="1"/>
  <c r="K39" i="10" s="1"/>
  <c r="P38" i="10"/>
  <c r="R38" i="10" s="1"/>
  <c r="O38" i="10"/>
  <c r="H38" i="10"/>
  <c r="E38" i="10"/>
  <c r="P37" i="10"/>
  <c r="R37" i="10" s="1"/>
  <c r="O37" i="10"/>
  <c r="H37" i="10"/>
  <c r="E37" i="10"/>
  <c r="P36" i="10"/>
  <c r="R36" i="10" s="1"/>
  <c r="O36" i="10"/>
  <c r="H36" i="10"/>
  <c r="E36" i="10"/>
  <c r="P35" i="10"/>
  <c r="R35" i="10" s="1"/>
  <c r="O35" i="10"/>
  <c r="H35" i="10"/>
  <c r="E35" i="10"/>
  <c r="R34" i="10"/>
  <c r="P34" i="10"/>
  <c r="O34" i="10"/>
  <c r="H34" i="10"/>
  <c r="E34" i="10"/>
  <c r="I34" i="10" s="1"/>
  <c r="J34" i="10" s="1"/>
  <c r="K34" i="10" s="1"/>
  <c r="R33" i="10"/>
  <c r="P33" i="10"/>
  <c r="O33" i="10"/>
  <c r="H33" i="10"/>
  <c r="E33" i="10"/>
  <c r="R32" i="10"/>
  <c r="P32" i="10"/>
  <c r="O32" i="10"/>
  <c r="H32" i="10"/>
  <c r="E32" i="10"/>
  <c r="P31" i="10"/>
  <c r="R31" i="10" s="1"/>
  <c r="O31" i="10"/>
  <c r="H31" i="10"/>
  <c r="E31" i="10"/>
  <c r="R30" i="10"/>
  <c r="P30" i="10"/>
  <c r="O30" i="10"/>
  <c r="H30" i="10"/>
  <c r="E30" i="10"/>
  <c r="I30" i="10" s="1"/>
  <c r="J30" i="10" s="1"/>
  <c r="K30" i="10" s="1"/>
  <c r="P29" i="10"/>
  <c r="R29" i="10" s="1"/>
  <c r="O29" i="10"/>
  <c r="H29" i="10"/>
  <c r="E29" i="10"/>
  <c r="P28" i="10"/>
  <c r="R28" i="10" s="1"/>
  <c r="O28" i="10"/>
  <c r="H28" i="10"/>
  <c r="E28" i="10"/>
  <c r="I28" i="10" s="1"/>
  <c r="J28" i="10" s="1"/>
  <c r="K28" i="10" s="1"/>
  <c r="P27" i="10"/>
  <c r="R27" i="10" s="1"/>
  <c r="O27" i="10"/>
  <c r="H27" i="10"/>
  <c r="E27" i="10"/>
  <c r="I27" i="10" s="1"/>
  <c r="J27" i="10" s="1"/>
  <c r="K27" i="10" s="1"/>
  <c r="R26" i="10"/>
  <c r="P26" i="10"/>
  <c r="O26" i="10"/>
  <c r="H26" i="10"/>
  <c r="E26" i="10"/>
  <c r="I26" i="10" s="1"/>
  <c r="J26" i="10" s="1"/>
  <c r="K26" i="10" s="1"/>
  <c r="R25" i="10"/>
  <c r="O25" i="10"/>
  <c r="K25" i="10"/>
  <c r="I25" i="10"/>
  <c r="H25" i="10"/>
  <c r="E25" i="10"/>
  <c r="P24" i="10"/>
  <c r="R24" i="10" s="1"/>
  <c r="O24" i="10"/>
  <c r="H24" i="10"/>
  <c r="E24" i="10"/>
  <c r="R23" i="10"/>
  <c r="P23" i="10"/>
  <c r="O23" i="10"/>
  <c r="H23" i="10"/>
  <c r="E23" i="10"/>
  <c r="P22" i="10"/>
  <c r="R22" i="10" s="1"/>
  <c r="O22" i="10"/>
  <c r="H22" i="10"/>
  <c r="E22" i="10"/>
  <c r="I22" i="10" s="1"/>
  <c r="J22" i="10" s="1"/>
  <c r="K22" i="10" s="1"/>
  <c r="R21" i="10"/>
  <c r="P21" i="10"/>
  <c r="O21" i="10"/>
  <c r="I21" i="10"/>
  <c r="J21" i="10" s="1"/>
  <c r="K21" i="10" s="1"/>
  <c r="H21" i="10"/>
  <c r="E21" i="10"/>
  <c r="P20" i="10"/>
  <c r="R20" i="10" s="1"/>
  <c r="O20" i="10"/>
  <c r="H20" i="10"/>
  <c r="I20" i="10" s="1"/>
  <c r="J20" i="10" s="1"/>
  <c r="K20" i="10" s="1"/>
  <c r="E20" i="10"/>
  <c r="P19" i="10"/>
  <c r="R19" i="10" s="1"/>
  <c r="O19" i="10"/>
  <c r="H19" i="10"/>
  <c r="E19" i="10"/>
  <c r="R18" i="10"/>
  <c r="P18" i="10"/>
  <c r="O18" i="10"/>
  <c r="H18" i="10"/>
  <c r="E18" i="10"/>
  <c r="I18" i="10" s="1"/>
  <c r="J18" i="10" s="1"/>
  <c r="K18" i="10" s="1"/>
  <c r="P17" i="10"/>
  <c r="R17" i="10" s="1"/>
  <c r="O17" i="10"/>
  <c r="H17" i="10"/>
  <c r="E17" i="10"/>
  <c r="P16" i="10"/>
  <c r="R16" i="10" s="1"/>
  <c r="O16" i="10"/>
  <c r="H16" i="10"/>
  <c r="E16" i="10"/>
  <c r="I16" i="10" s="1"/>
  <c r="J16" i="10" s="1"/>
  <c r="K16" i="10" s="1"/>
  <c r="P15" i="10"/>
  <c r="R15" i="10" s="1"/>
  <c r="O15" i="10"/>
  <c r="H15" i="10"/>
  <c r="E15" i="10"/>
  <c r="I15" i="10" s="1"/>
  <c r="J15" i="10" s="1"/>
  <c r="K15" i="10" s="1"/>
  <c r="R14" i="10"/>
  <c r="O14" i="10"/>
  <c r="H14" i="10"/>
  <c r="K14" i="10" s="1"/>
  <c r="E14" i="10"/>
  <c r="R13" i="10"/>
  <c r="P13" i="10"/>
  <c r="O13" i="10"/>
  <c r="H13" i="10"/>
  <c r="I13" i="10" s="1"/>
  <c r="E13" i="10"/>
  <c r="R12" i="10"/>
  <c r="P12" i="10"/>
  <c r="O12" i="10"/>
  <c r="H12" i="10"/>
  <c r="E12" i="10"/>
  <c r="R11" i="10"/>
  <c r="P11" i="10"/>
  <c r="O11" i="10"/>
  <c r="H11" i="10"/>
  <c r="I11" i="10" s="1"/>
  <c r="E11" i="10"/>
  <c r="P10" i="10"/>
  <c r="R10" i="10" s="1"/>
  <c r="O10" i="10"/>
  <c r="H10" i="10"/>
  <c r="E10" i="10"/>
  <c r="R9" i="10"/>
  <c r="P9" i="10"/>
  <c r="O9" i="10"/>
  <c r="H9" i="10"/>
  <c r="E9" i="10"/>
  <c r="R8" i="10"/>
  <c r="P8" i="10"/>
  <c r="O8" i="10"/>
  <c r="H8" i="10"/>
  <c r="E8" i="10"/>
  <c r="R7" i="10"/>
  <c r="P7" i="10"/>
  <c r="O7" i="10"/>
  <c r="H7" i="10"/>
  <c r="I7" i="10" s="1"/>
  <c r="E7" i="10"/>
  <c r="P6" i="10"/>
  <c r="R6" i="10" s="1"/>
  <c r="O6" i="10"/>
  <c r="H6" i="10"/>
  <c r="E6" i="10"/>
  <c r="R5" i="10"/>
  <c r="P5" i="10"/>
  <c r="O5" i="10"/>
  <c r="H5" i="10"/>
  <c r="E5" i="10"/>
  <c r="R4" i="10"/>
  <c r="P4" i="10"/>
  <c r="O4" i="10"/>
  <c r="H4" i="10"/>
  <c r="E4" i="10"/>
  <c r="R3" i="10"/>
  <c r="P3" i="10"/>
  <c r="O3" i="10"/>
  <c r="H3" i="10"/>
  <c r="E3" i="10"/>
  <c r="S40" i="10" l="1"/>
  <c r="S53" i="10"/>
  <c r="T53" i="10" s="1"/>
  <c r="U53" i="10" s="1"/>
  <c r="L13" i="11"/>
  <c r="I3" i="10"/>
  <c r="J6" i="10"/>
  <c r="K6" i="10" s="1"/>
  <c r="J10" i="10"/>
  <c r="K10" i="10" s="1"/>
  <c r="I31" i="10"/>
  <c r="J31" i="10" s="1"/>
  <c r="K31" i="10" s="1"/>
  <c r="L39" i="10"/>
  <c r="L51" i="10"/>
  <c r="AD58" i="11"/>
  <c r="AF76" i="11" s="1"/>
  <c r="S32" i="11"/>
  <c r="T32" i="11" s="1"/>
  <c r="U32" i="11" s="1"/>
  <c r="L32" i="11"/>
  <c r="L56" i="11"/>
  <c r="L7" i="10"/>
  <c r="S11" i="10"/>
  <c r="T11" i="10" s="1"/>
  <c r="U11" i="10" s="1"/>
  <c r="S42" i="10"/>
  <c r="S52" i="10"/>
  <c r="I56" i="10"/>
  <c r="J56" i="10" s="1"/>
  <c r="K56" i="10" s="1"/>
  <c r="L18" i="11"/>
  <c r="S13" i="11"/>
  <c r="T13" i="11" s="1"/>
  <c r="U13" i="11" s="1"/>
  <c r="S47" i="11"/>
  <c r="T47" i="11" s="1"/>
  <c r="U47" i="11" s="1"/>
  <c r="S3" i="10"/>
  <c r="T3" i="10" s="1"/>
  <c r="U3" i="10" s="1"/>
  <c r="S7" i="10"/>
  <c r="T7" i="10" s="1"/>
  <c r="U7" i="10" s="1"/>
  <c r="L10" i="10"/>
  <c r="J5" i="10"/>
  <c r="K5" i="10" s="1"/>
  <c r="I6" i="10"/>
  <c r="I10" i="10"/>
  <c r="J13" i="10"/>
  <c r="K13" i="10" s="1"/>
  <c r="I19" i="10"/>
  <c r="J19" i="10" s="1"/>
  <c r="K19" i="10" s="1"/>
  <c r="I33" i="10"/>
  <c r="J33" i="10" s="1"/>
  <c r="K33" i="10" s="1"/>
  <c r="S39" i="10"/>
  <c r="T39" i="10" s="1"/>
  <c r="U39" i="10" s="1"/>
  <c r="L41" i="10"/>
  <c r="L44" i="10"/>
  <c r="L55" i="10"/>
  <c r="AD57" i="11"/>
  <c r="AF75" i="11" s="1"/>
  <c r="L48" i="11"/>
  <c r="S10" i="10"/>
  <c r="T10" i="10" s="1"/>
  <c r="U10" i="10" s="1"/>
  <c r="S45" i="10"/>
  <c r="T45" i="10" s="1"/>
  <c r="U45" i="10" s="1"/>
  <c r="S56" i="10"/>
  <c r="T56" i="10" s="1"/>
  <c r="U56" i="10" s="1"/>
  <c r="L20" i="10"/>
  <c r="I5" i="10"/>
  <c r="I24" i="10"/>
  <c r="J24" i="10" s="1"/>
  <c r="K24" i="10" s="1"/>
  <c r="I38" i="10"/>
  <c r="J38" i="10" s="1"/>
  <c r="K38" i="10" s="1"/>
  <c r="S41" i="10"/>
  <c r="T41" i="10" s="1"/>
  <c r="U41" i="10" s="1"/>
  <c r="L48" i="10"/>
  <c r="L38" i="11"/>
  <c r="S39" i="11"/>
  <c r="T39" i="11" s="1"/>
  <c r="U39" i="11" s="1"/>
  <c r="L43" i="11"/>
  <c r="S4" i="10"/>
  <c r="T4" i="10" s="1"/>
  <c r="U4" i="10" s="1"/>
  <c r="L11" i="10"/>
  <c r="S6" i="10"/>
  <c r="T6" i="10" s="1"/>
  <c r="U6" i="10" s="1"/>
  <c r="I9" i="10"/>
  <c r="J9" i="10" s="1"/>
  <c r="S5" i="10"/>
  <c r="T5" i="10" s="1"/>
  <c r="U5" i="10" s="1"/>
  <c r="S9" i="10"/>
  <c r="T9" i="10" s="1"/>
  <c r="U9" i="10" s="1"/>
  <c r="S13" i="10"/>
  <c r="T13" i="10" s="1"/>
  <c r="U13" i="10" s="1"/>
  <c r="L22" i="10"/>
  <c r="I23" i="10"/>
  <c r="J23" i="10" s="1"/>
  <c r="K23" i="10" s="1"/>
  <c r="I32" i="10"/>
  <c r="J32" i="10" s="1"/>
  <c r="K32" i="10" s="1"/>
  <c r="I43" i="10"/>
  <c r="J43" i="10" s="1"/>
  <c r="K43" i="10" s="1"/>
  <c r="S44" i="10"/>
  <c r="T44" i="10" s="1"/>
  <c r="U44" i="10" s="1"/>
  <c r="I47" i="10"/>
  <c r="J47" i="10" s="1"/>
  <c r="K47" i="10" s="1"/>
  <c r="I48" i="10"/>
  <c r="J48" i="10" s="1"/>
  <c r="K48" i="10" s="1"/>
  <c r="S49" i="10"/>
  <c r="T49" i="10" s="1"/>
  <c r="U49" i="10" s="1"/>
  <c r="L45" i="11"/>
  <c r="L47" i="11"/>
  <c r="L13" i="10"/>
  <c r="J3" i="10"/>
  <c r="L3" i="10" s="1"/>
  <c r="I4" i="10"/>
  <c r="J4" i="10" s="1"/>
  <c r="J7" i="10"/>
  <c r="K7" i="10" s="1"/>
  <c r="I8" i="10"/>
  <c r="S8" i="10" s="1"/>
  <c r="T8" i="10" s="1"/>
  <c r="U8" i="10" s="1"/>
  <c r="J11" i="10"/>
  <c r="K11" i="10" s="1"/>
  <c r="I12" i="10"/>
  <c r="J12" i="10" s="1"/>
  <c r="I17" i="10"/>
  <c r="J17" i="10" s="1"/>
  <c r="K17" i="10" s="1"/>
  <c r="L21" i="10"/>
  <c r="I29" i="10"/>
  <c r="J29" i="10" s="1"/>
  <c r="K29" i="10" s="1"/>
  <c r="L47" i="10"/>
  <c r="L52" i="10"/>
  <c r="L46" i="11"/>
  <c r="L39" i="11"/>
  <c r="L16" i="11"/>
  <c r="S18" i="11"/>
  <c r="T18" i="11" s="1"/>
  <c r="U18" i="11" s="1"/>
  <c r="L15" i="11"/>
  <c r="J57" i="11"/>
  <c r="Z38" i="11" s="1"/>
  <c r="S16" i="11"/>
  <c r="T16" i="11" s="1"/>
  <c r="U16" i="11" s="1"/>
  <c r="AD56" i="10"/>
  <c r="S16" i="10"/>
  <c r="T16" i="10" s="1"/>
  <c r="U16" i="10" s="1"/>
  <c r="S17" i="10"/>
  <c r="T17" i="10" s="1"/>
  <c r="U17" i="10" s="1"/>
  <c r="S18" i="10"/>
  <c r="T18" i="10" s="1"/>
  <c r="U18" i="10" s="1"/>
  <c r="S19" i="10"/>
  <c r="T19" i="10" s="1"/>
  <c r="U19" i="10" s="1"/>
  <c r="S20" i="10"/>
  <c r="T20" i="10" s="1"/>
  <c r="U20" i="10" s="1"/>
  <c r="S21" i="10"/>
  <c r="T21" i="10" s="1"/>
  <c r="U21" i="10" s="1"/>
  <c r="S22" i="10"/>
  <c r="T22" i="10" s="1"/>
  <c r="U22" i="10" s="1"/>
  <c r="S32" i="10"/>
  <c r="T32" i="10" s="1"/>
  <c r="U32" i="10" s="1"/>
  <c r="L33" i="10"/>
  <c r="S34" i="10"/>
  <c r="T34" i="10" s="1"/>
  <c r="U34" i="10" s="1"/>
  <c r="T40" i="10"/>
  <c r="U40" i="10" s="1"/>
  <c r="L42" i="10"/>
  <c r="L49" i="10"/>
  <c r="S55" i="10"/>
  <c r="T55" i="10" s="1"/>
  <c r="U55" i="10" s="1"/>
  <c r="L16" i="10"/>
  <c r="L17" i="10"/>
  <c r="L18" i="10"/>
  <c r="S26" i="10"/>
  <c r="T26" i="10" s="1"/>
  <c r="U26" i="10" s="1"/>
  <c r="S27" i="10"/>
  <c r="T27" i="10" s="1"/>
  <c r="U27" i="10" s="1"/>
  <c r="S28" i="10"/>
  <c r="T28" i="10" s="1"/>
  <c r="U28" i="10" s="1"/>
  <c r="S30" i="10"/>
  <c r="T30" i="10" s="1"/>
  <c r="U30" i="10" s="1"/>
  <c r="L32" i="10"/>
  <c r="S33" i="10"/>
  <c r="T33" i="10" s="1"/>
  <c r="U33" i="10" s="1"/>
  <c r="L34" i="10"/>
  <c r="L40" i="10"/>
  <c r="T42" i="10"/>
  <c r="U42" i="10" s="1"/>
  <c r="L45" i="10"/>
  <c r="S51" i="10"/>
  <c r="T51" i="10" s="1"/>
  <c r="U51" i="10" s="1"/>
  <c r="T52" i="10"/>
  <c r="U52" i="10" s="1"/>
  <c r="L53" i="10"/>
  <c r="I14" i="10"/>
  <c r="L15" i="10"/>
  <c r="S15" i="10"/>
  <c r="T15" i="10" s="1"/>
  <c r="U15" i="10" s="1"/>
  <c r="L26" i="10"/>
  <c r="L27" i="10"/>
  <c r="L28" i="10"/>
  <c r="L30" i="10"/>
  <c r="I35" i="10"/>
  <c r="I36" i="10"/>
  <c r="I37" i="10"/>
  <c r="I46" i="10"/>
  <c r="I50" i="10"/>
  <c r="I54" i="10"/>
  <c r="Y57" i="10"/>
  <c r="AC57" i="10"/>
  <c r="AA58" i="10"/>
  <c r="Z57" i="10"/>
  <c r="AB58" i="10"/>
  <c r="AC45" i="9"/>
  <c r="AC47" i="9" s="1"/>
  <c r="AB45" i="9"/>
  <c r="AB46" i="9" s="1"/>
  <c r="AA45" i="9"/>
  <c r="AA46" i="9" s="1"/>
  <c r="Z45" i="9"/>
  <c r="Z47" i="9" s="1"/>
  <c r="Y45" i="9"/>
  <c r="Y47" i="9" s="1"/>
  <c r="AD44" i="9"/>
  <c r="AD43" i="9"/>
  <c r="AD42" i="9"/>
  <c r="AD41" i="9"/>
  <c r="AD40" i="9"/>
  <c r="AD39" i="9"/>
  <c r="AD38" i="9"/>
  <c r="AD37" i="9"/>
  <c r="AD36" i="9"/>
  <c r="AD35" i="9"/>
  <c r="AD34" i="9"/>
  <c r="AD33" i="9"/>
  <c r="AB57" i="6"/>
  <c r="AC56" i="6"/>
  <c r="AC58" i="6" s="1"/>
  <c r="AB56" i="6"/>
  <c r="AB58" i="6" s="1"/>
  <c r="AA56" i="6"/>
  <c r="AA58" i="6" s="1"/>
  <c r="Z56" i="6"/>
  <c r="Z57" i="6" s="1"/>
  <c r="Y56" i="6"/>
  <c r="Y57" i="6" s="1"/>
  <c r="AD55" i="6"/>
  <c r="AD54" i="6"/>
  <c r="AD53" i="6"/>
  <c r="AD52" i="6"/>
  <c r="AD51" i="6"/>
  <c r="AD50" i="6"/>
  <c r="AD49" i="6"/>
  <c r="AD48" i="6"/>
  <c r="AD47" i="6"/>
  <c r="AD46" i="6"/>
  <c r="AD45" i="6"/>
  <c r="AD44" i="6"/>
  <c r="AD31" i="8"/>
  <c r="AD33" i="8" s="1"/>
  <c r="AC31" i="8"/>
  <c r="AC33" i="8" s="1"/>
  <c r="AB31" i="8"/>
  <c r="AB32" i="8" s="1"/>
  <c r="AA31" i="8"/>
  <c r="AA33" i="8" s="1"/>
  <c r="Z31" i="8"/>
  <c r="Z33" i="8" s="1"/>
  <c r="AE30" i="8"/>
  <c r="AE29" i="8"/>
  <c r="AE28" i="8"/>
  <c r="AE27" i="8"/>
  <c r="AE26" i="8"/>
  <c r="AE25" i="8"/>
  <c r="AE24" i="8"/>
  <c r="AE23" i="8"/>
  <c r="AE22" i="8"/>
  <c r="AE21" i="8"/>
  <c r="AE20" i="8"/>
  <c r="AE19" i="8"/>
  <c r="P56" i="8"/>
  <c r="R56" i="8" s="1"/>
  <c r="O56" i="8"/>
  <c r="H56" i="8"/>
  <c r="E56" i="8"/>
  <c r="P55" i="8"/>
  <c r="R55" i="8" s="1"/>
  <c r="O55" i="8"/>
  <c r="H55" i="8"/>
  <c r="E55" i="8"/>
  <c r="P54" i="8"/>
  <c r="R54" i="8" s="1"/>
  <c r="O54" i="8"/>
  <c r="H54" i="8"/>
  <c r="E54" i="8"/>
  <c r="P53" i="8"/>
  <c r="R53" i="8" s="1"/>
  <c r="O53" i="8"/>
  <c r="H53" i="8"/>
  <c r="E53" i="8"/>
  <c r="P52" i="8"/>
  <c r="R52" i="8" s="1"/>
  <c r="O52" i="8"/>
  <c r="H52" i="8"/>
  <c r="E52" i="8"/>
  <c r="R51" i="8"/>
  <c r="P51" i="8"/>
  <c r="O51" i="8"/>
  <c r="H51" i="8"/>
  <c r="E51" i="8"/>
  <c r="P50" i="8"/>
  <c r="R50" i="8" s="1"/>
  <c r="O50" i="8"/>
  <c r="H50" i="8"/>
  <c r="I50" i="8" s="1"/>
  <c r="J50" i="8" s="1"/>
  <c r="K50" i="8" s="1"/>
  <c r="E50" i="8"/>
  <c r="R49" i="8"/>
  <c r="P49" i="8"/>
  <c r="O49" i="8"/>
  <c r="H49" i="8"/>
  <c r="E49" i="8"/>
  <c r="R48" i="8"/>
  <c r="P48" i="8"/>
  <c r="O48" i="8"/>
  <c r="H48" i="8"/>
  <c r="I48" i="8" s="1"/>
  <c r="J48" i="8" s="1"/>
  <c r="K48" i="8" s="1"/>
  <c r="E48" i="8"/>
  <c r="R47" i="8"/>
  <c r="P47" i="8"/>
  <c r="O47" i="8"/>
  <c r="H47" i="8"/>
  <c r="I47" i="8" s="1"/>
  <c r="J47" i="8" s="1"/>
  <c r="K47" i="8" s="1"/>
  <c r="E47" i="8"/>
  <c r="P46" i="8"/>
  <c r="R46" i="8" s="1"/>
  <c r="O46" i="8"/>
  <c r="H46" i="8"/>
  <c r="E46" i="8"/>
  <c r="P45" i="8"/>
  <c r="R45" i="8" s="1"/>
  <c r="O45" i="8"/>
  <c r="H45" i="8"/>
  <c r="E45" i="8"/>
  <c r="P44" i="8"/>
  <c r="R44" i="8" s="1"/>
  <c r="O44" i="8"/>
  <c r="H44" i="8"/>
  <c r="E44" i="8"/>
  <c r="I44" i="8" s="1"/>
  <c r="J44" i="8" s="1"/>
  <c r="K44" i="8" s="1"/>
  <c r="P43" i="8"/>
  <c r="R43" i="8" s="1"/>
  <c r="O43" i="8"/>
  <c r="H43" i="8"/>
  <c r="E43" i="8"/>
  <c r="R42" i="8"/>
  <c r="P42" i="8"/>
  <c r="O42" i="8"/>
  <c r="H42" i="8"/>
  <c r="E42" i="8"/>
  <c r="P41" i="8"/>
  <c r="R41" i="8" s="1"/>
  <c r="O41" i="8"/>
  <c r="H41" i="8"/>
  <c r="E41" i="8"/>
  <c r="P40" i="8"/>
  <c r="R40" i="8" s="1"/>
  <c r="O40" i="8"/>
  <c r="H40" i="8"/>
  <c r="E40" i="8"/>
  <c r="P39" i="8"/>
  <c r="R39" i="8" s="1"/>
  <c r="O39" i="8"/>
  <c r="H39" i="8"/>
  <c r="E39" i="8"/>
  <c r="P38" i="8"/>
  <c r="R38" i="8" s="1"/>
  <c r="O38" i="8"/>
  <c r="H38" i="8"/>
  <c r="E38" i="8"/>
  <c r="I38" i="8" s="1"/>
  <c r="J38" i="8" s="1"/>
  <c r="K38" i="8" s="1"/>
  <c r="P37" i="8"/>
  <c r="R37" i="8" s="1"/>
  <c r="O37" i="8"/>
  <c r="H37" i="8"/>
  <c r="E37" i="8"/>
  <c r="R36" i="8"/>
  <c r="P36" i="8"/>
  <c r="O36" i="8"/>
  <c r="H36" i="8"/>
  <c r="E36" i="8"/>
  <c r="P35" i="8"/>
  <c r="R35" i="8" s="1"/>
  <c r="O35" i="8"/>
  <c r="H35" i="8"/>
  <c r="E35" i="8"/>
  <c r="R34" i="8"/>
  <c r="P34" i="8"/>
  <c r="O34" i="8"/>
  <c r="H34" i="8"/>
  <c r="E34" i="8"/>
  <c r="I34" i="8" s="1"/>
  <c r="J34" i="8" s="1"/>
  <c r="K34" i="8" s="1"/>
  <c r="P33" i="8"/>
  <c r="R33" i="8" s="1"/>
  <c r="O33" i="8"/>
  <c r="H33" i="8"/>
  <c r="E33" i="8"/>
  <c r="P32" i="8"/>
  <c r="R32" i="8" s="1"/>
  <c r="O32" i="8"/>
  <c r="H32" i="8"/>
  <c r="E32" i="8"/>
  <c r="P31" i="8"/>
  <c r="R31" i="8" s="1"/>
  <c r="O31" i="8"/>
  <c r="H31" i="8"/>
  <c r="E31" i="8"/>
  <c r="R30" i="8"/>
  <c r="P30" i="8"/>
  <c r="O30" i="8"/>
  <c r="H30" i="8"/>
  <c r="E30" i="8"/>
  <c r="I30" i="8" s="1"/>
  <c r="J30" i="8" s="1"/>
  <c r="K30" i="8" s="1"/>
  <c r="P29" i="8"/>
  <c r="R29" i="8" s="1"/>
  <c r="O29" i="8"/>
  <c r="H29" i="8"/>
  <c r="E29" i="8"/>
  <c r="P28" i="8"/>
  <c r="R28" i="8" s="1"/>
  <c r="O28" i="8"/>
  <c r="H28" i="8"/>
  <c r="E28" i="8"/>
  <c r="I28" i="8" s="1"/>
  <c r="J28" i="8" s="1"/>
  <c r="K28" i="8" s="1"/>
  <c r="P27" i="8"/>
  <c r="R27" i="8" s="1"/>
  <c r="O27" i="8"/>
  <c r="H27" i="8"/>
  <c r="E27" i="8"/>
  <c r="R26" i="8"/>
  <c r="P26" i="8"/>
  <c r="O26" i="8"/>
  <c r="H26" i="8"/>
  <c r="E26" i="8"/>
  <c r="R25" i="8"/>
  <c r="O25" i="8"/>
  <c r="H25" i="8"/>
  <c r="K25" i="8" s="1"/>
  <c r="E25" i="8"/>
  <c r="I25" i="8" s="1"/>
  <c r="P24" i="8"/>
  <c r="R24" i="8" s="1"/>
  <c r="O24" i="8"/>
  <c r="H24" i="8"/>
  <c r="E24" i="8"/>
  <c r="P23" i="8"/>
  <c r="R23" i="8" s="1"/>
  <c r="O23" i="8"/>
  <c r="H23" i="8"/>
  <c r="E23" i="8"/>
  <c r="I23" i="8" s="1"/>
  <c r="J23" i="8" s="1"/>
  <c r="K23" i="8" s="1"/>
  <c r="P22" i="8"/>
  <c r="R22" i="8" s="1"/>
  <c r="O22" i="8"/>
  <c r="H22" i="8"/>
  <c r="E22" i="8"/>
  <c r="P21" i="8"/>
  <c r="R21" i="8" s="1"/>
  <c r="O21" i="8"/>
  <c r="H21" i="8"/>
  <c r="E21" i="8"/>
  <c r="I21" i="8" s="1"/>
  <c r="J21" i="8" s="1"/>
  <c r="K21" i="8" s="1"/>
  <c r="P20" i="8"/>
  <c r="R20" i="8" s="1"/>
  <c r="O20" i="8"/>
  <c r="H20" i="8"/>
  <c r="E20" i="8"/>
  <c r="P19" i="8"/>
  <c r="R19" i="8" s="1"/>
  <c r="O19" i="8"/>
  <c r="H19" i="8"/>
  <c r="E19" i="8"/>
  <c r="I19" i="8" s="1"/>
  <c r="J19" i="8" s="1"/>
  <c r="K19" i="8" s="1"/>
  <c r="P18" i="8"/>
  <c r="R18" i="8" s="1"/>
  <c r="O18" i="8"/>
  <c r="H18" i="8"/>
  <c r="E18" i="8"/>
  <c r="P17" i="8"/>
  <c r="R17" i="8" s="1"/>
  <c r="O17" i="8"/>
  <c r="H17" i="8"/>
  <c r="E17" i="8"/>
  <c r="I17" i="8" s="1"/>
  <c r="J17" i="8" s="1"/>
  <c r="K17" i="8" s="1"/>
  <c r="P16" i="8"/>
  <c r="R16" i="8" s="1"/>
  <c r="O16" i="8"/>
  <c r="I16" i="8"/>
  <c r="J16" i="8" s="1"/>
  <c r="K16" i="8" s="1"/>
  <c r="H16" i="8"/>
  <c r="E16" i="8"/>
  <c r="P15" i="8"/>
  <c r="R15" i="8" s="1"/>
  <c r="O15" i="8"/>
  <c r="H15" i="8"/>
  <c r="E15" i="8"/>
  <c r="R14" i="8"/>
  <c r="O14" i="8"/>
  <c r="H14" i="8"/>
  <c r="K14" i="8" s="1"/>
  <c r="E14" i="8"/>
  <c r="P13" i="8"/>
  <c r="R13" i="8" s="1"/>
  <c r="O13" i="8"/>
  <c r="H13" i="8"/>
  <c r="E13" i="8"/>
  <c r="P12" i="8"/>
  <c r="R12" i="8" s="1"/>
  <c r="O12" i="8"/>
  <c r="H12" i="8"/>
  <c r="I12" i="8" s="1"/>
  <c r="E12" i="8"/>
  <c r="P11" i="8"/>
  <c r="R11" i="8" s="1"/>
  <c r="O11" i="8"/>
  <c r="H11" i="8"/>
  <c r="I11" i="8" s="1"/>
  <c r="S11" i="8" s="1"/>
  <c r="T11" i="8" s="1"/>
  <c r="U11" i="8" s="1"/>
  <c r="E11" i="8"/>
  <c r="P10" i="8"/>
  <c r="R10" i="8" s="1"/>
  <c r="O10" i="8"/>
  <c r="H10" i="8"/>
  <c r="I10" i="8" s="1"/>
  <c r="E10" i="8"/>
  <c r="P9" i="8"/>
  <c r="R9" i="8" s="1"/>
  <c r="O9" i="8"/>
  <c r="H9" i="8"/>
  <c r="I9" i="8" s="1"/>
  <c r="S9" i="8" s="1"/>
  <c r="T9" i="8" s="1"/>
  <c r="U9" i="8" s="1"/>
  <c r="E9" i="8"/>
  <c r="P8" i="8"/>
  <c r="R8" i="8" s="1"/>
  <c r="O8" i="8"/>
  <c r="H8" i="8"/>
  <c r="I8" i="8" s="1"/>
  <c r="E8" i="8"/>
  <c r="P7" i="8"/>
  <c r="R7" i="8" s="1"/>
  <c r="O7" i="8"/>
  <c r="H7" i="8"/>
  <c r="I7" i="8" s="1"/>
  <c r="S7" i="8" s="1"/>
  <c r="T7" i="8" s="1"/>
  <c r="U7" i="8" s="1"/>
  <c r="E7" i="8"/>
  <c r="P6" i="8"/>
  <c r="R6" i="8" s="1"/>
  <c r="O6" i="8"/>
  <c r="H6" i="8"/>
  <c r="I6" i="8" s="1"/>
  <c r="E6" i="8"/>
  <c r="P5" i="8"/>
  <c r="R5" i="8" s="1"/>
  <c r="O5" i="8"/>
  <c r="H5" i="8"/>
  <c r="I5" i="8" s="1"/>
  <c r="S5" i="8" s="1"/>
  <c r="T5" i="8" s="1"/>
  <c r="U5" i="8" s="1"/>
  <c r="E5" i="8"/>
  <c r="P4" i="8"/>
  <c r="R4" i="8" s="1"/>
  <c r="O4" i="8"/>
  <c r="H4" i="8"/>
  <c r="I4" i="8" s="1"/>
  <c r="E4" i="8"/>
  <c r="P3" i="8"/>
  <c r="R3" i="8" s="1"/>
  <c r="O3" i="8"/>
  <c r="H3" i="8"/>
  <c r="I3" i="8" s="1"/>
  <c r="S3" i="8" s="1"/>
  <c r="T3" i="8" s="1"/>
  <c r="U3" i="8" s="1"/>
  <c r="E3" i="8"/>
  <c r="AI34" i="5"/>
  <c r="AI36" i="5" s="1"/>
  <c r="AH34" i="5"/>
  <c r="AG34" i="5"/>
  <c r="AG35" i="5" s="1"/>
  <c r="AF34" i="5"/>
  <c r="AF36" i="5" s="1"/>
  <c r="AE34" i="5"/>
  <c r="AE36" i="5" s="1"/>
  <c r="AJ33" i="5"/>
  <c r="AJ32" i="5"/>
  <c r="AJ31" i="5"/>
  <c r="AJ30" i="5"/>
  <c r="AJ29" i="5"/>
  <c r="AJ28" i="5"/>
  <c r="AJ27" i="5"/>
  <c r="AJ26" i="5"/>
  <c r="AJ25" i="5"/>
  <c r="AJ24" i="5"/>
  <c r="AJ23" i="5"/>
  <c r="AJ22" i="5"/>
  <c r="K12" i="10" l="1"/>
  <c r="L12" i="10"/>
  <c r="K4" i="10"/>
  <c r="L4" i="10"/>
  <c r="K9" i="10"/>
  <c r="L9" i="10"/>
  <c r="I52" i="8"/>
  <c r="J52" i="8" s="1"/>
  <c r="K52" i="8" s="1"/>
  <c r="L38" i="10"/>
  <c r="S31" i="10"/>
  <c r="T31" i="10" s="1"/>
  <c r="U31" i="10" s="1"/>
  <c r="I15" i="8"/>
  <c r="J15" i="8" s="1"/>
  <c r="K15" i="8" s="1"/>
  <c r="I32" i="8"/>
  <c r="J32" i="8" s="1"/>
  <c r="K32" i="8" s="1"/>
  <c r="I49" i="8"/>
  <c r="J49" i="8" s="1"/>
  <c r="K49" i="8" s="1"/>
  <c r="S12" i="10"/>
  <c r="T12" i="10" s="1"/>
  <c r="U12" i="10" s="1"/>
  <c r="L23" i="10"/>
  <c r="L24" i="10"/>
  <c r="AD58" i="10"/>
  <c r="AF76" i="10" s="1"/>
  <c r="S29" i="10"/>
  <c r="T29" i="10" s="1"/>
  <c r="U29" i="10" s="1"/>
  <c r="I36" i="8"/>
  <c r="J36" i="8" s="1"/>
  <c r="K36" i="8" s="1"/>
  <c r="I51" i="8"/>
  <c r="J51" i="8" s="1"/>
  <c r="K51" i="8" s="1"/>
  <c r="S24" i="10"/>
  <c r="T24" i="10" s="1"/>
  <c r="U24" i="10" s="1"/>
  <c r="S48" i="10"/>
  <c r="T48" i="10" s="1"/>
  <c r="U48" i="10" s="1"/>
  <c r="L19" i="10"/>
  <c r="L31" i="10"/>
  <c r="S38" i="10"/>
  <c r="T38" i="10" s="1"/>
  <c r="U38" i="10" s="1"/>
  <c r="S23" i="10"/>
  <c r="T23" i="10" s="1"/>
  <c r="U23" i="10" s="1"/>
  <c r="K3" i="10"/>
  <c r="J8" i="10"/>
  <c r="L5" i="10"/>
  <c r="L56" i="10"/>
  <c r="I14" i="8"/>
  <c r="I40" i="8"/>
  <c r="J40" i="8" s="1"/>
  <c r="K40" i="8" s="1"/>
  <c r="I45" i="8"/>
  <c r="J45" i="8" s="1"/>
  <c r="K45" i="8" s="1"/>
  <c r="I53" i="8"/>
  <c r="J53" i="8" s="1"/>
  <c r="K53" i="8" s="1"/>
  <c r="L43" i="10"/>
  <c r="S43" i="10"/>
  <c r="T43" i="10" s="1"/>
  <c r="U43" i="10" s="1"/>
  <c r="L6" i="10"/>
  <c r="S4" i="8"/>
  <c r="T4" i="8" s="1"/>
  <c r="U4" i="8" s="1"/>
  <c r="S6" i="8"/>
  <c r="T6" i="8" s="1"/>
  <c r="U6" i="8" s="1"/>
  <c r="S8" i="8"/>
  <c r="T8" i="8" s="1"/>
  <c r="U8" i="8" s="1"/>
  <c r="S10" i="8"/>
  <c r="T10" i="8" s="1"/>
  <c r="U10" i="8" s="1"/>
  <c r="S12" i="8"/>
  <c r="T12" i="8" s="1"/>
  <c r="U12" i="8" s="1"/>
  <c r="I18" i="8"/>
  <c r="J18" i="8" s="1"/>
  <c r="K18" i="8" s="1"/>
  <c r="I20" i="8"/>
  <c r="J20" i="8" s="1"/>
  <c r="K20" i="8" s="1"/>
  <c r="I22" i="8"/>
  <c r="J22" i="8" s="1"/>
  <c r="K22" i="8" s="1"/>
  <c r="I24" i="8"/>
  <c r="J24" i="8" s="1"/>
  <c r="K24" i="8" s="1"/>
  <c r="I26" i="8"/>
  <c r="J26" i="8" s="1"/>
  <c r="K26" i="8" s="1"/>
  <c r="I42" i="8"/>
  <c r="J42" i="8" s="1"/>
  <c r="K42" i="8" s="1"/>
  <c r="L29" i="10"/>
  <c r="S47" i="10"/>
  <c r="T47" i="10" s="1"/>
  <c r="U47" i="10" s="1"/>
  <c r="S50" i="10"/>
  <c r="T50" i="10" s="1"/>
  <c r="U50" i="10" s="1"/>
  <c r="J50" i="10"/>
  <c r="S36" i="10"/>
  <c r="T36" i="10" s="1"/>
  <c r="U36" i="10" s="1"/>
  <c r="J36" i="10"/>
  <c r="S46" i="10"/>
  <c r="T46" i="10" s="1"/>
  <c r="U46" i="10" s="1"/>
  <c r="J46" i="10"/>
  <c r="S35" i="10"/>
  <c r="T35" i="10" s="1"/>
  <c r="U35" i="10" s="1"/>
  <c r="J35" i="10"/>
  <c r="AD57" i="10"/>
  <c r="AF75" i="10" s="1"/>
  <c r="S54" i="10"/>
  <c r="T54" i="10" s="1"/>
  <c r="U54" i="10" s="1"/>
  <c r="J54" i="10"/>
  <c r="S37" i="10"/>
  <c r="T37" i="10" s="1"/>
  <c r="U37" i="10" s="1"/>
  <c r="J37" i="10"/>
  <c r="AD45" i="9"/>
  <c r="Y46" i="9"/>
  <c r="AC46" i="9"/>
  <c r="AA47" i="9"/>
  <c r="Z46" i="9"/>
  <c r="AB47" i="9"/>
  <c r="AD56" i="6"/>
  <c r="AA57" i="6"/>
  <c r="Y58" i="6"/>
  <c r="Z58" i="6"/>
  <c r="AC57" i="6"/>
  <c r="I27" i="8"/>
  <c r="J27" i="8" s="1"/>
  <c r="K27" i="8" s="1"/>
  <c r="I31" i="8"/>
  <c r="J31" i="8" s="1"/>
  <c r="K31" i="8" s="1"/>
  <c r="I35" i="8"/>
  <c r="J35" i="8" s="1"/>
  <c r="K35" i="8" s="1"/>
  <c r="I39" i="8"/>
  <c r="J39" i="8" s="1"/>
  <c r="K39" i="8" s="1"/>
  <c r="I43" i="8"/>
  <c r="J43" i="8" s="1"/>
  <c r="K43" i="8" s="1"/>
  <c r="I54" i="8"/>
  <c r="J54" i="8" s="1"/>
  <c r="K54" i="8" s="1"/>
  <c r="I55" i="8"/>
  <c r="J55" i="8" s="1"/>
  <c r="I56" i="8"/>
  <c r="S47" i="8"/>
  <c r="T47" i="8" s="1"/>
  <c r="U47" i="8" s="1"/>
  <c r="S49" i="8"/>
  <c r="T49" i="8" s="1"/>
  <c r="U49" i="8" s="1"/>
  <c r="S51" i="8"/>
  <c r="T51" i="8" s="1"/>
  <c r="U51" i="8" s="1"/>
  <c r="S53" i="8"/>
  <c r="I29" i="8"/>
  <c r="J29" i="8" s="1"/>
  <c r="K29" i="8" s="1"/>
  <c r="I33" i="8"/>
  <c r="J33" i="8" s="1"/>
  <c r="K33" i="8" s="1"/>
  <c r="I37" i="8"/>
  <c r="J37" i="8" s="1"/>
  <c r="K37" i="8" s="1"/>
  <c r="I41" i="8"/>
  <c r="J41" i="8" s="1"/>
  <c r="K41" i="8" s="1"/>
  <c r="I46" i="8"/>
  <c r="J46" i="8" s="1"/>
  <c r="K46" i="8" s="1"/>
  <c r="S46" i="8"/>
  <c r="T46" i="8" s="1"/>
  <c r="U46" i="8" s="1"/>
  <c r="S48" i="8"/>
  <c r="T48" i="8" s="1"/>
  <c r="U48" i="8" s="1"/>
  <c r="S50" i="8"/>
  <c r="T50" i="8" s="1"/>
  <c r="U50" i="8" s="1"/>
  <c r="AC32" i="8"/>
  <c r="AE31" i="8"/>
  <c r="Z32" i="8"/>
  <c r="AD32" i="8"/>
  <c r="AB33" i="8"/>
  <c r="AE33" i="8" s="1"/>
  <c r="AG51" i="8" s="1"/>
  <c r="AA32" i="8"/>
  <c r="J3" i="8"/>
  <c r="K3" i="8" s="1"/>
  <c r="J5" i="8"/>
  <c r="K5" i="8" s="1"/>
  <c r="J7" i="8"/>
  <c r="K7" i="8" s="1"/>
  <c r="J9" i="8"/>
  <c r="K9" i="8" s="1"/>
  <c r="J11" i="8"/>
  <c r="K11" i="8" s="1"/>
  <c r="J4" i="8"/>
  <c r="K4" i="8" s="1"/>
  <c r="J6" i="8"/>
  <c r="K6" i="8" s="1"/>
  <c r="J8" i="8"/>
  <c r="K8" i="8" s="1"/>
  <c r="J10" i="8"/>
  <c r="K10" i="8" s="1"/>
  <c r="J12" i="8"/>
  <c r="K12" i="8" s="1"/>
  <c r="L4" i="8"/>
  <c r="L10" i="8"/>
  <c r="S15" i="8"/>
  <c r="T15" i="8" s="1"/>
  <c r="U15" i="8" s="1"/>
  <c r="S17" i="8"/>
  <c r="T17" i="8" s="1"/>
  <c r="U17" i="8" s="1"/>
  <c r="S18" i="8"/>
  <c r="T18" i="8" s="1"/>
  <c r="U18" i="8" s="1"/>
  <c r="S19" i="8"/>
  <c r="T19" i="8" s="1"/>
  <c r="U19" i="8" s="1"/>
  <c r="S20" i="8"/>
  <c r="T20" i="8" s="1"/>
  <c r="U20" i="8" s="1"/>
  <c r="S21" i="8"/>
  <c r="T21" i="8" s="1"/>
  <c r="U21" i="8" s="1"/>
  <c r="S22" i="8"/>
  <c r="T22" i="8" s="1"/>
  <c r="U22" i="8" s="1"/>
  <c r="S23" i="8"/>
  <c r="T23" i="8" s="1"/>
  <c r="U23" i="8" s="1"/>
  <c r="S24" i="8"/>
  <c r="T24" i="8" s="1"/>
  <c r="U24" i="8" s="1"/>
  <c r="L47" i="8"/>
  <c r="L49" i="8"/>
  <c r="L51" i="8"/>
  <c r="L53" i="8"/>
  <c r="S26" i="8"/>
  <c r="T26" i="8" s="1"/>
  <c r="U26" i="8" s="1"/>
  <c r="S28" i="8"/>
  <c r="T28" i="8" s="1"/>
  <c r="U28" i="8" s="1"/>
  <c r="L3" i="8"/>
  <c r="L11" i="8"/>
  <c r="L12" i="8"/>
  <c r="S16" i="8"/>
  <c r="T16" i="8" s="1"/>
  <c r="U16" i="8" s="1"/>
  <c r="I13" i="8"/>
  <c r="J13" i="8" s="1"/>
  <c r="K13" i="8" s="1"/>
  <c r="L15" i="8"/>
  <c r="L16" i="8"/>
  <c r="L17" i="8"/>
  <c r="L18" i="8"/>
  <c r="L19" i="8"/>
  <c r="L20" i="8"/>
  <c r="L21" i="8"/>
  <c r="L22" i="8"/>
  <c r="L23" i="8"/>
  <c r="L24" i="8"/>
  <c r="S44" i="8"/>
  <c r="T44" i="8" s="1"/>
  <c r="U44" i="8" s="1"/>
  <c r="J56" i="8"/>
  <c r="K56" i="8" s="1"/>
  <c r="S56" i="8"/>
  <c r="T56" i="8" s="1"/>
  <c r="U56" i="8" s="1"/>
  <c r="S31" i="8"/>
  <c r="T31" i="8" s="1"/>
  <c r="U31" i="8" s="1"/>
  <c r="S32" i="8"/>
  <c r="T32" i="8" s="1"/>
  <c r="U32" i="8" s="1"/>
  <c r="S34" i="8"/>
  <c r="T34" i="8" s="1"/>
  <c r="U34" i="8" s="1"/>
  <c r="S35" i="8"/>
  <c r="T35" i="8" s="1"/>
  <c r="U35" i="8" s="1"/>
  <c r="S36" i="8"/>
  <c r="T36" i="8" s="1"/>
  <c r="U36" i="8" s="1"/>
  <c r="S38" i="8"/>
  <c r="T38" i="8" s="1"/>
  <c r="U38" i="8" s="1"/>
  <c r="S39" i="8"/>
  <c r="T39" i="8" s="1"/>
  <c r="U39" i="8" s="1"/>
  <c r="S40" i="8"/>
  <c r="T40" i="8" s="1"/>
  <c r="U40" i="8" s="1"/>
  <c r="S41" i="8"/>
  <c r="T41" i="8" s="1"/>
  <c r="U41" i="8" s="1"/>
  <c r="S43" i="8"/>
  <c r="T43" i="8" s="1"/>
  <c r="U43" i="8" s="1"/>
  <c r="L48" i="8"/>
  <c r="L50" i="8"/>
  <c r="L52" i="8"/>
  <c r="T53" i="8"/>
  <c r="U53" i="8" s="1"/>
  <c r="S27" i="8"/>
  <c r="T27" i="8" s="1"/>
  <c r="U27" i="8" s="1"/>
  <c r="S29" i="8"/>
  <c r="T29" i="8" s="1"/>
  <c r="U29" i="8" s="1"/>
  <c r="S30" i="8"/>
  <c r="T30" i="8" s="1"/>
  <c r="U30" i="8" s="1"/>
  <c r="L26" i="8"/>
  <c r="L27" i="8"/>
  <c r="L28" i="8"/>
  <c r="L29" i="8"/>
  <c r="L30" i="8"/>
  <c r="L31" i="8"/>
  <c r="L32" i="8"/>
  <c r="L34" i="8"/>
  <c r="L35" i="8"/>
  <c r="L36" i="8"/>
  <c r="L38" i="8"/>
  <c r="L39" i="8"/>
  <c r="L41" i="8"/>
  <c r="L42" i="8"/>
  <c r="L43" i="8"/>
  <c r="L44" i="8"/>
  <c r="L56" i="8"/>
  <c r="AJ34" i="5"/>
  <c r="AE35" i="5"/>
  <c r="AI35" i="5"/>
  <c r="AH36" i="5"/>
  <c r="AJ36" i="5" l="1"/>
  <c r="AL54" i="5" s="1"/>
  <c r="K55" i="8"/>
  <c r="L55" i="8"/>
  <c r="L33" i="8"/>
  <c r="S13" i="8"/>
  <c r="T13" i="8" s="1"/>
  <c r="U13" i="8" s="1"/>
  <c r="S52" i="8"/>
  <c r="T52" i="8" s="1"/>
  <c r="U52" i="8" s="1"/>
  <c r="L40" i="8"/>
  <c r="S37" i="8"/>
  <c r="T37" i="8" s="1"/>
  <c r="U37" i="8" s="1"/>
  <c r="S55" i="8"/>
  <c r="T55" i="8" s="1"/>
  <c r="U55" i="8" s="1"/>
  <c r="L45" i="8"/>
  <c r="L9" i="8"/>
  <c r="K8" i="10"/>
  <c r="L8" i="10"/>
  <c r="L54" i="8"/>
  <c r="L37" i="8"/>
  <c r="S42" i="8"/>
  <c r="T42" i="8" s="1"/>
  <c r="U42" i="8" s="1"/>
  <c r="L5" i="8"/>
  <c r="S45" i="8"/>
  <c r="T45" i="8" s="1"/>
  <c r="U45" i="8" s="1"/>
  <c r="S54" i="8"/>
  <c r="T54" i="8" s="1"/>
  <c r="U54" i="8" s="1"/>
  <c r="S33" i="8"/>
  <c r="T33" i="8" s="1"/>
  <c r="U33" i="8" s="1"/>
  <c r="AD57" i="6"/>
  <c r="AF75" i="6" s="1"/>
  <c r="K37" i="10"/>
  <c r="L37" i="10"/>
  <c r="K35" i="10"/>
  <c r="J57" i="10"/>
  <c r="Z37" i="10" s="1"/>
  <c r="L35" i="10"/>
  <c r="K36" i="10"/>
  <c r="L36" i="10"/>
  <c r="K54" i="10"/>
  <c r="L54" i="10"/>
  <c r="K46" i="10"/>
  <c r="L46" i="10"/>
  <c r="K50" i="10"/>
  <c r="L50" i="10"/>
  <c r="AD47" i="9"/>
  <c r="AF65" i="9" s="1"/>
  <c r="AD46" i="9"/>
  <c r="AF64" i="9" s="1"/>
  <c r="AD58" i="6"/>
  <c r="AF76" i="6" s="1"/>
  <c r="L7" i="8"/>
  <c r="L8" i="8"/>
  <c r="L46" i="8"/>
  <c r="AE32" i="8"/>
  <c r="AG50" i="8" s="1"/>
  <c r="L13" i="8"/>
  <c r="L6" i="8"/>
  <c r="AJ35" i="5"/>
  <c r="AL53" i="5" s="1"/>
  <c r="AP24" i="8" l="1"/>
  <c r="AP21" i="8"/>
  <c r="AP16" i="8"/>
  <c r="AP15" i="8"/>
  <c r="V14" i="9" l="1"/>
  <c r="V25" i="9"/>
  <c r="V57" i="9"/>
  <c r="O56" i="9" l="1"/>
  <c r="Q56" i="9" s="1"/>
  <c r="N56" i="9"/>
  <c r="G56" i="9"/>
  <c r="D56" i="9"/>
  <c r="O55" i="9"/>
  <c r="Q55" i="9" s="1"/>
  <c r="N55" i="9"/>
  <c r="G55" i="9"/>
  <c r="H55" i="9" s="1"/>
  <c r="I55" i="9" s="1"/>
  <c r="J55" i="9" s="1"/>
  <c r="D55" i="9"/>
  <c r="Q54" i="9"/>
  <c r="O54" i="9"/>
  <c r="N54" i="9"/>
  <c r="G54" i="9"/>
  <c r="D54" i="9"/>
  <c r="O53" i="9"/>
  <c r="Q53" i="9" s="1"/>
  <c r="N53" i="9"/>
  <c r="G53" i="9"/>
  <c r="D53" i="9"/>
  <c r="Q52" i="9"/>
  <c r="O52" i="9"/>
  <c r="N52" i="9"/>
  <c r="G52" i="9"/>
  <c r="D52" i="9"/>
  <c r="Q51" i="9"/>
  <c r="O51" i="9"/>
  <c r="N51" i="9"/>
  <c r="G51" i="9"/>
  <c r="D51" i="9"/>
  <c r="Q50" i="9"/>
  <c r="O50" i="9"/>
  <c r="N50" i="9"/>
  <c r="G50" i="9"/>
  <c r="D50" i="9"/>
  <c r="O49" i="9"/>
  <c r="Q49" i="9" s="1"/>
  <c r="N49" i="9"/>
  <c r="G49" i="9"/>
  <c r="D49" i="9"/>
  <c r="Q48" i="9"/>
  <c r="O48" i="9"/>
  <c r="N48" i="9"/>
  <c r="G48" i="9"/>
  <c r="D48" i="9"/>
  <c r="O47" i="9"/>
  <c r="Q47" i="9" s="1"/>
  <c r="N47" i="9"/>
  <c r="G47" i="9"/>
  <c r="D47" i="9"/>
  <c r="O46" i="9"/>
  <c r="Q46" i="9" s="1"/>
  <c r="N46" i="9"/>
  <c r="G46" i="9"/>
  <c r="D46" i="9"/>
  <c r="Q45" i="9"/>
  <c r="O45" i="9"/>
  <c r="N45" i="9"/>
  <c r="G45" i="9"/>
  <c r="D45" i="9"/>
  <c r="H45" i="9" s="1"/>
  <c r="I45" i="9" s="1"/>
  <c r="J45" i="9" s="1"/>
  <c r="O44" i="9"/>
  <c r="Q44" i="9" s="1"/>
  <c r="N44" i="9"/>
  <c r="G44" i="9"/>
  <c r="D44" i="9"/>
  <c r="O43" i="9"/>
  <c r="Q43" i="9" s="1"/>
  <c r="N43" i="9"/>
  <c r="G43" i="9"/>
  <c r="D43" i="9"/>
  <c r="O42" i="9"/>
  <c r="Q42" i="9" s="1"/>
  <c r="N42" i="9"/>
  <c r="G42" i="9"/>
  <c r="D42" i="9"/>
  <c r="Q41" i="9"/>
  <c r="O41" i="9"/>
  <c r="N41" i="9"/>
  <c r="G41" i="9"/>
  <c r="D41" i="9"/>
  <c r="H41" i="9" s="1"/>
  <c r="I41" i="9" s="1"/>
  <c r="J41" i="9" s="1"/>
  <c r="O40" i="9"/>
  <c r="Q40" i="9" s="1"/>
  <c r="N40" i="9"/>
  <c r="G40" i="9"/>
  <c r="D40" i="9"/>
  <c r="O39" i="9"/>
  <c r="Q39" i="9" s="1"/>
  <c r="N39" i="9"/>
  <c r="G39" i="9"/>
  <c r="D39" i="9"/>
  <c r="O38" i="9"/>
  <c r="Q38" i="9" s="1"/>
  <c r="N38" i="9"/>
  <c r="G38" i="9"/>
  <c r="D38" i="9"/>
  <c r="Q37" i="9"/>
  <c r="O37" i="9"/>
  <c r="N37" i="9"/>
  <c r="G37" i="9"/>
  <c r="D37" i="9"/>
  <c r="H37" i="9" s="1"/>
  <c r="I37" i="9" s="1"/>
  <c r="J37" i="9" s="1"/>
  <c r="O36" i="9"/>
  <c r="Q36" i="9" s="1"/>
  <c r="N36" i="9"/>
  <c r="G36" i="9"/>
  <c r="D36" i="9"/>
  <c r="O35" i="9"/>
  <c r="Q35" i="9" s="1"/>
  <c r="N35" i="9"/>
  <c r="G35" i="9"/>
  <c r="D35" i="9"/>
  <c r="O34" i="9"/>
  <c r="Q34" i="9" s="1"/>
  <c r="N34" i="9"/>
  <c r="G34" i="9"/>
  <c r="D34" i="9"/>
  <c r="Q33" i="9"/>
  <c r="O33" i="9"/>
  <c r="N33" i="9"/>
  <c r="G33" i="9"/>
  <c r="D33" i="9"/>
  <c r="H33" i="9" s="1"/>
  <c r="I33" i="9" s="1"/>
  <c r="J33" i="9" s="1"/>
  <c r="O32" i="9"/>
  <c r="Q32" i="9" s="1"/>
  <c r="N32" i="9"/>
  <c r="G32" i="9"/>
  <c r="D32" i="9"/>
  <c r="O31" i="9"/>
  <c r="Q31" i="9" s="1"/>
  <c r="N31" i="9"/>
  <c r="G31" i="9"/>
  <c r="D31" i="9"/>
  <c r="O30" i="9"/>
  <c r="Q30" i="9" s="1"/>
  <c r="N30" i="9"/>
  <c r="G30" i="9"/>
  <c r="D30" i="9"/>
  <c r="Q29" i="9"/>
  <c r="O29" i="9"/>
  <c r="N29" i="9"/>
  <c r="G29" i="9"/>
  <c r="D29" i="9"/>
  <c r="H29" i="9" s="1"/>
  <c r="I29" i="9" s="1"/>
  <c r="J29" i="9" s="1"/>
  <c r="O28" i="9"/>
  <c r="Q28" i="9" s="1"/>
  <c r="N28" i="9"/>
  <c r="G28" i="9"/>
  <c r="D28" i="9"/>
  <c r="O27" i="9"/>
  <c r="Q27" i="9" s="1"/>
  <c r="N27" i="9"/>
  <c r="G27" i="9"/>
  <c r="D27" i="9"/>
  <c r="O26" i="9"/>
  <c r="Q26" i="9" s="1"/>
  <c r="N26" i="9"/>
  <c r="G26" i="9"/>
  <c r="D26" i="9"/>
  <c r="Q25" i="9"/>
  <c r="N25" i="9"/>
  <c r="G25" i="9"/>
  <c r="J25" i="9" s="1"/>
  <c r="D25" i="9"/>
  <c r="O24" i="9"/>
  <c r="Q24" i="9" s="1"/>
  <c r="N24" i="9"/>
  <c r="G24" i="9"/>
  <c r="D24" i="9"/>
  <c r="O23" i="9"/>
  <c r="Q23" i="9" s="1"/>
  <c r="N23" i="9"/>
  <c r="G23" i="9"/>
  <c r="D23" i="9"/>
  <c r="Q22" i="9"/>
  <c r="O22" i="9"/>
  <c r="N22" i="9"/>
  <c r="G22" i="9"/>
  <c r="D22" i="9"/>
  <c r="Q21" i="9"/>
  <c r="O21" i="9"/>
  <c r="N21" i="9"/>
  <c r="G21" i="9"/>
  <c r="H21" i="9" s="1"/>
  <c r="I21" i="9" s="1"/>
  <c r="J21" i="9" s="1"/>
  <c r="D21" i="9"/>
  <c r="Q20" i="9"/>
  <c r="O20" i="9"/>
  <c r="N20" i="9"/>
  <c r="G20" i="9"/>
  <c r="H20" i="9" s="1"/>
  <c r="I20" i="9" s="1"/>
  <c r="J20" i="9" s="1"/>
  <c r="D20" i="9"/>
  <c r="O19" i="9"/>
  <c r="Q19" i="9" s="1"/>
  <c r="N19" i="9"/>
  <c r="G19" i="9"/>
  <c r="H19" i="9" s="1"/>
  <c r="I19" i="9" s="1"/>
  <c r="J19" i="9" s="1"/>
  <c r="D19" i="9"/>
  <c r="Q18" i="9"/>
  <c r="O18" i="9"/>
  <c r="N18" i="9"/>
  <c r="G18" i="9"/>
  <c r="D18" i="9"/>
  <c r="O17" i="9"/>
  <c r="Q17" i="9" s="1"/>
  <c r="N17" i="9"/>
  <c r="G17" i="9"/>
  <c r="D17" i="9"/>
  <c r="O16" i="9"/>
  <c r="Q16" i="9" s="1"/>
  <c r="N16" i="9"/>
  <c r="G16" i="9"/>
  <c r="D16" i="9"/>
  <c r="H16" i="9" s="1"/>
  <c r="I16" i="9" s="1"/>
  <c r="J16" i="9" s="1"/>
  <c r="O15" i="9"/>
  <c r="Q15" i="9" s="1"/>
  <c r="N15" i="9"/>
  <c r="G15" i="9"/>
  <c r="D15" i="9"/>
  <c r="Q14" i="9"/>
  <c r="N14" i="9"/>
  <c r="G14" i="9"/>
  <c r="J14" i="9" s="1"/>
  <c r="D14" i="9"/>
  <c r="O13" i="9"/>
  <c r="Q13" i="9" s="1"/>
  <c r="N13" i="9"/>
  <c r="G13" i="9"/>
  <c r="D13" i="9"/>
  <c r="O12" i="9"/>
  <c r="Q12" i="9" s="1"/>
  <c r="N12" i="9"/>
  <c r="G12" i="9"/>
  <c r="D12" i="9"/>
  <c r="O11" i="9"/>
  <c r="Q11" i="9" s="1"/>
  <c r="N11" i="9"/>
  <c r="G11" i="9"/>
  <c r="D11" i="9"/>
  <c r="O10" i="9"/>
  <c r="Q10" i="9" s="1"/>
  <c r="N10" i="9"/>
  <c r="G10" i="9"/>
  <c r="D10" i="9"/>
  <c r="O9" i="9"/>
  <c r="Q9" i="9" s="1"/>
  <c r="N9" i="9"/>
  <c r="G9" i="9"/>
  <c r="D9" i="9"/>
  <c r="O8" i="9"/>
  <c r="Q8" i="9" s="1"/>
  <c r="N8" i="9"/>
  <c r="G8" i="9"/>
  <c r="D8" i="9"/>
  <c r="O7" i="9"/>
  <c r="Q7" i="9" s="1"/>
  <c r="N7" i="9"/>
  <c r="G7" i="9"/>
  <c r="D7" i="9"/>
  <c r="O6" i="9"/>
  <c r="Q6" i="9" s="1"/>
  <c r="N6" i="9"/>
  <c r="G6" i="9"/>
  <c r="D6" i="9"/>
  <c r="O5" i="9"/>
  <c r="Q5" i="9" s="1"/>
  <c r="N5" i="9"/>
  <c r="G5" i="9"/>
  <c r="D5" i="9"/>
  <c r="O4" i="9"/>
  <c r="Q4" i="9" s="1"/>
  <c r="N4" i="9"/>
  <c r="G4" i="9"/>
  <c r="D4" i="9"/>
  <c r="O3" i="9"/>
  <c r="Q3" i="9" s="1"/>
  <c r="N3" i="9"/>
  <c r="G3" i="9"/>
  <c r="D3" i="9"/>
  <c r="H24" i="9" l="1"/>
  <c r="I24" i="9" s="1"/>
  <c r="J24" i="9" s="1"/>
  <c r="H35" i="9"/>
  <c r="I35" i="9" s="1"/>
  <c r="J35" i="9" s="1"/>
  <c r="H52" i="9"/>
  <c r="I52" i="9" s="1"/>
  <c r="J52" i="9" s="1"/>
  <c r="H18" i="9"/>
  <c r="I18" i="9" s="1"/>
  <c r="J18" i="9" s="1"/>
  <c r="H39" i="9"/>
  <c r="I39" i="9" s="1"/>
  <c r="J39" i="9" s="1"/>
  <c r="H23" i="9"/>
  <c r="I23" i="9" s="1"/>
  <c r="J23" i="9" s="1"/>
  <c r="H17" i="9"/>
  <c r="I17" i="9" s="1"/>
  <c r="J17" i="9" s="1"/>
  <c r="H27" i="9"/>
  <c r="I27" i="9" s="1"/>
  <c r="J27" i="9" s="1"/>
  <c r="H43" i="9"/>
  <c r="I43" i="9" s="1"/>
  <c r="J43" i="9" s="1"/>
  <c r="H48" i="9"/>
  <c r="I48" i="9" s="1"/>
  <c r="J48" i="9" s="1"/>
  <c r="H56" i="9"/>
  <c r="I56" i="9" s="1"/>
  <c r="J56" i="9" s="1"/>
  <c r="H53" i="9"/>
  <c r="I53" i="9" s="1"/>
  <c r="J53" i="9" s="1"/>
  <c r="H22" i="9"/>
  <c r="I22" i="9" s="1"/>
  <c r="J22" i="9" s="1"/>
  <c r="H31" i="9"/>
  <c r="I31" i="9" s="1"/>
  <c r="J31" i="9" s="1"/>
  <c r="H47" i="9"/>
  <c r="I47" i="9" s="1"/>
  <c r="J47" i="9" s="1"/>
  <c r="H50" i="9"/>
  <c r="I50" i="9" s="1"/>
  <c r="J50" i="9" s="1"/>
  <c r="R35" i="9"/>
  <c r="S35" i="9" s="1"/>
  <c r="R53" i="9"/>
  <c r="S53" i="9" s="1"/>
  <c r="R55" i="9"/>
  <c r="S55" i="9" s="1"/>
  <c r="H3" i="9"/>
  <c r="R3" i="9" s="1"/>
  <c r="S3" i="9" s="1"/>
  <c r="H4" i="9"/>
  <c r="R4" i="9" s="1"/>
  <c r="S4" i="9" s="1"/>
  <c r="H5" i="9"/>
  <c r="R5" i="9" s="1"/>
  <c r="S5" i="9" s="1"/>
  <c r="H6" i="9"/>
  <c r="R6" i="9" s="1"/>
  <c r="S6" i="9" s="1"/>
  <c r="H7" i="9"/>
  <c r="R7" i="9" s="1"/>
  <c r="S7" i="9" s="1"/>
  <c r="H8" i="9"/>
  <c r="R8" i="9" s="1"/>
  <c r="S8" i="9" s="1"/>
  <c r="H9" i="9"/>
  <c r="R9" i="9" s="1"/>
  <c r="S9" i="9" s="1"/>
  <c r="H10" i="9"/>
  <c r="R10" i="9" s="1"/>
  <c r="S10" i="9" s="1"/>
  <c r="H11" i="9"/>
  <c r="R11" i="9" s="1"/>
  <c r="S11" i="9" s="1"/>
  <c r="H12" i="9"/>
  <c r="R12" i="9" s="1"/>
  <c r="S12" i="9" s="1"/>
  <c r="H14" i="9"/>
  <c r="H15" i="9"/>
  <c r="I15" i="9" s="1"/>
  <c r="J15" i="9" s="1"/>
  <c r="R16" i="9"/>
  <c r="S16" i="9" s="1"/>
  <c r="H25" i="9"/>
  <c r="H26" i="9"/>
  <c r="I26" i="9" s="1"/>
  <c r="J26" i="9" s="1"/>
  <c r="H30" i="9"/>
  <c r="I30" i="9" s="1"/>
  <c r="J30" i="9" s="1"/>
  <c r="H34" i="9"/>
  <c r="I34" i="9" s="1"/>
  <c r="J34" i="9" s="1"/>
  <c r="H38" i="9"/>
  <c r="I38" i="9" s="1"/>
  <c r="J38" i="9" s="1"/>
  <c r="H42" i="9"/>
  <c r="I42" i="9" s="1"/>
  <c r="J42" i="9" s="1"/>
  <c r="H46" i="9"/>
  <c r="I46" i="9" s="1"/>
  <c r="J46" i="9" s="1"/>
  <c r="H54" i="9"/>
  <c r="I54" i="9" s="1"/>
  <c r="J54" i="9" s="1"/>
  <c r="R54" i="9"/>
  <c r="S54" i="9" s="1"/>
  <c r="R56" i="9"/>
  <c r="R26" i="9"/>
  <c r="S26" i="9" s="1"/>
  <c r="H28" i="9"/>
  <c r="I28" i="9" s="1"/>
  <c r="J28" i="9" s="1"/>
  <c r="H32" i="9"/>
  <c r="I32" i="9" s="1"/>
  <c r="J32" i="9" s="1"/>
  <c r="H36" i="9"/>
  <c r="I36" i="9" s="1"/>
  <c r="J36" i="9" s="1"/>
  <c r="H40" i="9"/>
  <c r="I40" i="9" s="1"/>
  <c r="J40" i="9" s="1"/>
  <c r="H44" i="9"/>
  <c r="I44" i="9" s="1"/>
  <c r="J44" i="9" s="1"/>
  <c r="H49" i="9"/>
  <c r="I49" i="9" s="1"/>
  <c r="J49" i="9" s="1"/>
  <c r="H51" i="9"/>
  <c r="I51" i="9" s="1"/>
  <c r="J51" i="9" s="1"/>
  <c r="R32" i="9"/>
  <c r="S32" i="9" s="1"/>
  <c r="I4" i="9"/>
  <c r="I5" i="9"/>
  <c r="I6" i="9"/>
  <c r="I7" i="9"/>
  <c r="I12" i="9"/>
  <c r="R29" i="9"/>
  <c r="S29" i="9" s="1"/>
  <c r="R33" i="9"/>
  <c r="S33" i="9" s="1"/>
  <c r="K29" i="9"/>
  <c r="K31" i="9"/>
  <c r="K32" i="9"/>
  <c r="K33" i="9"/>
  <c r="K35" i="9"/>
  <c r="K37" i="9"/>
  <c r="K39" i="9"/>
  <c r="K41" i="9"/>
  <c r="K42" i="9"/>
  <c r="K43" i="9"/>
  <c r="K44" i="9"/>
  <c r="K45" i="9"/>
  <c r="K48" i="9"/>
  <c r="K52" i="9"/>
  <c r="K56" i="9"/>
  <c r="R20" i="9"/>
  <c r="S20" i="9" s="1"/>
  <c r="R21" i="9"/>
  <c r="S21" i="9" s="1"/>
  <c r="R23" i="9"/>
  <c r="S23" i="9" s="1"/>
  <c r="R24" i="9"/>
  <c r="S24" i="9" s="1"/>
  <c r="R18" i="9"/>
  <c r="S18" i="9" s="1"/>
  <c r="R19" i="9"/>
  <c r="S19" i="9" s="1"/>
  <c r="H13" i="9"/>
  <c r="I13" i="9" s="1"/>
  <c r="K15" i="9"/>
  <c r="K16" i="9"/>
  <c r="K18" i="9"/>
  <c r="K19" i="9"/>
  <c r="K20" i="9"/>
  <c r="K21" i="9"/>
  <c r="K22" i="9"/>
  <c r="K23" i="9"/>
  <c r="K24" i="9"/>
  <c r="R48" i="9"/>
  <c r="S48" i="9" s="1"/>
  <c r="R52" i="9"/>
  <c r="S52" i="9" s="1"/>
  <c r="K53" i="9"/>
  <c r="K55" i="9"/>
  <c r="S56" i="9"/>
  <c r="R37" i="9"/>
  <c r="S37" i="9" s="1"/>
  <c r="R39" i="9"/>
  <c r="S39" i="9" s="1"/>
  <c r="R41" i="9"/>
  <c r="S41" i="9" s="1"/>
  <c r="R42" i="9"/>
  <c r="S42" i="9" s="1"/>
  <c r="R43" i="9"/>
  <c r="S43" i="9" s="1"/>
  <c r="R44" i="9"/>
  <c r="S44" i="9" s="1"/>
  <c r="R45" i="9"/>
  <c r="S45" i="9" s="1"/>
  <c r="R47" i="9"/>
  <c r="S47" i="9" s="1"/>
  <c r="R17" i="9" l="1"/>
  <c r="S17" i="9" s="1"/>
  <c r="K54" i="9"/>
  <c r="R50" i="9"/>
  <c r="S50" i="9" s="1"/>
  <c r="I3" i="9"/>
  <c r="K50" i="9"/>
  <c r="K28" i="9"/>
  <c r="I10" i="9"/>
  <c r="R36" i="9"/>
  <c r="S36" i="9" s="1"/>
  <c r="T36" i="9" s="1"/>
  <c r="R34" i="9"/>
  <c r="S34" i="9" s="1"/>
  <c r="R51" i="9"/>
  <c r="S51" i="9" s="1"/>
  <c r="K34" i="9"/>
  <c r="K47" i="9"/>
  <c r="K36" i="9"/>
  <c r="K27" i="9"/>
  <c r="I9" i="9"/>
  <c r="J9" i="9" s="1"/>
  <c r="R27" i="9"/>
  <c r="S27" i="9" s="1"/>
  <c r="V27" i="9" s="1"/>
  <c r="R49" i="9"/>
  <c r="S49" i="9" s="1"/>
  <c r="I11" i="9"/>
  <c r="K17" i="9"/>
  <c r="R22" i="9"/>
  <c r="S22" i="9" s="1"/>
  <c r="K26" i="9"/>
  <c r="I8" i="9"/>
  <c r="J8" i="9" s="1"/>
  <c r="R28" i="9"/>
  <c r="S28" i="9" s="1"/>
  <c r="R30" i="9"/>
  <c r="S30" i="9" s="1"/>
  <c r="V30" i="9" s="1"/>
  <c r="R31" i="9"/>
  <c r="S31" i="9" s="1"/>
  <c r="V47" i="9"/>
  <c r="T47" i="9"/>
  <c r="V39" i="9"/>
  <c r="T39" i="9"/>
  <c r="V23" i="9"/>
  <c r="T23" i="9"/>
  <c r="V17" i="9"/>
  <c r="T17" i="9"/>
  <c r="V26" i="9"/>
  <c r="T26" i="9"/>
  <c r="K49" i="9"/>
  <c r="R46" i="9"/>
  <c r="S46" i="9" s="1"/>
  <c r="V42" i="9"/>
  <c r="T42" i="9"/>
  <c r="R38" i="9"/>
  <c r="S38" i="9" s="1"/>
  <c r="V18" i="9"/>
  <c r="T18" i="9"/>
  <c r="V22" i="9"/>
  <c r="T22" i="9"/>
  <c r="K46" i="9"/>
  <c r="K38" i="9"/>
  <c r="K30" i="9"/>
  <c r="R15" i="9"/>
  <c r="S15" i="9" s="1"/>
  <c r="V32" i="9"/>
  <c r="T32" i="9"/>
  <c r="V16" i="9"/>
  <c r="T16" i="9"/>
  <c r="V11" i="9"/>
  <c r="T11" i="9"/>
  <c r="V7" i="9"/>
  <c r="T7" i="9"/>
  <c r="V3" i="9"/>
  <c r="T3" i="9"/>
  <c r="V53" i="9"/>
  <c r="T53" i="9"/>
  <c r="V41" i="9"/>
  <c r="T41" i="9"/>
  <c r="V52" i="9"/>
  <c r="T52" i="9"/>
  <c r="V21" i="9"/>
  <c r="T21" i="9"/>
  <c r="V33" i="9"/>
  <c r="T33" i="9"/>
  <c r="V28" i="9"/>
  <c r="T28" i="9"/>
  <c r="T30" i="9"/>
  <c r="V10" i="9"/>
  <c r="T10" i="9"/>
  <c r="V6" i="9"/>
  <c r="T6" i="9"/>
  <c r="T27" i="9"/>
  <c r="V51" i="9"/>
  <c r="T51" i="9"/>
  <c r="V45" i="9"/>
  <c r="T45" i="9"/>
  <c r="V37" i="9"/>
  <c r="T37" i="9"/>
  <c r="V49" i="9"/>
  <c r="T49" i="9"/>
  <c r="V50" i="9"/>
  <c r="T50" i="9"/>
  <c r="V54" i="9"/>
  <c r="T54" i="9"/>
  <c r="V44" i="9"/>
  <c r="T44" i="9"/>
  <c r="R40" i="9"/>
  <c r="S40" i="9" s="1"/>
  <c r="V56" i="9"/>
  <c r="T56" i="9"/>
  <c r="V24" i="9"/>
  <c r="T24" i="9"/>
  <c r="V20" i="9"/>
  <c r="T20" i="9"/>
  <c r="K40" i="9"/>
  <c r="V29" i="9"/>
  <c r="T29" i="9"/>
  <c r="K51" i="9"/>
  <c r="V9" i="9"/>
  <c r="T9" i="9"/>
  <c r="V5" i="9"/>
  <c r="T5" i="9"/>
  <c r="V55" i="9"/>
  <c r="T55" i="9"/>
  <c r="V35" i="9"/>
  <c r="T35" i="9"/>
  <c r="V43" i="9"/>
  <c r="T43" i="9"/>
  <c r="V48" i="9"/>
  <c r="T48" i="9"/>
  <c r="V19" i="9"/>
  <c r="T19" i="9"/>
  <c r="V36" i="9"/>
  <c r="V34" i="9"/>
  <c r="T34" i="9"/>
  <c r="V12" i="9"/>
  <c r="T12" i="9"/>
  <c r="V8" i="9"/>
  <c r="T8" i="9"/>
  <c r="V4" i="9"/>
  <c r="T4" i="9"/>
  <c r="V31" i="9"/>
  <c r="T31" i="9"/>
  <c r="J13" i="9"/>
  <c r="K13" i="9"/>
  <c r="R13" i="9"/>
  <c r="S13" i="9" s="1"/>
  <c r="J10" i="9"/>
  <c r="K10" i="9"/>
  <c r="J6" i="9"/>
  <c r="K6" i="9"/>
  <c r="K9" i="9"/>
  <c r="J5" i="9"/>
  <c r="K5" i="9"/>
  <c r="J12" i="9"/>
  <c r="K12" i="9"/>
  <c r="K8" i="9"/>
  <c r="J4" i="9"/>
  <c r="K4" i="9"/>
  <c r="J11" i="9"/>
  <c r="K11" i="9"/>
  <c r="J7" i="9"/>
  <c r="K7" i="9"/>
  <c r="J3" i="9"/>
  <c r="K3" i="9"/>
  <c r="V40" i="9" l="1"/>
  <c r="T40" i="9"/>
  <c r="V46" i="9"/>
  <c r="T46" i="9"/>
  <c r="V13" i="9"/>
  <c r="T13" i="9"/>
  <c r="V15" i="9"/>
  <c r="T15" i="9"/>
  <c r="V38" i="9"/>
  <c r="T38" i="9"/>
  <c r="U57" i="6" l="1"/>
  <c r="P56" i="6"/>
  <c r="R56" i="6" s="1"/>
  <c r="O56" i="6"/>
  <c r="H56" i="6"/>
  <c r="I56" i="6" s="1"/>
  <c r="J56" i="6" s="1"/>
  <c r="K56" i="6" s="1"/>
  <c r="E56" i="6"/>
  <c r="R55" i="6"/>
  <c r="P55" i="6"/>
  <c r="O55" i="6"/>
  <c r="H55" i="6"/>
  <c r="I55" i="6" s="1"/>
  <c r="J55" i="6" s="1"/>
  <c r="K55" i="6" s="1"/>
  <c r="E55" i="6"/>
  <c r="R54" i="6"/>
  <c r="P54" i="6"/>
  <c r="O54" i="6"/>
  <c r="H54" i="6"/>
  <c r="I54" i="6" s="1"/>
  <c r="J54" i="6" s="1"/>
  <c r="K54" i="6" s="1"/>
  <c r="E54" i="6"/>
  <c r="P53" i="6"/>
  <c r="R53" i="6" s="1"/>
  <c r="O53" i="6"/>
  <c r="H53" i="6"/>
  <c r="E53" i="6"/>
  <c r="R52" i="6"/>
  <c r="P52" i="6"/>
  <c r="O52" i="6"/>
  <c r="H52" i="6"/>
  <c r="I52" i="6" s="1"/>
  <c r="J52" i="6" s="1"/>
  <c r="K52" i="6" s="1"/>
  <c r="E52" i="6"/>
  <c r="R51" i="6"/>
  <c r="P51" i="6"/>
  <c r="O51" i="6"/>
  <c r="H51" i="6"/>
  <c r="E51" i="6"/>
  <c r="R50" i="6"/>
  <c r="P50" i="6"/>
  <c r="O50" i="6"/>
  <c r="H50" i="6"/>
  <c r="E50" i="6"/>
  <c r="P49" i="6"/>
  <c r="R49" i="6" s="1"/>
  <c r="O49" i="6"/>
  <c r="H49" i="6"/>
  <c r="E49" i="6"/>
  <c r="R48" i="6"/>
  <c r="P48" i="6"/>
  <c r="O48" i="6"/>
  <c r="H48" i="6"/>
  <c r="I48" i="6" s="1"/>
  <c r="J48" i="6" s="1"/>
  <c r="K48" i="6" s="1"/>
  <c r="E48" i="6"/>
  <c r="R47" i="6"/>
  <c r="P47" i="6"/>
  <c r="O47" i="6"/>
  <c r="H47" i="6"/>
  <c r="I47" i="6" s="1"/>
  <c r="J47" i="6" s="1"/>
  <c r="K47" i="6" s="1"/>
  <c r="E47" i="6"/>
  <c r="R46" i="6"/>
  <c r="P46" i="6"/>
  <c r="O46" i="6"/>
  <c r="H46" i="6"/>
  <c r="E46" i="6"/>
  <c r="P45" i="6"/>
  <c r="R45" i="6" s="1"/>
  <c r="O45" i="6"/>
  <c r="H45" i="6"/>
  <c r="E45" i="6"/>
  <c r="I45" i="6" s="1"/>
  <c r="J45" i="6" s="1"/>
  <c r="K45" i="6" s="1"/>
  <c r="P44" i="6"/>
  <c r="R44" i="6" s="1"/>
  <c r="O44" i="6"/>
  <c r="H44" i="6"/>
  <c r="E44" i="6"/>
  <c r="I44" i="6" s="1"/>
  <c r="J44" i="6" s="1"/>
  <c r="K44" i="6" s="1"/>
  <c r="R43" i="6"/>
  <c r="P43" i="6"/>
  <c r="O43" i="6"/>
  <c r="H43" i="6"/>
  <c r="E43" i="6"/>
  <c r="I43" i="6" s="1"/>
  <c r="J43" i="6" s="1"/>
  <c r="K43" i="6" s="1"/>
  <c r="P42" i="6"/>
  <c r="R42" i="6" s="1"/>
  <c r="O42" i="6"/>
  <c r="H42" i="6"/>
  <c r="E42" i="6"/>
  <c r="R41" i="6"/>
  <c r="P41" i="6"/>
  <c r="O41" i="6"/>
  <c r="H41" i="6"/>
  <c r="E41" i="6"/>
  <c r="I41" i="6" s="1"/>
  <c r="J41" i="6" s="1"/>
  <c r="K41" i="6" s="1"/>
  <c r="P40" i="6"/>
  <c r="R40" i="6" s="1"/>
  <c r="O40" i="6"/>
  <c r="H40" i="6"/>
  <c r="E40" i="6"/>
  <c r="R39" i="6"/>
  <c r="P39" i="6"/>
  <c r="O39" i="6"/>
  <c r="H39" i="6"/>
  <c r="E39" i="6"/>
  <c r="I39" i="6" s="1"/>
  <c r="J39" i="6" s="1"/>
  <c r="K39" i="6" s="1"/>
  <c r="P38" i="6"/>
  <c r="R38" i="6" s="1"/>
  <c r="O38" i="6"/>
  <c r="H38" i="6"/>
  <c r="E38" i="6"/>
  <c r="R37" i="6"/>
  <c r="P37" i="6"/>
  <c r="O37" i="6"/>
  <c r="H37" i="6"/>
  <c r="E37" i="6"/>
  <c r="I37" i="6" s="1"/>
  <c r="J37" i="6" s="1"/>
  <c r="K37" i="6" s="1"/>
  <c r="P36" i="6"/>
  <c r="R36" i="6" s="1"/>
  <c r="O36" i="6"/>
  <c r="H36" i="6"/>
  <c r="E36" i="6"/>
  <c r="R35" i="6"/>
  <c r="P35" i="6"/>
  <c r="O35" i="6"/>
  <c r="H35" i="6"/>
  <c r="E35" i="6"/>
  <c r="I35" i="6" s="1"/>
  <c r="J35" i="6" s="1"/>
  <c r="K35" i="6" s="1"/>
  <c r="P34" i="6"/>
  <c r="R34" i="6" s="1"/>
  <c r="O34" i="6"/>
  <c r="H34" i="6"/>
  <c r="E34" i="6"/>
  <c r="R33" i="6"/>
  <c r="P33" i="6"/>
  <c r="O33" i="6"/>
  <c r="H33" i="6"/>
  <c r="E33" i="6"/>
  <c r="I33" i="6" s="1"/>
  <c r="J33" i="6" s="1"/>
  <c r="K33" i="6" s="1"/>
  <c r="P32" i="6"/>
  <c r="R32" i="6" s="1"/>
  <c r="O32" i="6"/>
  <c r="H32" i="6"/>
  <c r="E32" i="6"/>
  <c r="R31" i="6"/>
  <c r="P31" i="6"/>
  <c r="O31" i="6"/>
  <c r="H31" i="6"/>
  <c r="E31" i="6"/>
  <c r="I31" i="6" s="1"/>
  <c r="J31" i="6" s="1"/>
  <c r="K31" i="6" s="1"/>
  <c r="P30" i="6"/>
  <c r="R30" i="6" s="1"/>
  <c r="O30" i="6"/>
  <c r="H30" i="6"/>
  <c r="E30" i="6"/>
  <c r="R29" i="6"/>
  <c r="P29" i="6"/>
  <c r="O29" i="6"/>
  <c r="H29" i="6"/>
  <c r="E29" i="6"/>
  <c r="I29" i="6" s="1"/>
  <c r="J29" i="6" s="1"/>
  <c r="K29" i="6" s="1"/>
  <c r="P28" i="6"/>
  <c r="R28" i="6" s="1"/>
  <c r="O28" i="6"/>
  <c r="H28" i="6"/>
  <c r="E28" i="6"/>
  <c r="R27" i="6"/>
  <c r="P27" i="6"/>
  <c r="O27" i="6"/>
  <c r="S27" i="6" s="1"/>
  <c r="T27" i="6" s="1"/>
  <c r="U27" i="6" s="1"/>
  <c r="H27" i="6"/>
  <c r="E27" i="6"/>
  <c r="I27" i="6" s="1"/>
  <c r="J27" i="6" s="1"/>
  <c r="K27" i="6" s="1"/>
  <c r="P26" i="6"/>
  <c r="R26" i="6" s="1"/>
  <c r="O26" i="6"/>
  <c r="H26" i="6"/>
  <c r="E26" i="6"/>
  <c r="R25" i="6"/>
  <c r="O25" i="6"/>
  <c r="K25" i="6"/>
  <c r="H25" i="6"/>
  <c r="I25" i="6" s="1"/>
  <c r="E25" i="6"/>
  <c r="R24" i="6"/>
  <c r="P24" i="6"/>
  <c r="O24" i="6"/>
  <c r="H24" i="6"/>
  <c r="I24" i="6" s="1"/>
  <c r="J24" i="6" s="1"/>
  <c r="K24" i="6" s="1"/>
  <c r="E24" i="6"/>
  <c r="R23" i="6"/>
  <c r="P23" i="6"/>
  <c r="O23" i="6"/>
  <c r="H23" i="6"/>
  <c r="I23" i="6" s="1"/>
  <c r="J23" i="6" s="1"/>
  <c r="K23" i="6" s="1"/>
  <c r="E23" i="6"/>
  <c r="R22" i="6"/>
  <c r="P22" i="6"/>
  <c r="O22" i="6"/>
  <c r="H22" i="6"/>
  <c r="I22" i="6" s="1"/>
  <c r="J22" i="6" s="1"/>
  <c r="K22" i="6" s="1"/>
  <c r="E22" i="6"/>
  <c r="R21" i="6"/>
  <c r="P21" i="6"/>
  <c r="O21" i="6"/>
  <c r="H21" i="6"/>
  <c r="I21" i="6" s="1"/>
  <c r="J21" i="6" s="1"/>
  <c r="K21" i="6" s="1"/>
  <c r="E21" i="6"/>
  <c r="R20" i="6"/>
  <c r="P20" i="6"/>
  <c r="O20" i="6"/>
  <c r="H20" i="6"/>
  <c r="I20" i="6" s="1"/>
  <c r="J20" i="6" s="1"/>
  <c r="K20" i="6" s="1"/>
  <c r="E20" i="6"/>
  <c r="R19" i="6"/>
  <c r="P19" i="6"/>
  <c r="O19" i="6"/>
  <c r="H19" i="6"/>
  <c r="I19" i="6" s="1"/>
  <c r="J19" i="6" s="1"/>
  <c r="K19" i="6" s="1"/>
  <c r="E19" i="6"/>
  <c r="R18" i="6"/>
  <c r="P18" i="6"/>
  <c r="O18" i="6"/>
  <c r="H18" i="6"/>
  <c r="I18" i="6" s="1"/>
  <c r="J18" i="6" s="1"/>
  <c r="K18" i="6" s="1"/>
  <c r="E18" i="6"/>
  <c r="R17" i="6"/>
  <c r="P17" i="6"/>
  <c r="O17" i="6"/>
  <c r="H17" i="6"/>
  <c r="I17" i="6" s="1"/>
  <c r="J17" i="6" s="1"/>
  <c r="K17" i="6" s="1"/>
  <c r="E17" i="6"/>
  <c r="R16" i="6"/>
  <c r="P16" i="6"/>
  <c r="O16" i="6"/>
  <c r="H16" i="6"/>
  <c r="I16" i="6" s="1"/>
  <c r="J16" i="6" s="1"/>
  <c r="K16" i="6" s="1"/>
  <c r="E16" i="6"/>
  <c r="R15" i="6"/>
  <c r="P15" i="6"/>
  <c r="O15" i="6"/>
  <c r="H15" i="6"/>
  <c r="I15" i="6" s="1"/>
  <c r="J15" i="6" s="1"/>
  <c r="K15" i="6" s="1"/>
  <c r="E15" i="6"/>
  <c r="R14" i="6"/>
  <c r="O14" i="6"/>
  <c r="H14" i="6"/>
  <c r="K14" i="6" s="1"/>
  <c r="E14" i="6"/>
  <c r="R13" i="6"/>
  <c r="P13" i="6"/>
  <c r="O13" i="6"/>
  <c r="H13" i="6"/>
  <c r="E13" i="6"/>
  <c r="P12" i="6"/>
  <c r="R12" i="6" s="1"/>
  <c r="O12" i="6"/>
  <c r="H12" i="6"/>
  <c r="E12" i="6"/>
  <c r="P11" i="6"/>
  <c r="R11" i="6" s="1"/>
  <c r="O11" i="6"/>
  <c r="H11" i="6"/>
  <c r="E11" i="6"/>
  <c r="P10" i="6"/>
  <c r="R10" i="6" s="1"/>
  <c r="O10" i="6"/>
  <c r="H10" i="6"/>
  <c r="E10" i="6"/>
  <c r="P9" i="6"/>
  <c r="R9" i="6" s="1"/>
  <c r="O9" i="6"/>
  <c r="H9" i="6"/>
  <c r="E9" i="6"/>
  <c r="P8" i="6"/>
  <c r="R8" i="6" s="1"/>
  <c r="O8" i="6"/>
  <c r="H8" i="6"/>
  <c r="E8" i="6"/>
  <c r="P7" i="6"/>
  <c r="R7" i="6" s="1"/>
  <c r="O7" i="6"/>
  <c r="H7" i="6"/>
  <c r="E7" i="6"/>
  <c r="P6" i="6"/>
  <c r="R6" i="6" s="1"/>
  <c r="O6" i="6"/>
  <c r="H6" i="6"/>
  <c r="E6" i="6"/>
  <c r="P5" i="6"/>
  <c r="R5" i="6" s="1"/>
  <c r="O5" i="6"/>
  <c r="H5" i="6"/>
  <c r="E5" i="6"/>
  <c r="P4" i="6"/>
  <c r="R4" i="6" s="1"/>
  <c r="O4" i="6"/>
  <c r="H4" i="6"/>
  <c r="E4" i="6"/>
  <c r="P3" i="6"/>
  <c r="R3" i="6" s="1"/>
  <c r="O3" i="6"/>
  <c r="H3" i="6"/>
  <c r="E3" i="6"/>
  <c r="S5" i="6" l="1"/>
  <c r="T5" i="6" s="1"/>
  <c r="U5" i="6" s="1"/>
  <c r="S54" i="6"/>
  <c r="T54" i="6" s="1"/>
  <c r="U54" i="6" s="1"/>
  <c r="I4" i="6"/>
  <c r="S4" i="6" s="1"/>
  <c r="T4" i="6" s="1"/>
  <c r="U4" i="6" s="1"/>
  <c r="I8" i="6"/>
  <c r="J8" i="6" s="1"/>
  <c r="I26" i="6"/>
  <c r="J26" i="6" s="1"/>
  <c r="K26" i="6" s="1"/>
  <c r="I34" i="6"/>
  <c r="J34" i="6" s="1"/>
  <c r="K34" i="6" s="1"/>
  <c r="I42" i="6"/>
  <c r="J42" i="6" s="1"/>
  <c r="K42" i="6" s="1"/>
  <c r="I49" i="6"/>
  <c r="J49" i="6" s="1"/>
  <c r="K49" i="6" s="1"/>
  <c r="I53" i="6"/>
  <c r="J53" i="6" s="1"/>
  <c r="K53" i="6" s="1"/>
  <c r="S53" i="6"/>
  <c r="T53" i="6" s="1"/>
  <c r="U53" i="6" s="1"/>
  <c r="I3" i="6"/>
  <c r="J3" i="6" s="1"/>
  <c r="I7" i="6"/>
  <c r="S7" i="6" s="1"/>
  <c r="T7" i="6" s="1"/>
  <c r="U7" i="6" s="1"/>
  <c r="I10" i="6"/>
  <c r="J10" i="6" s="1"/>
  <c r="K10" i="6" s="1"/>
  <c r="I12" i="6"/>
  <c r="J12" i="6" s="1"/>
  <c r="K12" i="6" s="1"/>
  <c r="I14" i="6"/>
  <c r="I28" i="6"/>
  <c r="J28" i="6" s="1"/>
  <c r="K28" i="6" s="1"/>
  <c r="I36" i="6"/>
  <c r="J36" i="6" s="1"/>
  <c r="K36" i="6" s="1"/>
  <c r="S31" i="6"/>
  <c r="T31" i="6" s="1"/>
  <c r="U31" i="6" s="1"/>
  <c r="S48" i="6"/>
  <c r="T48" i="6" s="1"/>
  <c r="U48" i="6" s="1"/>
  <c r="S52" i="6"/>
  <c r="T52" i="6" s="1"/>
  <c r="U52" i="6" s="1"/>
  <c r="S56" i="6"/>
  <c r="I6" i="6"/>
  <c r="S6" i="6" s="1"/>
  <c r="T6" i="6" s="1"/>
  <c r="U6" i="6" s="1"/>
  <c r="I30" i="6"/>
  <c r="J30" i="6" s="1"/>
  <c r="K30" i="6" s="1"/>
  <c r="I38" i="6"/>
  <c r="J38" i="6" s="1"/>
  <c r="K38" i="6" s="1"/>
  <c r="I51" i="6"/>
  <c r="J51" i="6" s="1"/>
  <c r="K51" i="6" s="1"/>
  <c r="S55" i="6"/>
  <c r="T55" i="6" s="1"/>
  <c r="U55" i="6" s="1"/>
  <c r="I5" i="6"/>
  <c r="J5" i="6" s="1"/>
  <c r="K5" i="6" s="1"/>
  <c r="I9" i="6"/>
  <c r="J9" i="6" s="1"/>
  <c r="K9" i="6" s="1"/>
  <c r="I11" i="6"/>
  <c r="J11" i="6" s="1"/>
  <c r="K11" i="6" s="1"/>
  <c r="I32" i="6"/>
  <c r="J32" i="6" s="1"/>
  <c r="K32" i="6" s="1"/>
  <c r="I40" i="6"/>
  <c r="J40" i="6" s="1"/>
  <c r="K40" i="6" s="1"/>
  <c r="I46" i="6"/>
  <c r="J46" i="6" s="1"/>
  <c r="K46" i="6" s="1"/>
  <c r="I50" i="6"/>
  <c r="J50" i="6" s="1"/>
  <c r="K50" i="6" s="1"/>
  <c r="S11" i="6"/>
  <c r="T11" i="6" s="1"/>
  <c r="U11" i="6" s="1"/>
  <c r="I13" i="6"/>
  <c r="S13" i="6" s="1"/>
  <c r="T13" i="6" s="1"/>
  <c r="U13" i="6" s="1"/>
  <c r="L11" i="6"/>
  <c r="S26" i="6"/>
  <c r="T26" i="6" s="1"/>
  <c r="U26" i="6" s="1"/>
  <c r="S10" i="6"/>
  <c r="T10" i="6" s="1"/>
  <c r="U10" i="6" s="1"/>
  <c r="S12" i="6"/>
  <c r="T12" i="6" s="1"/>
  <c r="U12" i="6" s="1"/>
  <c r="L5" i="6"/>
  <c r="L10" i="6"/>
  <c r="L12" i="6"/>
  <c r="S9" i="6"/>
  <c r="T9" i="6" s="1"/>
  <c r="U9" i="6" s="1"/>
  <c r="S29" i="6"/>
  <c r="T29" i="6" s="1"/>
  <c r="U29" i="6" s="1"/>
  <c r="S36" i="6"/>
  <c r="T36" i="6" s="1"/>
  <c r="U36" i="6" s="1"/>
  <c r="S37" i="6"/>
  <c r="T37" i="6" s="1"/>
  <c r="U37" i="6" s="1"/>
  <c r="S39" i="6"/>
  <c r="T39" i="6" s="1"/>
  <c r="U39" i="6" s="1"/>
  <c r="S40" i="6"/>
  <c r="T40" i="6" s="1"/>
  <c r="U40" i="6" s="1"/>
  <c r="S41" i="6"/>
  <c r="T41" i="6" s="1"/>
  <c r="U41" i="6" s="1"/>
  <c r="S42" i="6"/>
  <c r="T42" i="6" s="1"/>
  <c r="U42" i="6" s="1"/>
  <c r="S43" i="6"/>
  <c r="T43" i="6" s="1"/>
  <c r="U43" i="6" s="1"/>
  <c r="S44" i="6"/>
  <c r="T44" i="6" s="1"/>
  <c r="U44" i="6" s="1"/>
  <c r="S45" i="6"/>
  <c r="T45" i="6" s="1"/>
  <c r="U45" i="6" s="1"/>
  <c r="L47" i="6"/>
  <c r="S33" i="6"/>
  <c r="T33" i="6" s="1"/>
  <c r="U33" i="6" s="1"/>
  <c r="S34" i="6"/>
  <c r="T34" i="6" s="1"/>
  <c r="U34" i="6" s="1"/>
  <c r="S35" i="6"/>
  <c r="T35" i="6" s="1"/>
  <c r="U35" i="6" s="1"/>
  <c r="L26" i="6"/>
  <c r="L27" i="6"/>
  <c r="L28" i="6"/>
  <c r="L29" i="6"/>
  <c r="L31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55" i="6"/>
  <c r="T56" i="6"/>
  <c r="U56" i="6" s="1"/>
  <c r="S16" i="6"/>
  <c r="T16" i="6" s="1"/>
  <c r="U16" i="6" s="1"/>
  <c r="S17" i="6"/>
  <c r="T17" i="6" s="1"/>
  <c r="U17" i="6" s="1"/>
  <c r="S18" i="6"/>
  <c r="T18" i="6" s="1"/>
  <c r="U18" i="6" s="1"/>
  <c r="S19" i="6"/>
  <c r="T19" i="6" s="1"/>
  <c r="U19" i="6" s="1"/>
  <c r="S20" i="6"/>
  <c r="T20" i="6" s="1"/>
  <c r="U20" i="6" s="1"/>
  <c r="S21" i="6"/>
  <c r="T21" i="6" s="1"/>
  <c r="U21" i="6" s="1"/>
  <c r="S22" i="6"/>
  <c r="T22" i="6" s="1"/>
  <c r="U22" i="6" s="1"/>
  <c r="S23" i="6"/>
  <c r="T23" i="6" s="1"/>
  <c r="U23" i="6" s="1"/>
  <c r="S24" i="6"/>
  <c r="T24" i="6" s="1"/>
  <c r="U24" i="6" s="1"/>
  <c r="S47" i="6"/>
  <c r="T47" i="6" s="1"/>
  <c r="U47" i="6" s="1"/>
  <c r="S15" i="6"/>
  <c r="T15" i="6" s="1"/>
  <c r="U15" i="6" s="1"/>
  <c r="J13" i="6"/>
  <c r="K13" i="6" s="1"/>
  <c r="L15" i="6"/>
  <c r="L16" i="6"/>
  <c r="L17" i="6"/>
  <c r="L18" i="6"/>
  <c r="L19" i="6"/>
  <c r="L20" i="6"/>
  <c r="L21" i="6"/>
  <c r="L22" i="6"/>
  <c r="L23" i="6"/>
  <c r="L24" i="6"/>
  <c r="S46" i="6"/>
  <c r="T46" i="6" s="1"/>
  <c r="U46" i="6" s="1"/>
  <c r="L48" i="6"/>
  <c r="L52" i="6"/>
  <c r="L54" i="6"/>
  <c r="L56" i="6"/>
  <c r="U57" i="5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3" i="4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3" i="5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3" i="4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26" i="5"/>
  <c r="P16" i="5"/>
  <c r="P17" i="5"/>
  <c r="P18" i="5"/>
  <c r="P19" i="5"/>
  <c r="P20" i="5"/>
  <c r="P21" i="5"/>
  <c r="P22" i="5"/>
  <c r="P23" i="5"/>
  <c r="P24" i="5"/>
  <c r="P15" i="5"/>
  <c r="P4" i="5"/>
  <c r="P5" i="5"/>
  <c r="P6" i="5"/>
  <c r="P7" i="5"/>
  <c r="P8" i="5"/>
  <c r="P9" i="5"/>
  <c r="P10" i="5"/>
  <c r="P11" i="5"/>
  <c r="P12" i="5"/>
  <c r="P13" i="5"/>
  <c r="P3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K25" i="5" s="1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K8" i="6" l="1"/>
  <c r="L8" i="6"/>
  <c r="K3" i="6"/>
  <c r="L3" i="6"/>
  <c r="L51" i="6"/>
  <c r="J7" i="6"/>
  <c r="J4" i="6"/>
  <c r="S32" i="6"/>
  <c r="T32" i="6" s="1"/>
  <c r="U32" i="6" s="1"/>
  <c r="S28" i="6"/>
  <c r="T28" i="6" s="1"/>
  <c r="U28" i="6" s="1"/>
  <c r="L53" i="6"/>
  <c r="S3" i="6"/>
  <c r="T3" i="6" s="1"/>
  <c r="U3" i="6" s="1"/>
  <c r="L32" i="6"/>
  <c r="S50" i="6"/>
  <c r="T50" i="6" s="1"/>
  <c r="U50" i="6" s="1"/>
  <c r="S8" i="6"/>
  <c r="T8" i="6" s="1"/>
  <c r="U8" i="6" s="1"/>
  <c r="S51" i="6"/>
  <c r="T51" i="6" s="1"/>
  <c r="U51" i="6" s="1"/>
  <c r="S49" i="6"/>
  <c r="T49" i="6" s="1"/>
  <c r="U49" i="6" s="1"/>
  <c r="L49" i="6"/>
  <c r="L9" i="6"/>
  <c r="L30" i="6"/>
  <c r="S38" i="6"/>
  <c r="T38" i="6" s="1"/>
  <c r="U38" i="6" s="1"/>
  <c r="L50" i="6"/>
  <c r="S30" i="6"/>
  <c r="T30" i="6" s="1"/>
  <c r="U30" i="6" s="1"/>
  <c r="L46" i="6"/>
  <c r="J6" i="6"/>
  <c r="J57" i="6"/>
  <c r="L13" i="6"/>
  <c r="AP28" i="8"/>
  <c r="I54" i="4"/>
  <c r="J54" i="4" s="1"/>
  <c r="K54" i="4" s="1"/>
  <c r="I50" i="4"/>
  <c r="J50" i="4" s="1"/>
  <c r="K50" i="4" s="1"/>
  <c r="I46" i="4"/>
  <c r="J46" i="4" s="1"/>
  <c r="K46" i="4" s="1"/>
  <c r="I42" i="4"/>
  <c r="J42" i="4" s="1"/>
  <c r="K42" i="4" s="1"/>
  <c r="I38" i="4"/>
  <c r="J38" i="4" s="1"/>
  <c r="I34" i="4"/>
  <c r="J34" i="4" s="1"/>
  <c r="K34" i="4" s="1"/>
  <c r="I30" i="4"/>
  <c r="J30" i="4" s="1"/>
  <c r="K30" i="4" s="1"/>
  <c r="I26" i="4"/>
  <c r="J26" i="4" s="1"/>
  <c r="I22" i="4"/>
  <c r="J22" i="4" s="1"/>
  <c r="K22" i="4" s="1"/>
  <c r="I18" i="4"/>
  <c r="J18" i="4" s="1"/>
  <c r="K18" i="4" s="1"/>
  <c r="I14" i="4"/>
  <c r="J14" i="4" s="1"/>
  <c r="I10" i="4"/>
  <c r="J10" i="4" s="1"/>
  <c r="K10" i="4" s="1"/>
  <c r="I6" i="4"/>
  <c r="J6" i="4" s="1"/>
  <c r="K6" i="4" s="1"/>
  <c r="I3" i="4"/>
  <c r="J3" i="4" s="1"/>
  <c r="K3" i="4" s="1"/>
  <c r="I53" i="4"/>
  <c r="J53" i="4" s="1"/>
  <c r="K53" i="4" s="1"/>
  <c r="I49" i="4"/>
  <c r="J49" i="4" s="1"/>
  <c r="K49" i="4" s="1"/>
  <c r="I45" i="4"/>
  <c r="J45" i="4" s="1"/>
  <c r="K45" i="4" s="1"/>
  <c r="I41" i="4"/>
  <c r="J41" i="4" s="1"/>
  <c r="K41" i="4" s="1"/>
  <c r="I37" i="4"/>
  <c r="J37" i="4" s="1"/>
  <c r="K37" i="4" s="1"/>
  <c r="I33" i="4"/>
  <c r="J33" i="4" s="1"/>
  <c r="K33" i="4" s="1"/>
  <c r="I29" i="4"/>
  <c r="J29" i="4" s="1"/>
  <c r="K29" i="4" s="1"/>
  <c r="I25" i="4"/>
  <c r="J25" i="4" s="1"/>
  <c r="I21" i="4"/>
  <c r="J21" i="4" s="1"/>
  <c r="K21" i="4" s="1"/>
  <c r="I17" i="4"/>
  <c r="J17" i="4" s="1"/>
  <c r="K17" i="4" s="1"/>
  <c r="I13" i="4"/>
  <c r="J13" i="4" s="1"/>
  <c r="K13" i="4" s="1"/>
  <c r="I9" i="4"/>
  <c r="J9" i="4" s="1"/>
  <c r="K9" i="4" s="1"/>
  <c r="I5" i="4"/>
  <c r="J5" i="4" s="1"/>
  <c r="K5" i="4" s="1"/>
  <c r="I56" i="4"/>
  <c r="J56" i="4" s="1"/>
  <c r="K56" i="4" s="1"/>
  <c r="I52" i="4"/>
  <c r="J52" i="4" s="1"/>
  <c r="K52" i="4" s="1"/>
  <c r="I48" i="4"/>
  <c r="J48" i="4" s="1"/>
  <c r="K48" i="4" s="1"/>
  <c r="I44" i="4"/>
  <c r="J44" i="4" s="1"/>
  <c r="K44" i="4" s="1"/>
  <c r="I40" i="4"/>
  <c r="J40" i="4" s="1"/>
  <c r="K40" i="4" s="1"/>
  <c r="I36" i="4"/>
  <c r="J36" i="4" s="1"/>
  <c r="K36" i="4" s="1"/>
  <c r="I32" i="4"/>
  <c r="J32" i="4" s="1"/>
  <c r="I28" i="4"/>
  <c r="J28" i="4" s="1"/>
  <c r="K28" i="4" s="1"/>
  <c r="I24" i="4"/>
  <c r="J24" i="4" s="1"/>
  <c r="K24" i="4" s="1"/>
  <c r="I20" i="4"/>
  <c r="J20" i="4" s="1"/>
  <c r="K20" i="4" s="1"/>
  <c r="I16" i="4"/>
  <c r="J16" i="4" s="1"/>
  <c r="K16" i="4" s="1"/>
  <c r="I12" i="4"/>
  <c r="J12" i="4" s="1"/>
  <c r="K12" i="4" s="1"/>
  <c r="I8" i="4"/>
  <c r="J8" i="4" s="1"/>
  <c r="K8" i="4" s="1"/>
  <c r="I4" i="4"/>
  <c r="J4" i="4" s="1"/>
  <c r="K4" i="4" s="1"/>
  <c r="I55" i="4"/>
  <c r="J55" i="4" s="1"/>
  <c r="K55" i="4" s="1"/>
  <c r="I51" i="4"/>
  <c r="J51" i="4" s="1"/>
  <c r="K51" i="4" s="1"/>
  <c r="I47" i="4"/>
  <c r="J47" i="4" s="1"/>
  <c r="K47" i="4" s="1"/>
  <c r="I43" i="4"/>
  <c r="J43" i="4" s="1"/>
  <c r="K43" i="4" s="1"/>
  <c r="I39" i="4"/>
  <c r="J39" i="4" s="1"/>
  <c r="I35" i="4"/>
  <c r="J35" i="4" s="1"/>
  <c r="K35" i="4" s="1"/>
  <c r="I31" i="4"/>
  <c r="J31" i="4" s="1"/>
  <c r="L31" i="4" s="1"/>
  <c r="I27" i="4"/>
  <c r="J27" i="4" s="1"/>
  <c r="K27" i="4" s="1"/>
  <c r="I23" i="4"/>
  <c r="J23" i="4" s="1"/>
  <c r="K23" i="4" s="1"/>
  <c r="I19" i="4"/>
  <c r="J19" i="4" s="1"/>
  <c r="K19" i="4" s="1"/>
  <c r="I15" i="4"/>
  <c r="J15" i="4" s="1"/>
  <c r="L15" i="4" s="1"/>
  <c r="I11" i="4"/>
  <c r="J11" i="4" s="1"/>
  <c r="K11" i="4" s="1"/>
  <c r="I7" i="4"/>
  <c r="J7" i="4" s="1"/>
  <c r="K7" i="4" s="1"/>
  <c r="I5" i="5"/>
  <c r="S5" i="5" s="1"/>
  <c r="I9" i="5"/>
  <c r="S9" i="5" s="1"/>
  <c r="I13" i="5"/>
  <c r="S13" i="5" s="1"/>
  <c r="I17" i="5"/>
  <c r="S17" i="5" s="1"/>
  <c r="I21" i="5"/>
  <c r="S21" i="5" s="1"/>
  <c r="I29" i="5"/>
  <c r="S29" i="5" s="1"/>
  <c r="I33" i="5"/>
  <c r="S33" i="5" s="1"/>
  <c r="I37" i="5"/>
  <c r="S37" i="5" s="1"/>
  <c r="I41" i="5"/>
  <c r="S41" i="5" s="1"/>
  <c r="I45" i="5"/>
  <c r="S45" i="5" s="1"/>
  <c r="I49" i="5"/>
  <c r="S49" i="5" s="1"/>
  <c r="I53" i="5"/>
  <c r="S53" i="5" s="1"/>
  <c r="I6" i="5"/>
  <c r="S6" i="5" s="1"/>
  <c r="I10" i="5"/>
  <c r="S10" i="5" s="1"/>
  <c r="I14" i="5"/>
  <c r="I18" i="5"/>
  <c r="S18" i="5" s="1"/>
  <c r="I22" i="5"/>
  <c r="S22" i="5" s="1"/>
  <c r="I26" i="5"/>
  <c r="S26" i="5" s="1"/>
  <c r="I30" i="5"/>
  <c r="S30" i="5" s="1"/>
  <c r="I34" i="5"/>
  <c r="S34" i="5" s="1"/>
  <c r="I38" i="5"/>
  <c r="S38" i="5" s="1"/>
  <c r="I42" i="5"/>
  <c r="S42" i="5" s="1"/>
  <c r="I46" i="5"/>
  <c r="S46" i="5" s="1"/>
  <c r="I50" i="5"/>
  <c r="S50" i="5" s="1"/>
  <c r="I54" i="5"/>
  <c r="S54" i="5" s="1"/>
  <c r="I3" i="5"/>
  <c r="S3" i="5" s="1"/>
  <c r="I7" i="5"/>
  <c r="S7" i="5" s="1"/>
  <c r="I11" i="5"/>
  <c r="S11" i="5" s="1"/>
  <c r="I15" i="5"/>
  <c r="S15" i="5" s="1"/>
  <c r="I19" i="5"/>
  <c r="S19" i="5" s="1"/>
  <c r="I23" i="5"/>
  <c r="S23" i="5" s="1"/>
  <c r="I27" i="5"/>
  <c r="S27" i="5" s="1"/>
  <c r="I31" i="5"/>
  <c r="S31" i="5" s="1"/>
  <c r="I35" i="5"/>
  <c r="S35" i="5" s="1"/>
  <c r="I39" i="5"/>
  <c r="S39" i="5" s="1"/>
  <c r="I43" i="5"/>
  <c r="S43" i="5" s="1"/>
  <c r="I47" i="5"/>
  <c r="S47" i="5" s="1"/>
  <c r="I51" i="5"/>
  <c r="S51" i="5" s="1"/>
  <c r="I55" i="5"/>
  <c r="S55" i="5" s="1"/>
  <c r="I4" i="5"/>
  <c r="S4" i="5" s="1"/>
  <c r="I8" i="5"/>
  <c r="S8" i="5" s="1"/>
  <c r="I12" i="5"/>
  <c r="S12" i="5" s="1"/>
  <c r="I16" i="5"/>
  <c r="S16" i="5" s="1"/>
  <c r="I20" i="5"/>
  <c r="S20" i="5" s="1"/>
  <c r="I24" i="5"/>
  <c r="S24" i="5" s="1"/>
  <c r="I28" i="5"/>
  <c r="S28" i="5" s="1"/>
  <c r="I32" i="5"/>
  <c r="S32" i="5" s="1"/>
  <c r="I36" i="5"/>
  <c r="S36" i="5" s="1"/>
  <c r="I40" i="5"/>
  <c r="S40" i="5" s="1"/>
  <c r="I44" i="5"/>
  <c r="S44" i="5" s="1"/>
  <c r="I48" i="5"/>
  <c r="S48" i="5" s="1"/>
  <c r="I52" i="5"/>
  <c r="S52" i="5" s="1"/>
  <c r="I56" i="5"/>
  <c r="S56" i="5" s="1"/>
  <c r="I25" i="5"/>
  <c r="K14" i="5"/>
  <c r="Z37" i="6"/>
  <c r="Z38" i="6" s="1"/>
  <c r="K4" i="6" l="1"/>
  <c r="L4" i="6"/>
  <c r="K7" i="6"/>
  <c r="L7" i="6"/>
  <c r="K6" i="6"/>
  <c r="L6" i="6"/>
  <c r="K38" i="4"/>
  <c r="L4" i="4"/>
  <c r="L20" i="4"/>
  <c r="L36" i="4"/>
  <c r="L52" i="4"/>
  <c r="L13" i="4"/>
  <c r="L33" i="4"/>
  <c r="L49" i="4"/>
  <c r="L10" i="4"/>
  <c r="L30" i="4"/>
  <c r="L46" i="4"/>
  <c r="L11" i="4"/>
  <c r="L27" i="4"/>
  <c r="L43" i="4"/>
  <c r="K26" i="4"/>
  <c r="L8" i="4"/>
  <c r="L24" i="4"/>
  <c r="L40" i="4"/>
  <c r="L56" i="4"/>
  <c r="L17" i="4"/>
  <c r="L37" i="4"/>
  <c r="L53" i="4"/>
  <c r="L18" i="4"/>
  <c r="L34" i="4"/>
  <c r="L50" i="4"/>
  <c r="L47" i="4"/>
  <c r="K15" i="4"/>
  <c r="L12" i="4"/>
  <c r="L28" i="4"/>
  <c r="L44" i="4"/>
  <c r="L5" i="4"/>
  <c r="L21" i="4"/>
  <c r="L41" i="4"/>
  <c r="L3" i="4"/>
  <c r="L22" i="4"/>
  <c r="L38" i="4"/>
  <c r="L54" i="4"/>
  <c r="L19" i="4"/>
  <c r="L35" i="4"/>
  <c r="L51" i="4"/>
  <c r="K31" i="4"/>
  <c r="K39" i="4"/>
  <c r="K32" i="4"/>
  <c r="L16" i="4"/>
  <c r="L32" i="4"/>
  <c r="L48" i="4"/>
  <c r="L9" i="4"/>
  <c r="L29" i="4"/>
  <c r="L45" i="4"/>
  <c r="L6" i="4"/>
  <c r="L26" i="4"/>
  <c r="L42" i="4"/>
  <c r="L7" i="4"/>
  <c r="L23" i="4"/>
  <c r="L39" i="4"/>
  <c r="L55" i="4"/>
  <c r="P12" i="4"/>
  <c r="Q12" i="4" s="1"/>
  <c r="P28" i="4"/>
  <c r="Q28" i="4" s="1"/>
  <c r="P44" i="4"/>
  <c r="Q44" i="4" s="1"/>
  <c r="P5" i="4"/>
  <c r="Q5" i="4" s="1"/>
  <c r="P21" i="4"/>
  <c r="Q21" i="4" s="1"/>
  <c r="P37" i="4"/>
  <c r="Q37" i="4" s="1"/>
  <c r="P53" i="4"/>
  <c r="Q53" i="4" s="1"/>
  <c r="P14" i="4"/>
  <c r="P30" i="4"/>
  <c r="P46" i="4"/>
  <c r="Q46" i="4" s="1"/>
  <c r="P11" i="4"/>
  <c r="Q11" i="4" s="1"/>
  <c r="P27" i="4"/>
  <c r="Q27" i="4" s="1"/>
  <c r="P43" i="4"/>
  <c r="Q43" i="4" s="1"/>
  <c r="P16" i="4"/>
  <c r="Q16" i="4" s="1"/>
  <c r="P32" i="4"/>
  <c r="P48" i="4"/>
  <c r="Q48" i="4" s="1"/>
  <c r="P9" i="4"/>
  <c r="Q9" i="4" s="1"/>
  <c r="P25" i="4"/>
  <c r="P41" i="4"/>
  <c r="Q41" i="4" s="1"/>
  <c r="P3" i="4"/>
  <c r="Q3" i="4" s="1"/>
  <c r="P18" i="4"/>
  <c r="Q18" i="4" s="1"/>
  <c r="P34" i="4"/>
  <c r="Q34" i="4" s="1"/>
  <c r="P50" i="4"/>
  <c r="Q50" i="4" s="1"/>
  <c r="P15" i="4"/>
  <c r="Q15" i="4" s="1"/>
  <c r="P31" i="4"/>
  <c r="P47" i="4"/>
  <c r="Q47" i="4" s="1"/>
  <c r="P4" i="4"/>
  <c r="Q4" i="4" s="1"/>
  <c r="P20" i="4"/>
  <c r="Q20" i="4" s="1"/>
  <c r="P36" i="4"/>
  <c r="Q36" i="4" s="1"/>
  <c r="P52" i="4"/>
  <c r="Q52" i="4" s="1"/>
  <c r="P13" i="4"/>
  <c r="Q13" i="4" s="1"/>
  <c r="P29" i="4"/>
  <c r="Q29" i="4" s="1"/>
  <c r="P45" i="4"/>
  <c r="Q45" i="4" s="1"/>
  <c r="P6" i="4"/>
  <c r="Q6" i="4" s="1"/>
  <c r="P22" i="4"/>
  <c r="Q22" i="4" s="1"/>
  <c r="P38" i="4"/>
  <c r="P54" i="4"/>
  <c r="Q54" i="4" s="1"/>
  <c r="P19" i="4"/>
  <c r="Q19" i="4" s="1"/>
  <c r="P35" i="4"/>
  <c r="Q35" i="4" s="1"/>
  <c r="P51" i="4"/>
  <c r="Q51" i="4" s="1"/>
  <c r="P8" i="4"/>
  <c r="Q8" i="4" s="1"/>
  <c r="P24" i="4"/>
  <c r="Q24" i="4" s="1"/>
  <c r="P40" i="4"/>
  <c r="P56" i="4"/>
  <c r="Q56" i="4" s="1"/>
  <c r="P17" i="4"/>
  <c r="Q17" i="4" s="1"/>
  <c r="P33" i="4"/>
  <c r="Q33" i="4" s="1"/>
  <c r="P49" i="4"/>
  <c r="Q49" i="4" s="1"/>
  <c r="P10" i="4"/>
  <c r="Q10" i="4" s="1"/>
  <c r="P26" i="4"/>
  <c r="P42" i="4"/>
  <c r="Q42" i="4" s="1"/>
  <c r="P7" i="4"/>
  <c r="Q7" i="4" s="1"/>
  <c r="P23" i="4"/>
  <c r="Q23" i="4" s="1"/>
  <c r="P39" i="4"/>
  <c r="P55" i="4"/>
  <c r="Q55" i="4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I21" i="1" l="1"/>
  <c r="I13" i="1"/>
  <c r="I5" i="1"/>
  <c r="I30" i="1"/>
  <c r="I27" i="1"/>
  <c r="I19" i="1"/>
  <c r="I11" i="1"/>
  <c r="I3" i="1"/>
  <c r="I6" i="1"/>
  <c r="I28" i="1"/>
  <c r="I14" i="1"/>
  <c r="I12" i="1"/>
  <c r="I10" i="1"/>
  <c r="I20" i="1"/>
  <c r="I18" i="1"/>
  <c r="I25" i="1"/>
  <c r="I8" i="1"/>
  <c r="I22" i="1"/>
  <c r="I29" i="1"/>
  <c r="I4" i="1"/>
  <c r="I26" i="1"/>
  <c r="I17" i="1"/>
  <c r="I9" i="1"/>
  <c r="I32" i="1"/>
  <c r="I24" i="1"/>
  <c r="I16" i="1"/>
  <c r="I31" i="1"/>
  <c r="I23" i="1"/>
  <c r="I15" i="1"/>
  <c r="I7" i="1"/>
  <c r="Q39" i="4"/>
  <c r="Q26" i="4"/>
  <c r="Q31" i="4"/>
  <c r="Q30" i="4"/>
  <c r="Q38" i="4"/>
  <c r="Q40" i="4"/>
  <c r="Q32" i="4"/>
  <c r="H33" i="1"/>
  <c r="AP29" i="8"/>
  <c r="I2" i="1"/>
  <c r="I33" i="1" l="1"/>
  <c r="J57" i="8"/>
  <c r="R14" i="5"/>
  <c r="R25" i="5"/>
  <c r="J20" i="5"/>
  <c r="J21" i="5"/>
  <c r="J22" i="5"/>
  <c r="J28" i="5"/>
  <c r="J29" i="5"/>
  <c r="J30" i="5"/>
  <c r="J31" i="5"/>
  <c r="J33" i="5"/>
  <c r="J36" i="5"/>
  <c r="J41" i="5"/>
  <c r="J42" i="5"/>
  <c r="J49" i="5"/>
  <c r="J51" i="5"/>
  <c r="J56" i="5"/>
  <c r="K42" i="5" l="1"/>
  <c r="L42" i="5"/>
  <c r="K21" i="5"/>
  <c r="L21" i="5"/>
  <c r="K31" i="5"/>
  <c r="L31" i="5"/>
  <c r="K28" i="5"/>
  <c r="L28" i="5"/>
  <c r="K36" i="5"/>
  <c r="L36" i="5"/>
  <c r="K49" i="5"/>
  <c r="L49" i="5"/>
  <c r="K22" i="5"/>
  <c r="L22" i="5"/>
  <c r="K41" i="5"/>
  <c r="L41" i="5"/>
  <c r="K20" i="5"/>
  <c r="L20" i="5"/>
  <c r="K33" i="5"/>
  <c r="L33" i="5"/>
  <c r="K56" i="5"/>
  <c r="L56" i="5"/>
  <c r="K30" i="5"/>
  <c r="L30" i="5"/>
  <c r="K51" i="5"/>
  <c r="L51" i="5"/>
  <c r="K29" i="5"/>
  <c r="L29" i="5"/>
  <c r="J53" i="5"/>
  <c r="J52" i="5"/>
  <c r="J48" i="5"/>
  <c r="J44" i="5"/>
  <c r="J40" i="5"/>
  <c r="J32" i="5"/>
  <c r="J24" i="5"/>
  <c r="J16" i="5"/>
  <c r="J12" i="5"/>
  <c r="J8" i="5"/>
  <c r="J4" i="5"/>
  <c r="J45" i="5"/>
  <c r="J37" i="5"/>
  <c r="J55" i="5"/>
  <c r="J43" i="5"/>
  <c r="J35" i="5"/>
  <c r="J27" i="5"/>
  <c r="J23" i="5"/>
  <c r="J19" i="5"/>
  <c r="L19" i="5" s="1"/>
  <c r="J15" i="5"/>
  <c r="J11" i="5"/>
  <c r="J7" i="5"/>
  <c r="J47" i="5"/>
  <c r="J39" i="5"/>
  <c r="J54" i="5"/>
  <c r="J50" i="5"/>
  <c r="J46" i="5"/>
  <c r="L46" i="5" s="1"/>
  <c r="J38" i="5"/>
  <c r="J34" i="5"/>
  <c r="J26" i="5"/>
  <c r="J18" i="5"/>
  <c r="J10" i="5"/>
  <c r="L10" i="5" s="1"/>
  <c r="J6" i="5"/>
  <c r="J3" i="5"/>
  <c r="L3" i="5" s="1"/>
  <c r="J17" i="5"/>
  <c r="J13" i="5"/>
  <c r="J9" i="5"/>
  <c r="J5" i="5"/>
  <c r="K44" i="5" l="1"/>
  <c r="L44" i="5"/>
  <c r="K15" i="5"/>
  <c r="L15" i="5"/>
  <c r="K48" i="5"/>
  <c r="L48" i="5"/>
  <c r="K50" i="5"/>
  <c r="L50" i="5"/>
  <c r="K54" i="5"/>
  <c r="L54" i="5"/>
  <c r="K53" i="5"/>
  <c r="L53" i="5"/>
  <c r="K17" i="5"/>
  <c r="L17" i="5"/>
  <c r="K4" i="5"/>
  <c r="L4" i="5"/>
  <c r="K8" i="5"/>
  <c r="L8" i="5"/>
  <c r="K52" i="5"/>
  <c r="L52" i="5"/>
  <c r="K16" i="5"/>
  <c r="L16" i="5"/>
  <c r="K47" i="5"/>
  <c r="L47" i="5"/>
  <c r="K38" i="5"/>
  <c r="L38" i="5"/>
  <c r="K23" i="5"/>
  <c r="L23" i="5"/>
  <c r="K27" i="5"/>
  <c r="L27" i="5"/>
  <c r="K39" i="5"/>
  <c r="L39" i="5"/>
  <c r="K7" i="5"/>
  <c r="L7" i="5"/>
  <c r="K13" i="5"/>
  <c r="L13" i="5"/>
  <c r="K45" i="5"/>
  <c r="L45" i="5"/>
  <c r="K6" i="5"/>
  <c r="L6" i="5"/>
  <c r="K12" i="5"/>
  <c r="L12" i="5"/>
  <c r="K35" i="5"/>
  <c r="L35" i="5"/>
  <c r="K18" i="5"/>
  <c r="L18" i="5"/>
  <c r="K43" i="5"/>
  <c r="L43" i="5"/>
  <c r="K24" i="5"/>
  <c r="L24" i="5"/>
  <c r="K5" i="5"/>
  <c r="L5" i="5"/>
  <c r="K26" i="5"/>
  <c r="L26" i="5"/>
  <c r="K55" i="5"/>
  <c r="L55" i="5"/>
  <c r="K32" i="5"/>
  <c r="L32" i="5"/>
  <c r="K9" i="5"/>
  <c r="L9" i="5"/>
  <c r="K34" i="5"/>
  <c r="L34" i="5"/>
  <c r="K11" i="5"/>
  <c r="L11" i="5"/>
  <c r="K37" i="5"/>
  <c r="L37" i="5"/>
  <c r="K40" i="5"/>
  <c r="L40" i="5"/>
  <c r="K3" i="5"/>
  <c r="J57" i="5"/>
  <c r="AA25" i="5"/>
  <c r="K46" i="5"/>
  <c r="AA23" i="5"/>
  <c r="K19" i="5"/>
  <c r="AA22" i="5"/>
  <c r="K10" i="5"/>
  <c r="R3" i="5" l="1"/>
  <c r="R4" i="5"/>
  <c r="R5" i="5"/>
  <c r="R6" i="5"/>
  <c r="R7" i="5"/>
  <c r="R8" i="5"/>
  <c r="R9" i="5"/>
  <c r="R10" i="5"/>
  <c r="R11" i="5"/>
  <c r="R12" i="5"/>
  <c r="R13" i="5"/>
  <c r="R16" i="5"/>
  <c r="R17" i="5"/>
  <c r="R18" i="5"/>
  <c r="R19" i="5"/>
  <c r="R20" i="5"/>
  <c r="R21" i="5"/>
  <c r="R22" i="5"/>
  <c r="R23" i="5"/>
  <c r="R24" i="5"/>
  <c r="R27" i="5"/>
  <c r="R28" i="5"/>
  <c r="R29" i="5"/>
  <c r="AA24" i="5"/>
  <c r="R30" i="5"/>
  <c r="R31" i="5"/>
  <c r="AA26" i="5"/>
  <c r="R32" i="5"/>
  <c r="AA27" i="5"/>
  <c r="R33" i="5"/>
  <c r="AA28" i="5"/>
  <c r="R34" i="5"/>
  <c r="AA29" i="5"/>
  <c r="R35" i="5"/>
  <c r="AA30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T55" i="5" l="1"/>
  <c r="U55" i="5" s="1"/>
  <c r="T51" i="5"/>
  <c r="U51" i="5" s="1"/>
  <c r="T47" i="5"/>
  <c r="U47" i="5" s="1"/>
  <c r="T43" i="5"/>
  <c r="U43" i="5" s="1"/>
  <c r="T39" i="5"/>
  <c r="U39" i="5" s="1"/>
  <c r="T36" i="5"/>
  <c r="U36" i="5" s="1"/>
  <c r="T34" i="5"/>
  <c r="U34" i="5" s="1"/>
  <c r="T32" i="5"/>
  <c r="U32" i="5" s="1"/>
  <c r="T24" i="5"/>
  <c r="U24" i="5" s="1"/>
  <c r="T20" i="5"/>
  <c r="U20" i="5" s="1"/>
  <c r="T16" i="5"/>
  <c r="U16" i="5" s="1"/>
  <c r="T10" i="5"/>
  <c r="U10" i="5" s="1"/>
  <c r="T6" i="5"/>
  <c r="U6" i="5" s="1"/>
  <c r="T50" i="5"/>
  <c r="U50" i="5" s="1"/>
  <c r="T29" i="5"/>
  <c r="U29" i="5" s="1"/>
  <c r="T23" i="5"/>
  <c r="U23" i="5" s="1"/>
  <c r="T19" i="5"/>
  <c r="U19" i="5" s="1"/>
  <c r="T13" i="5"/>
  <c r="U13" i="5" s="1"/>
  <c r="T9" i="5"/>
  <c r="U9" i="5" s="1"/>
  <c r="T5" i="5"/>
  <c r="U5" i="5" s="1"/>
  <c r="T54" i="5"/>
  <c r="U54" i="5" s="1"/>
  <c r="T42" i="5"/>
  <c r="U42" i="5" s="1"/>
  <c r="T53" i="5"/>
  <c r="U53" i="5" s="1"/>
  <c r="T45" i="5"/>
  <c r="U45" i="5" s="1"/>
  <c r="T35" i="5"/>
  <c r="U35" i="5" s="1"/>
  <c r="T31" i="5"/>
  <c r="U31" i="5" s="1"/>
  <c r="T22" i="5"/>
  <c r="U22" i="5" s="1"/>
  <c r="T18" i="5"/>
  <c r="U18" i="5" s="1"/>
  <c r="T12" i="5"/>
  <c r="U12" i="5" s="1"/>
  <c r="T8" i="5"/>
  <c r="U8" i="5" s="1"/>
  <c r="T4" i="5"/>
  <c r="U4" i="5" s="1"/>
  <c r="T46" i="5"/>
  <c r="U46" i="5" s="1"/>
  <c r="T38" i="5"/>
  <c r="U38" i="5" s="1"/>
  <c r="T49" i="5"/>
  <c r="U49" i="5" s="1"/>
  <c r="T41" i="5"/>
  <c r="U41" i="5" s="1"/>
  <c r="T37" i="5"/>
  <c r="U37" i="5" s="1"/>
  <c r="T33" i="5"/>
  <c r="U33" i="5" s="1"/>
  <c r="T28" i="5"/>
  <c r="U28" i="5" s="1"/>
  <c r="T56" i="5"/>
  <c r="U56" i="5" s="1"/>
  <c r="T52" i="5"/>
  <c r="U52" i="5" s="1"/>
  <c r="T48" i="5"/>
  <c r="U48" i="5" s="1"/>
  <c r="T44" i="5"/>
  <c r="U44" i="5" s="1"/>
  <c r="T40" i="5"/>
  <c r="U40" i="5" s="1"/>
  <c r="T30" i="5"/>
  <c r="U30" i="5" s="1"/>
  <c r="T27" i="5"/>
  <c r="U27" i="5" s="1"/>
  <c r="T21" i="5"/>
  <c r="U21" i="5" s="1"/>
  <c r="T17" i="5"/>
  <c r="U17" i="5" s="1"/>
  <c r="T11" i="5"/>
  <c r="U11" i="5" s="1"/>
  <c r="T7" i="5"/>
  <c r="U7" i="5" s="1"/>
  <c r="T3" i="5"/>
  <c r="U3" i="5" s="1"/>
  <c r="R26" i="5"/>
  <c r="R15" i="5"/>
  <c r="T15" i="5" l="1"/>
  <c r="U15" i="5" s="1"/>
  <c r="T26" i="5"/>
  <c r="U26" i="5" s="1"/>
  <c r="E33" i="1"/>
  <c r="F33" i="1"/>
  <c r="J4" i="1" l="1"/>
  <c r="J6" i="1"/>
  <c r="J8" i="1"/>
  <c r="J9" i="1"/>
  <c r="J10" i="1"/>
  <c r="J12" i="1"/>
  <c r="J14" i="1"/>
  <c r="J16" i="1"/>
  <c r="J18" i="1"/>
  <c r="J20" i="1"/>
  <c r="J22" i="1"/>
  <c r="J24" i="1"/>
  <c r="J26" i="1"/>
  <c r="J28" i="1"/>
  <c r="J30" i="1"/>
  <c r="J32" i="1"/>
  <c r="K16" i="1" l="1"/>
  <c r="L16" i="1"/>
  <c r="K32" i="1"/>
  <c r="L32" i="1"/>
  <c r="K30" i="1"/>
  <c r="L30" i="1"/>
  <c r="K14" i="1"/>
  <c r="L14" i="1"/>
  <c r="K28" i="1"/>
  <c r="L28" i="1"/>
  <c r="K12" i="1"/>
  <c r="L12" i="1"/>
  <c r="K26" i="1"/>
  <c r="L26" i="1"/>
  <c r="K10" i="1"/>
  <c r="L10" i="1"/>
  <c r="K24" i="1"/>
  <c r="L24" i="1"/>
  <c r="K9" i="1"/>
  <c r="L9" i="1"/>
  <c r="K22" i="1"/>
  <c r="L22" i="1"/>
  <c r="K8" i="1"/>
  <c r="L8" i="1"/>
  <c r="K20" i="1"/>
  <c r="L20" i="1"/>
  <c r="K6" i="1"/>
  <c r="L6" i="1"/>
  <c r="K18" i="1"/>
  <c r="L18" i="1"/>
  <c r="K4" i="1"/>
  <c r="L4" i="1"/>
  <c r="J29" i="1"/>
  <c r="J13" i="1"/>
  <c r="J5" i="1"/>
  <c r="J25" i="1"/>
  <c r="J21" i="1"/>
  <c r="J2" i="1"/>
  <c r="J17" i="1"/>
  <c r="J31" i="1"/>
  <c r="J27" i="1"/>
  <c r="J23" i="1"/>
  <c r="J19" i="1"/>
  <c r="J15" i="1"/>
  <c r="J11" i="1"/>
  <c r="J7" i="1"/>
  <c r="J3" i="1"/>
  <c r="K3" i="1" l="1"/>
  <c r="L3" i="1"/>
  <c r="K17" i="1"/>
  <c r="L17" i="1"/>
  <c r="K7" i="1"/>
  <c r="L7" i="1"/>
  <c r="K25" i="1"/>
  <c r="L25" i="1"/>
  <c r="K19" i="1"/>
  <c r="L19" i="1"/>
  <c r="K31" i="1"/>
  <c r="L31" i="1"/>
  <c r="K2" i="1"/>
  <c r="L2" i="1"/>
  <c r="K11" i="1"/>
  <c r="L11" i="1"/>
  <c r="K21" i="1"/>
  <c r="L21" i="1"/>
  <c r="K15" i="1"/>
  <c r="L15" i="1"/>
  <c r="K5" i="1"/>
  <c r="L5" i="1"/>
  <c r="K23" i="1"/>
  <c r="L23" i="1"/>
  <c r="K13" i="1"/>
  <c r="L13" i="1"/>
  <c r="K27" i="1"/>
  <c r="L27" i="1"/>
  <c r="K29" i="1"/>
  <c r="L29" i="1"/>
  <c r="J33" i="1"/>
  <c r="K33" i="1" l="1"/>
  <c r="E34" i="1"/>
  <c r="Y19" i="9" l="1"/>
  <c r="Z35" i="12" l="1"/>
  <c r="Z39" i="5" l="1"/>
  <c r="Z40" i="5"/>
</calcChain>
</file>

<file path=xl/sharedStrings.xml><?xml version="1.0" encoding="utf-8"?>
<sst xmlns="http://schemas.openxmlformats.org/spreadsheetml/2006/main" count="4365" uniqueCount="610">
  <si>
    <t>B - F</t>
  </si>
  <si>
    <t>Transciever</t>
  </si>
  <si>
    <t>B - H</t>
  </si>
  <si>
    <t>B - HH</t>
  </si>
  <si>
    <t>B - L</t>
  </si>
  <si>
    <t>D - DO</t>
  </si>
  <si>
    <t>D - F</t>
  </si>
  <si>
    <t>D - H</t>
  </si>
  <si>
    <t>D - HH</t>
  </si>
  <si>
    <t>D - K</t>
  </si>
  <si>
    <t>D - L</t>
  </si>
  <si>
    <t>D - M</t>
  </si>
  <si>
    <t>DO - F</t>
  </si>
  <si>
    <t>DO - H</t>
  </si>
  <si>
    <t>F - H</t>
  </si>
  <si>
    <t>F - HH</t>
  </si>
  <si>
    <t>F - K</t>
  </si>
  <si>
    <t>F - L</t>
  </si>
  <si>
    <t>F - M</t>
  </si>
  <si>
    <t>F - N</t>
  </si>
  <si>
    <t>F - S</t>
  </si>
  <si>
    <t>F - U</t>
  </si>
  <si>
    <t>H - HH</t>
  </si>
  <si>
    <t>H - K</t>
  </si>
  <si>
    <t>H - L</t>
  </si>
  <si>
    <t>HH - L</t>
  </si>
  <si>
    <t>L - M</t>
  </si>
  <si>
    <t>L - N</t>
  </si>
  <si>
    <t>L - S</t>
  </si>
  <si>
    <t>L - U</t>
  </si>
  <si>
    <t>M - S</t>
  </si>
  <si>
    <t>N - S</t>
  </si>
  <si>
    <t>IP links</t>
  </si>
  <si>
    <t>Total Capacity (G)</t>
  </si>
  <si>
    <t>Reach (km)</t>
  </si>
  <si>
    <t>Optical path</t>
  </si>
  <si>
    <t xml:space="preserve">Absolute sum </t>
  </si>
  <si>
    <t>Total Traffic carried (G)</t>
  </si>
  <si>
    <t>`</t>
  </si>
  <si>
    <t>IP Topology</t>
  </si>
  <si>
    <t>Optical Topology</t>
  </si>
  <si>
    <t>Capacity per LP (G)</t>
  </si>
  <si>
    <t>Free capacity (G)</t>
  </si>
  <si>
    <t># of LP required</t>
  </si>
  <si>
    <t>B -- HH</t>
  </si>
  <si>
    <t>B -- L</t>
  </si>
  <si>
    <t>D -- DO</t>
  </si>
  <si>
    <t>D -- K -- F</t>
  </si>
  <si>
    <t>D -- DO -- H</t>
  </si>
  <si>
    <t>D -- K</t>
  </si>
  <si>
    <t>D -- K -- F -- L</t>
  </si>
  <si>
    <t>D -- K -- F -- M</t>
  </si>
  <si>
    <t>DO -- D -- K -- F</t>
  </si>
  <si>
    <t>DO -- H</t>
  </si>
  <si>
    <t>F -- H</t>
  </si>
  <si>
    <t>F -- H -- HH</t>
  </si>
  <si>
    <t>F -- K</t>
  </si>
  <si>
    <t>F -- L</t>
  </si>
  <si>
    <t>F -- M</t>
  </si>
  <si>
    <t>F -- N</t>
  </si>
  <si>
    <t>F -- S</t>
  </si>
  <si>
    <t>F -- S -- U</t>
  </si>
  <si>
    <t>H -- HH</t>
  </si>
  <si>
    <t>H -- DO -- D -- K</t>
  </si>
  <si>
    <t>H -- L</t>
  </si>
  <si>
    <t>HH -- B -- L</t>
  </si>
  <si>
    <t>L -- N -- M</t>
  </si>
  <si>
    <t>L -- N</t>
  </si>
  <si>
    <t>L -- N -- S</t>
  </si>
  <si>
    <t>L -- N -- M -- U</t>
  </si>
  <si>
    <t>M -- U -- S</t>
  </si>
  <si>
    <t>N -- S</t>
  </si>
  <si>
    <t>B -- L -- F</t>
  </si>
  <si>
    <t>B -- H</t>
  </si>
  <si>
    <t>D -- DO -- H -- HH</t>
  </si>
  <si>
    <t>8QAM</t>
  </si>
  <si>
    <t>16QAM</t>
  </si>
  <si>
    <t>32QAM</t>
  </si>
  <si>
    <t>64QAM</t>
  </si>
  <si>
    <t>Link Utilization(%)</t>
  </si>
  <si>
    <t>Network Utilization %</t>
  </si>
  <si>
    <t xml:space="preserve">MPLS Paths </t>
  </si>
  <si>
    <t>to</t>
  </si>
  <si>
    <t>Traffic2016 [Mbit/s]</t>
  </si>
  <si>
    <t>B</t>
  </si>
  <si>
    <t>D</t>
  </si>
  <si>
    <t>DO</t>
  </si>
  <si>
    <t>F</t>
  </si>
  <si>
    <t>H</t>
  </si>
  <si>
    <t>HH</t>
  </si>
  <si>
    <t>K</t>
  </si>
  <si>
    <t>L</t>
  </si>
  <si>
    <t>M</t>
  </si>
  <si>
    <t>N</t>
  </si>
  <si>
    <t>S</t>
  </si>
  <si>
    <t>ULM</t>
  </si>
  <si>
    <t>from</t>
  </si>
  <si>
    <t>Berlin</t>
  </si>
  <si>
    <t>1st Path</t>
  </si>
  <si>
    <t>B -&gt; F -&gt; D</t>
  </si>
  <si>
    <t>B -&gt; F -&gt; DO</t>
  </si>
  <si>
    <t>B -&gt; F</t>
  </si>
  <si>
    <t>B -&gt; H</t>
  </si>
  <si>
    <t>B -&gt; HH</t>
  </si>
  <si>
    <t>B -&gt; F -&gt; K</t>
  </si>
  <si>
    <t>B -&gt; L</t>
  </si>
  <si>
    <t>B -&gt; F -&gt; M</t>
  </si>
  <si>
    <t>B -&gt; F -&gt; N</t>
  </si>
  <si>
    <t>B -&gt; F -&gt; S</t>
  </si>
  <si>
    <t>B -&gt; F -&gt; U</t>
  </si>
  <si>
    <t>2nd Path</t>
  </si>
  <si>
    <t>B -&gt; H -&gt; D</t>
  </si>
  <si>
    <t>B - &gt; H -&gt; DO</t>
  </si>
  <si>
    <t>B -&gt; H -&gt; K</t>
  </si>
  <si>
    <t>B -&gt; L -&gt; M</t>
  </si>
  <si>
    <t>B -&gt; L -&gt; N</t>
  </si>
  <si>
    <t>B -&gt; L -&gt; S</t>
  </si>
  <si>
    <t>B -&gt; L -&gt; U</t>
  </si>
  <si>
    <t>3rd Path</t>
  </si>
  <si>
    <t>B -&gt; HH -&gt; D</t>
  </si>
  <si>
    <t>4th Path</t>
  </si>
  <si>
    <t>B -&gt; L -&gt; D</t>
  </si>
  <si>
    <t>Düsseldorf</t>
  </si>
  <si>
    <t>D -&gt; F -&gt; B</t>
  </si>
  <si>
    <t>D -&gt; DO</t>
  </si>
  <si>
    <t>D -&gt; F</t>
  </si>
  <si>
    <t>D -&gt; H</t>
  </si>
  <si>
    <t>D -&gt; HH</t>
  </si>
  <si>
    <t>D -&gt; K</t>
  </si>
  <si>
    <t>D -&gt; L</t>
  </si>
  <si>
    <t>D -&gt; M</t>
  </si>
  <si>
    <t>D -&gt; F -&gt; N</t>
  </si>
  <si>
    <t>D -&gt; F -&gt; S</t>
  </si>
  <si>
    <t>D -&gt; F -&gt; U</t>
  </si>
  <si>
    <t>D -&gt; H -&gt; B</t>
  </si>
  <si>
    <t>D -&gt; L -&gt; N</t>
  </si>
  <si>
    <t>D -&gt; L -&gt; S</t>
  </si>
  <si>
    <t>D -&gt; L -&gt; U</t>
  </si>
  <si>
    <t>D -&gt; HH -&gt; B</t>
  </si>
  <si>
    <t>D -&gt; M -&gt; S</t>
  </si>
  <si>
    <t>D -&gt; L -&gt; B</t>
  </si>
  <si>
    <t>Dortmund</t>
  </si>
  <si>
    <t>DO -&gt; F -&gt; B</t>
  </si>
  <si>
    <t>DO -&gt; D</t>
  </si>
  <si>
    <t>DO -&gt; F</t>
  </si>
  <si>
    <t>DO -&gt; H</t>
  </si>
  <si>
    <t>DO -&gt; D -&gt; HH</t>
  </si>
  <si>
    <t xml:space="preserve">DO -&gt; D -&gt; K </t>
  </si>
  <si>
    <t>DO -&gt; D -&gt; L</t>
  </si>
  <si>
    <t>DO -&gt; D -&gt; M</t>
  </si>
  <si>
    <t>DO -&gt; F -&gt; N</t>
  </si>
  <si>
    <t>DO -&gt; F -&gt; S</t>
  </si>
  <si>
    <t>DO -&gt; F -&gt; U</t>
  </si>
  <si>
    <t>DO -&gt; H -&gt; B</t>
  </si>
  <si>
    <t>DO -&gt; F -&gt; HH</t>
  </si>
  <si>
    <t>DO -&gt; F -&gt; K</t>
  </si>
  <si>
    <t>DO -&gt; F -&gt; L</t>
  </si>
  <si>
    <t>DO -&gt; F -&gt; M</t>
  </si>
  <si>
    <t>DO -&gt; H -&gt; HH</t>
  </si>
  <si>
    <t>DO -&gt; H -&gt; K</t>
  </si>
  <si>
    <t>DO -&gt; H -&gt; L</t>
  </si>
  <si>
    <t>Frankfurt</t>
  </si>
  <si>
    <t>F -&gt; B</t>
  </si>
  <si>
    <t>F -&gt; D</t>
  </si>
  <si>
    <t>F -&gt; DO</t>
  </si>
  <si>
    <t>F -&gt; H</t>
  </si>
  <si>
    <t>F -&gt; HH</t>
  </si>
  <si>
    <t>F -&gt; K</t>
  </si>
  <si>
    <t>F -&gt; L</t>
  </si>
  <si>
    <t>F -&gt; M</t>
  </si>
  <si>
    <t>F -&gt; N</t>
  </si>
  <si>
    <t>F -&gt; S</t>
  </si>
  <si>
    <t>F -&gt; U</t>
  </si>
  <si>
    <t>Hannover</t>
  </si>
  <si>
    <t>H -&gt; B</t>
  </si>
  <si>
    <t>H -&gt; D</t>
  </si>
  <si>
    <t>H -&gt; DO</t>
  </si>
  <si>
    <t>H -&gt; F</t>
  </si>
  <si>
    <t>H -&gt; HH</t>
  </si>
  <si>
    <t>H -&gt; K</t>
  </si>
  <si>
    <t>H -&gt; L</t>
  </si>
  <si>
    <t xml:space="preserve">H -&gt; D -&gt; M </t>
  </si>
  <si>
    <t>H -&gt; F -&gt; N</t>
  </si>
  <si>
    <t>H -&gt; F -&gt; S</t>
  </si>
  <si>
    <t>H -&gt; F -&gt; U</t>
  </si>
  <si>
    <t>H -&gt; F -&gt; M</t>
  </si>
  <si>
    <t>H -&gt; L -&gt; N</t>
  </si>
  <si>
    <t>H -&gt; L -&gt; S</t>
  </si>
  <si>
    <t>H -&gt; L -&gt; U</t>
  </si>
  <si>
    <t>H -&gt; L -&gt; M</t>
  </si>
  <si>
    <t>Hamburg</t>
  </si>
  <si>
    <t>HH -&gt; B</t>
  </si>
  <si>
    <t>HH -&gt; D</t>
  </si>
  <si>
    <t>HH -&gt; D -&gt; DO</t>
  </si>
  <si>
    <t>HH -&gt; F</t>
  </si>
  <si>
    <t>HH -&gt; H</t>
  </si>
  <si>
    <t>HH -&gt; D -&gt; K</t>
  </si>
  <si>
    <t>HH -&gt; L</t>
  </si>
  <si>
    <t>HH -&gt; D -&gt; M</t>
  </si>
  <si>
    <t>HH -&gt; F -&gt; N</t>
  </si>
  <si>
    <t>HH -&gt; F -&gt; S</t>
  </si>
  <si>
    <t>HH -&gt; F -&gt; U</t>
  </si>
  <si>
    <t>HH -&gt; F -&gt; DO</t>
  </si>
  <si>
    <t>HH -&gt; F -&gt; K</t>
  </si>
  <si>
    <t>HH -&gt; F -&gt; M</t>
  </si>
  <si>
    <t>HH -&gt; L -&gt; N</t>
  </si>
  <si>
    <t>HH -&gt; L -&gt; S</t>
  </si>
  <si>
    <t>HH -&gt; L -&gt; U</t>
  </si>
  <si>
    <t>HH -&gt; H -&gt; DO</t>
  </si>
  <si>
    <t>HH -&gt; H -&gt; K</t>
  </si>
  <si>
    <t>HH -&gt; L -&gt; M</t>
  </si>
  <si>
    <t>Köln</t>
  </si>
  <si>
    <t>K -&gt; F -&gt; B</t>
  </si>
  <si>
    <t>K -&gt; D</t>
  </si>
  <si>
    <t>K -&gt; D -&gt; DO</t>
  </si>
  <si>
    <t>K -&gt; F</t>
  </si>
  <si>
    <t>K -&gt; H</t>
  </si>
  <si>
    <t>K -&gt; D -&gt; HH</t>
  </si>
  <si>
    <t>K -&gt; D -&gt; L</t>
  </si>
  <si>
    <t>K -&gt; D -&gt; M</t>
  </si>
  <si>
    <t>K -&gt; F -&gt; N</t>
  </si>
  <si>
    <t>K -&gt; F -&gt; S</t>
  </si>
  <si>
    <t>K -&gt; F -&gt; U</t>
  </si>
  <si>
    <t>K -&gt; H -&gt; B</t>
  </si>
  <si>
    <t>K -&gt; F -&gt; DO</t>
  </si>
  <si>
    <t>K -&gt; F -&gt; HH</t>
  </si>
  <si>
    <t>K -&gt; F -&gt; L</t>
  </si>
  <si>
    <t>K -&gt; F -&gt; M</t>
  </si>
  <si>
    <t>K -&gt; H -&gt; DO</t>
  </si>
  <si>
    <t>K -&gt; H -&gt; HH</t>
  </si>
  <si>
    <t>K -&gt; H -&gt; L</t>
  </si>
  <si>
    <t>Leipzig</t>
  </si>
  <si>
    <t>L -&gt; B</t>
  </si>
  <si>
    <t>L -&gt; D</t>
  </si>
  <si>
    <t>L -&gt; D -&gt; DO</t>
  </si>
  <si>
    <t>L -&gt; F</t>
  </si>
  <si>
    <t>L -&gt; H</t>
  </si>
  <si>
    <t>L -&gt; HH</t>
  </si>
  <si>
    <t>L -&gt; D -&gt; K</t>
  </si>
  <si>
    <t>L -&gt; M</t>
  </si>
  <si>
    <t>L -&gt; N</t>
  </si>
  <si>
    <t>L -&gt; S</t>
  </si>
  <si>
    <t>L -&gt; U</t>
  </si>
  <si>
    <t>L -&gt; F -&gt; DO</t>
  </si>
  <si>
    <t xml:space="preserve">L -&gt; F -&gt; K </t>
  </si>
  <si>
    <t>L -&gt; H -&gt; DO</t>
  </si>
  <si>
    <t>L -&gt; H -&gt; K</t>
  </si>
  <si>
    <t>München</t>
  </si>
  <si>
    <t>M -&gt; F -&gt; B</t>
  </si>
  <si>
    <t>M -&gt; D</t>
  </si>
  <si>
    <t>M -&gt; D -&gt; DO</t>
  </si>
  <si>
    <t>M -&gt; F</t>
  </si>
  <si>
    <t>M -&gt; D -&gt; H</t>
  </si>
  <si>
    <t>M -&gt; D -&gt; HH</t>
  </si>
  <si>
    <t>M -&gt; D -&gt; K</t>
  </si>
  <si>
    <t>M -&gt; L</t>
  </si>
  <si>
    <t>M -&gt; F -&gt; N</t>
  </si>
  <si>
    <t>M -&gt; S</t>
  </si>
  <si>
    <t>M -&gt; F -&gt; U</t>
  </si>
  <si>
    <t>M -&gt; L -&gt; B</t>
  </si>
  <si>
    <t>M -&gt; F -&gt; DO</t>
  </si>
  <si>
    <t>M -&gt; F -&gt; H</t>
  </si>
  <si>
    <t>M -&gt; F -&gt; HH</t>
  </si>
  <si>
    <t>M -&gt; F -&gt; K</t>
  </si>
  <si>
    <t>M -&gt; L -&gt; N</t>
  </si>
  <si>
    <t>M -&gt; L -&gt; U</t>
  </si>
  <si>
    <t>M -&gt; L -&gt; H</t>
  </si>
  <si>
    <t>M -&gt; L -&gt; HH</t>
  </si>
  <si>
    <t>M -&gt; S -&gt; N</t>
  </si>
  <si>
    <t>Nürnberg</t>
  </si>
  <si>
    <t>N -&gt; F -&gt; B</t>
  </si>
  <si>
    <t>N -&gt; F -&gt; D</t>
  </si>
  <si>
    <t>N -&gt; F -&gt; DO</t>
  </si>
  <si>
    <t>N -&gt; F</t>
  </si>
  <si>
    <t>N -&gt; F -&gt; H</t>
  </si>
  <si>
    <t>N -&gt; F -&gt; HH</t>
  </si>
  <si>
    <t>N -&gt; F -&gt; K</t>
  </si>
  <si>
    <t>N -&gt; L</t>
  </si>
  <si>
    <t>N -&gt; F -&gt; M</t>
  </si>
  <si>
    <t>N -&gt; S</t>
  </si>
  <si>
    <t>N -&gt; F -&gt; U</t>
  </si>
  <si>
    <t>N -&gt; L -&gt; B</t>
  </si>
  <si>
    <t>N -&gt; L -&gt; D</t>
  </si>
  <si>
    <t>N -&gt; L -&gt; H</t>
  </si>
  <si>
    <t>N -&gt; L -&gt; HH</t>
  </si>
  <si>
    <t>N -&gt; L -&gt; M</t>
  </si>
  <si>
    <t>N -&gt; L -&gt; U</t>
  </si>
  <si>
    <t>N -&gt; S -&gt; M</t>
  </si>
  <si>
    <t>Stuttgart</t>
  </si>
  <si>
    <t>S -&gt; F -&gt; B</t>
  </si>
  <si>
    <t>S -&gt; F -&gt; D</t>
  </si>
  <si>
    <t>S -&gt; F -&gt; DO</t>
  </si>
  <si>
    <t>S -&gt; F</t>
  </si>
  <si>
    <t>S -&gt; F -&gt; H</t>
  </si>
  <si>
    <t>S -&gt; F -&gt; HH</t>
  </si>
  <si>
    <t>S -&gt; F -&gt; K</t>
  </si>
  <si>
    <t>S -&gt; L</t>
  </si>
  <si>
    <t>S -&gt; M</t>
  </si>
  <si>
    <t>S -&gt; N</t>
  </si>
  <si>
    <t>S -&gt; F -&gt;  U</t>
  </si>
  <si>
    <t>S -&gt; L -&gt; B</t>
  </si>
  <si>
    <t>S -&gt; L -&gt; D</t>
  </si>
  <si>
    <t>S -&gt; L -&gt; H</t>
  </si>
  <si>
    <t>S -&gt; L -&gt; HH</t>
  </si>
  <si>
    <t>S -&gt; L -&gt; U</t>
  </si>
  <si>
    <t>S -&gt; M -&gt; D</t>
  </si>
  <si>
    <t>Ulm</t>
  </si>
  <si>
    <t>U -&gt; F -&gt; B</t>
  </si>
  <si>
    <t>U -&gt; F -&gt; D</t>
  </si>
  <si>
    <t>U -&gt; F -&gt; DO</t>
  </si>
  <si>
    <t>U -&gt; F</t>
  </si>
  <si>
    <t>U -&gt; F -&gt; H</t>
  </si>
  <si>
    <t>U -&gt; F -&gt; HH</t>
  </si>
  <si>
    <t>U -&gt; F -&gt; K</t>
  </si>
  <si>
    <t>U -&gt; L</t>
  </si>
  <si>
    <t>U -&gt; F -&gt; M</t>
  </si>
  <si>
    <t>U -&gt; F -&gt; N</t>
  </si>
  <si>
    <t>U -&gt; F -&gt; S</t>
  </si>
  <si>
    <t>U -&gt; L -&gt; B</t>
  </si>
  <si>
    <t>U -&gt; L -&gt; D</t>
  </si>
  <si>
    <t>U -&gt; L -&gt; H</t>
  </si>
  <si>
    <t>U -&gt; L -&gt; HH</t>
  </si>
  <si>
    <t>U -&gt; L -&gt; M</t>
  </si>
  <si>
    <t>U -&gt; L -&gt; N</t>
  </si>
  <si>
    <t>U -&gt; L -&gt; S</t>
  </si>
  <si>
    <t xml:space="preserve">M -- N -- S </t>
  </si>
  <si>
    <t xml:space="preserve">M -- U -- S </t>
  </si>
  <si>
    <t xml:space="preserve">F - L </t>
  </si>
  <si>
    <t xml:space="preserve">F -- M -- U </t>
  </si>
  <si>
    <t xml:space="preserve">F - U </t>
  </si>
  <si>
    <t xml:space="preserve">S -- U </t>
  </si>
  <si>
    <t>N -- F -- S</t>
  </si>
  <si>
    <t xml:space="preserve">N -- S </t>
  </si>
  <si>
    <t xml:space="preserve"> N - S</t>
  </si>
  <si>
    <t xml:space="preserve">L -- F -- S </t>
  </si>
  <si>
    <t xml:space="preserve">L -- N -- S </t>
  </si>
  <si>
    <t xml:space="preserve">S -- N </t>
  </si>
  <si>
    <t xml:space="preserve">L -- N -- S -- U </t>
  </si>
  <si>
    <t xml:space="preserve">L -- N -- M -- U </t>
  </si>
  <si>
    <t xml:space="preserve"> L - U </t>
  </si>
  <si>
    <t xml:space="preserve">U -- M </t>
  </si>
  <si>
    <t xml:space="preserve">L -- N -- S -- U -- M </t>
  </si>
  <si>
    <t xml:space="preserve">L -- N -- M </t>
  </si>
  <si>
    <t xml:space="preserve">L - M </t>
  </si>
  <si>
    <t xml:space="preserve">N -- M </t>
  </si>
  <si>
    <t xml:space="preserve">L -- F -- S -- U </t>
  </si>
  <si>
    <t>L -- F -- S</t>
  </si>
  <si>
    <t xml:space="preserve"> L - S</t>
  </si>
  <si>
    <t xml:space="preserve">L -- F -- N </t>
  </si>
  <si>
    <t xml:space="preserve">L -- N </t>
  </si>
  <si>
    <t xml:space="preserve"> L - N </t>
  </si>
  <si>
    <t>None</t>
  </si>
  <si>
    <t xml:space="preserve">L -- F -- M </t>
  </si>
  <si>
    <t xml:space="preserve"> L - M </t>
  </si>
  <si>
    <t xml:space="preserve">H -- B -- L </t>
  </si>
  <si>
    <t xml:space="preserve">H -- L </t>
  </si>
  <si>
    <t xml:space="preserve"> H - L </t>
  </si>
  <si>
    <t>H -- B -- HH</t>
  </si>
  <si>
    <t xml:space="preserve"> H - HH</t>
  </si>
  <si>
    <t>F -- K -- D -- HH</t>
  </si>
  <si>
    <t xml:space="preserve"> F - HH</t>
  </si>
  <si>
    <t xml:space="preserve">D -- HH </t>
  </si>
  <si>
    <t xml:space="preserve"> D - HH</t>
  </si>
  <si>
    <t xml:space="preserve">H -- HH </t>
  </si>
  <si>
    <t xml:space="preserve"> F - U</t>
  </si>
  <si>
    <t>%</t>
  </si>
  <si>
    <t xml:space="preserve">F -- N -- S </t>
  </si>
  <si>
    <t xml:space="preserve">F -- S </t>
  </si>
  <si>
    <t xml:space="preserve"> F - S</t>
  </si>
  <si>
    <t xml:space="preserve">Total </t>
  </si>
  <si>
    <t xml:space="preserve">F -- S -- N </t>
  </si>
  <si>
    <t xml:space="preserve">F -- N </t>
  </si>
  <si>
    <t xml:space="preserve"> F - N </t>
  </si>
  <si>
    <t xml:space="preserve">F -- N -- M </t>
  </si>
  <si>
    <t xml:space="preserve">F -- M </t>
  </si>
  <si>
    <t xml:space="preserve"> F - M </t>
  </si>
  <si>
    <t xml:space="preserve">D -- K -- F -- N -- M </t>
  </si>
  <si>
    <t xml:space="preserve">D -- K -- F -- M </t>
  </si>
  <si>
    <t xml:space="preserve"> D - M </t>
  </si>
  <si>
    <t xml:space="preserve">F -- N -- L </t>
  </si>
  <si>
    <t xml:space="preserve">F -- L </t>
  </si>
  <si>
    <t xml:space="preserve"> F - L </t>
  </si>
  <si>
    <t xml:space="preserve">F - H </t>
  </si>
  <si>
    <t xml:space="preserve">D -- DO -- H -- L </t>
  </si>
  <si>
    <t xml:space="preserve">D --- K -- F -- L </t>
  </si>
  <si>
    <t xml:space="preserve"> D - L </t>
  </si>
  <si>
    <t>Extra Capacity Needed %</t>
  </si>
  <si>
    <t>Extra Capacity Needed(G)</t>
  </si>
  <si>
    <t>IP Links</t>
  </si>
  <si>
    <t xml:space="preserve">B -- H -- F </t>
  </si>
  <si>
    <t>B --  L --  F</t>
  </si>
  <si>
    <t xml:space="preserve">B - F </t>
  </si>
  <si>
    <t xml:space="preserve">F -- H -- DO -- D -- K </t>
  </si>
  <si>
    <t xml:space="preserve">F - K </t>
  </si>
  <si>
    <t xml:space="preserve">H - K </t>
  </si>
  <si>
    <t>DO -- H -- F</t>
  </si>
  <si>
    <t xml:space="preserve"> DO - F </t>
  </si>
  <si>
    <t xml:space="preserve">D -- DO -- H -- F -- M </t>
  </si>
  <si>
    <t xml:space="preserve"> D - M</t>
  </si>
  <si>
    <t xml:space="preserve">D - L </t>
  </si>
  <si>
    <t>D -- DO -- H -- F</t>
  </si>
  <si>
    <t>K -- F</t>
  </si>
  <si>
    <t>F -- K -- D -- DO -- H -- HH</t>
  </si>
  <si>
    <t xml:space="preserve">F -- K -- D -- DO -- H </t>
  </si>
  <si>
    <t xml:space="preserve">F -- H </t>
  </si>
  <si>
    <t xml:space="preserve">H -- F </t>
  </si>
  <si>
    <t xml:space="preserve">None </t>
  </si>
  <si>
    <t xml:space="preserve">DO -- K </t>
  </si>
  <si>
    <t xml:space="preserve">H -- F -- K </t>
  </si>
  <si>
    <t xml:space="preserve">H -- DO -- D -- K </t>
  </si>
  <si>
    <t xml:space="preserve">DO -- D -- K -- F -- H </t>
  </si>
  <si>
    <t xml:space="preserve">DO -- H </t>
  </si>
  <si>
    <t xml:space="preserve"> DO - H </t>
  </si>
  <si>
    <t xml:space="preserve">D - HH </t>
  </si>
  <si>
    <t>D -- K -- F -- H</t>
  </si>
  <si>
    <t>Total</t>
  </si>
  <si>
    <t xml:space="preserve">H -- DO -- K </t>
  </si>
  <si>
    <t xml:space="preserve"> H - K </t>
  </si>
  <si>
    <t>DO -- K -- F</t>
  </si>
  <si>
    <t xml:space="preserve">D --DO -- K -- F -- M </t>
  </si>
  <si>
    <t>D --DO -- K</t>
  </si>
  <si>
    <t xml:space="preserve">D -- K </t>
  </si>
  <si>
    <t>D -- DO -- K -- F</t>
  </si>
  <si>
    <t xml:space="preserve"> D - F</t>
  </si>
  <si>
    <t>D -- HH</t>
  </si>
  <si>
    <t>D -- K -- DO -- H</t>
  </si>
  <si>
    <t>D -- K -- DO</t>
  </si>
  <si>
    <t>HH -- H -- L</t>
  </si>
  <si>
    <t>B -- H -- L</t>
  </si>
  <si>
    <t>B -- H -- F</t>
  </si>
  <si>
    <t xml:space="preserve"> B - F</t>
  </si>
  <si>
    <t xml:space="preserve">B -- L </t>
  </si>
  <si>
    <t>B -- H -- HH</t>
  </si>
  <si>
    <t>B -- HH -- H</t>
  </si>
  <si>
    <t xml:space="preserve">B -- H </t>
  </si>
  <si>
    <t xml:space="preserve"> B - H</t>
  </si>
  <si>
    <t>B  -- H</t>
  </si>
  <si>
    <t>Extra Capacity Required (G)</t>
  </si>
  <si>
    <t>Links Requiring Extra Capacity</t>
  </si>
  <si>
    <t>alpha</t>
  </si>
  <si>
    <t>Extra capacity required (G)</t>
  </si>
  <si>
    <t>Links requiring Extra capacity</t>
  </si>
  <si>
    <t>Free Capacity (G)</t>
  </si>
  <si>
    <t xml:space="preserve">Traffic carried (G) </t>
  </si>
  <si>
    <t xml:space="preserve">Optical Path taken by IP link </t>
  </si>
  <si>
    <t>Traffic carried (G)</t>
  </si>
  <si>
    <t>Optical Path taken by IP link</t>
  </si>
  <si>
    <t>IP links carried</t>
  </si>
  <si>
    <t>Optical Fibre</t>
  </si>
  <si>
    <t>Faiure Mode</t>
  </si>
  <si>
    <t xml:space="preserve">Normal Mode </t>
  </si>
  <si>
    <t>F - L, F - N, L - S</t>
  </si>
  <si>
    <t>Conclusion</t>
  </si>
  <si>
    <t>Amount of Extra Capacity Required (G)</t>
  </si>
  <si>
    <t>Reroute required?</t>
  </si>
  <si>
    <t>Link Utilization (%)</t>
  </si>
  <si>
    <t>Scale</t>
  </si>
  <si>
    <t>Traffic Carried After Scale (G)</t>
  </si>
  <si>
    <t>Traffic After Scale (G)</t>
  </si>
  <si>
    <t>F - L , F-S, L - N, N - S</t>
  </si>
  <si>
    <t xml:space="preserve">H - L </t>
  </si>
  <si>
    <t xml:space="preserve">DO - H </t>
  </si>
  <si>
    <t>DO-F, DO-H,H-HH, H-L</t>
  </si>
  <si>
    <t>Capacity per LP accor to reach (G)</t>
  </si>
  <si>
    <t># of LP's required</t>
  </si>
  <si>
    <t>Cpacity per LP</t>
  </si>
  <si>
    <t>New Extra Cap (G)</t>
  </si>
  <si>
    <t>Optimization Technique</t>
  </si>
  <si>
    <t>Extra Capacity Needed (G)</t>
  </si>
  <si>
    <t>46, 104 , 195 ,12</t>
  </si>
  <si>
    <t>B-H, D-H, H-K</t>
  </si>
  <si>
    <t>174, 144 , 100</t>
  </si>
  <si>
    <t>445, 182, 604, 600</t>
  </si>
  <si>
    <t>334, 54, 524</t>
  </si>
  <si>
    <t xml:space="preserve"> M - S, N - S</t>
  </si>
  <si>
    <t xml:space="preserve"> 347, 488</t>
  </si>
  <si>
    <t>F - L , F - N</t>
  </si>
  <si>
    <t>411, 132</t>
  </si>
  <si>
    <t>L - S, M - S, N - S</t>
  </si>
  <si>
    <t>731, 462, 567</t>
  </si>
  <si>
    <t>F - N , L - N</t>
  </si>
  <si>
    <t>232.5, 83.57</t>
  </si>
  <si>
    <t>Extra # of Trans required</t>
  </si>
  <si>
    <t>0.6 alpha chosen</t>
  </si>
  <si>
    <t xml:space="preserve">F - N </t>
  </si>
  <si>
    <t>Extra Cap installed directly on link</t>
  </si>
  <si>
    <t xml:space="preserve">D - H </t>
  </si>
  <si>
    <t xml:space="preserve">DO - F </t>
  </si>
  <si>
    <t xml:space="preserve">D - F </t>
  </si>
  <si>
    <t xml:space="preserve">D - K </t>
  </si>
  <si>
    <t xml:space="preserve">L - N </t>
  </si>
  <si>
    <t>Node</t>
  </si>
  <si>
    <t>U</t>
  </si>
  <si>
    <t>100G</t>
  </si>
  <si>
    <t>150G</t>
  </si>
  <si>
    <t>200G</t>
  </si>
  <si>
    <t>250G</t>
  </si>
  <si>
    <t>400G</t>
  </si>
  <si>
    <t>Transponder Type</t>
  </si>
  <si>
    <t>Bit Rate (Gbps)</t>
  </si>
  <si>
    <t>Cost (cu)</t>
  </si>
  <si>
    <t># of Trans.</t>
  </si>
  <si>
    <t>190, 160 , 115</t>
  </si>
  <si>
    <t>65, 120 , 210 ,30</t>
  </si>
  <si>
    <t>580, 320, 740, 735</t>
  </si>
  <si>
    <t>H -HH</t>
  </si>
  <si>
    <t>Links Requiring extra Cap</t>
  </si>
  <si>
    <t xml:space="preserve">B - L </t>
  </si>
  <si>
    <t>L-N N-S</t>
  </si>
  <si>
    <t>235, 50</t>
  </si>
  <si>
    <t>NOT INCLUDED</t>
  </si>
  <si>
    <t>F - N, L-N</t>
  </si>
  <si>
    <t>235, 65</t>
  </si>
  <si>
    <t>160, 65</t>
  </si>
  <si>
    <t>Selective 0&lt;alpha&lt;1</t>
  </si>
  <si>
    <t>B-H, D-H, DO-F</t>
  </si>
  <si>
    <t>190, 190, 60</t>
  </si>
  <si>
    <t xml:space="preserve">DO-H, H-HH, H-K </t>
  </si>
  <si>
    <t>120, 210, 115</t>
  </si>
  <si>
    <t>F-H</t>
  </si>
  <si>
    <t>F-HH</t>
  </si>
  <si>
    <t>D-H, H-K</t>
  </si>
  <si>
    <t>145, 545</t>
  </si>
  <si>
    <t>D-L, L-M</t>
  </si>
  <si>
    <t>700, 290</t>
  </si>
  <si>
    <t>DO-H, L-S</t>
  </si>
  <si>
    <t>650, 55</t>
  </si>
  <si>
    <t>F-L, F-S, L-N, N-S</t>
  </si>
  <si>
    <t>600, 330, 952(takes as 950), 770</t>
  </si>
  <si>
    <t>F-L, F-N, L-S</t>
  </si>
  <si>
    <t>900, 125, 750</t>
  </si>
  <si>
    <t>L-U, M-S, N-S</t>
  </si>
  <si>
    <t>550, 465, 565</t>
  </si>
  <si>
    <t>406, 125, 595</t>
  </si>
  <si>
    <t xml:space="preserve"> 418, 560</t>
  </si>
  <si>
    <t xml:space="preserve">D -H </t>
  </si>
  <si>
    <t>Approach</t>
  </si>
  <si>
    <t>Cost(SCU)</t>
  </si>
  <si>
    <t>Extra Cap(Gbps)</t>
  </si>
  <si>
    <t>ES-EP</t>
  </si>
  <si>
    <t>US-EP</t>
  </si>
  <si>
    <t>US-UP</t>
  </si>
  <si>
    <t>US</t>
  </si>
  <si>
    <t>Approaches</t>
  </si>
  <si>
    <t>NoRerouting</t>
  </si>
  <si>
    <t>Shut-off lambda</t>
  </si>
  <si>
    <t>Multiple-path Reroute</t>
  </si>
  <si>
    <t xml:space="preserve">Selective 0&lt;alpha&lt;1 </t>
  </si>
  <si>
    <t>BDF</t>
  </si>
  <si>
    <t>SDF</t>
  </si>
  <si>
    <t>Single-hop Reroute</t>
  </si>
  <si>
    <t>C_failure</t>
  </si>
  <si>
    <t>CAPEX (SCU)</t>
  </si>
  <si>
    <t>Shut-off lambda (reroute all demands from affected link)</t>
  </si>
  <si>
    <t>Cost (scu)</t>
  </si>
  <si>
    <t>Multiple-path Reroute  (reroutes every multiple-path demand)</t>
  </si>
  <si>
    <t>No-Reroute</t>
  </si>
  <si>
    <t>Multiple-paath Reroute</t>
  </si>
  <si>
    <t>Working capacity of IP link e [Gbit/s]:</t>
  </si>
  <si>
    <t>Nominal capacity of IP link e in failure free mode [Gbit/s]:</t>
  </si>
  <si>
    <t>Spare capacity of IP link e [Gbit/s]:</t>
  </si>
  <si>
    <t>Flow Thinning with Modular Capacities</t>
  </si>
  <si>
    <t>300G</t>
  </si>
  <si>
    <t>Bit Rate (gbps)</t>
  </si>
  <si>
    <t>Affine Flow Thinning</t>
  </si>
  <si>
    <t>Flow Thinning</t>
  </si>
  <si>
    <t>Affine Flow Thinning with modular capacities</t>
  </si>
  <si>
    <t>Flow Thinning with modular capacities</t>
  </si>
  <si>
    <t>Single-hop Reroute - Working Capacity</t>
  </si>
  <si>
    <t>Single-hop Reroute - Total Capacity</t>
  </si>
  <si>
    <t>Shut-off lambda - Spare Capacity</t>
  </si>
  <si>
    <t>Shut-off lambda - Working Capacity</t>
  </si>
  <si>
    <t>Shut-off lambda - Total Capacity</t>
  </si>
  <si>
    <t>Multiple-path Reroute - Spare Capacity</t>
  </si>
  <si>
    <t>Multiple-path Reroute - Working Capacity</t>
  </si>
  <si>
    <t>Multiple-path Reroute - Total Capacity</t>
  </si>
  <si>
    <t>Selective 0&lt;alpha&lt;1 - Spare Capacity</t>
  </si>
  <si>
    <t>Selective 0&lt;alpha&lt;1 - Working Capacity</t>
  </si>
  <si>
    <t>Selective 0&lt;alpha&lt;1 - Total Capacity</t>
  </si>
  <si>
    <t>BDF - Spare Capacity</t>
  </si>
  <si>
    <t>BDF - Working Capacity</t>
  </si>
  <si>
    <t>BDF - Total Capacity</t>
  </si>
  <si>
    <t>SDF - Spare Capacity</t>
  </si>
  <si>
    <t>SDF - Working Capacity</t>
  </si>
  <si>
    <t>SDF - Total Capacity</t>
  </si>
  <si>
    <t>Single-hop Reroute - Spare Capacity</t>
  </si>
  <si>
    <t>No-Reroute - Spare Capacity</t>
  </si>
  <si>
    <t>No-Reroute - Working Capacity</t>
  </si>
  <si>
    <t>No-Reroute - Total Capacity</t>
  </si>
  <si>
    <t>ES-EP -Spare Capacity</t>
  </si>
  <si>
    <t>ES-EP - Working Capacity</t>
  </si>
  <si>
    <t>ES-EP - Total Capacity</t>
  </si>
  <si>
    <t>US-EP - Spare Capacity</t>
  </si>
  <si>
    <t>US-EP - Working Capacity</t>
  </si>
  <si>
    <t>US-EP - Total Capacity</t>
  </si>
  <si>
    <t>US-UP - Spare Capacity</t>
  </si>
  <si>
    <t>US-UP - Working Capacity</t>
  </si>
  <si>
    <t>US-UP - Total Capacity</t>
  </si>
  <si>
    <t>US - Spare Capacity</t>
  </si>
  <si>
    <t>US - Working Capacity</t>
  </si>
  <si>
    <t>US - Total Capacity</t>
  </si>
  <si>
    <t xml:space="preserve">Flow Thinning </t>
  </si>
  <si>
    <t>Total:</t>
  </si>
  <si>
    <t>Flow Thinning with Modular Capacities - Total Capacity</t>
  </si>
  <si>
    <t xml:space="preserve">Affine Flow Thinning </t>
  </si>
  <si>
    <t>Affine Flow Thinning with modular capacities - Total Capacity</t>
  </si>
  <si>
    <t>Working Capacity (Gbps)</t>
  </si>
  <si>
    <t>Spare Capacity (Gbps)</t>
  </si>
  <si>
    <t>Total Capacity (Gbps)</t>
  </si>
  <si>
    <t>ES-ES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</si>
</sst>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ele-GroteskNor"/>
    </font>
    <font>
      <sz val="10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theme="9" tint="-0.249977111117893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C00000"/>
      <name val="Arial"/>
      <family val="2"/>
    </font>
    <font>
      <b/>
      <sz val="8"/>
      <name val="Arial"/>
      <family val="2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8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medium">
        <color indexed="64"/>
      </left>
      <right/>
      <top style="thin">
        <color theme="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8" fillId="0" borderId="0"/>
    <xf numFmtId="43" fontId="19" fillId="0" borderId="0" applyFont="0" applyFill="0" applyBorder="0" applyAlignment="0" applyProtection="0"/>
    <xf numFmtId="0" fontId="20" fillId="13" borderId="0" applyNumberFormat="0" applyBorder="0" applyAlignment="0" applyProtection="0"/>
    <xf numFmtId="0" fontId="21" fillId="14" borderId="0" applyNumberFormat="0" applyBorder="0" applyAlignment="0" applyProtection="0"/>
    <xf numFmtId="0" fontId="22" fillId="15" borderId="0" applyNumberFormat="0" applyBorder="0" applyAlignment="0" applyProtection="0"/>
    <xf numFmtId="0" fontId="19" fillId="16" borderId="0" applyNumberFormat="0" applyBorder="0" applyAlignment="0" applyProtection="0"/>
  </cellStyleXfs>
  <cellXfs count="67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 readingOrder="2"/>
    </xf>
    <xf numFmtId="0" fontId="1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7" xfId="0" applyFont="1" applyBorder="1"/>
    <xf numFmtId="0" fontId="5" fillId="0" borderId="0" xfId="0" applyFont="1" applyBorder="1" applyAlignment="1">
      <alignment horizontal="center"/>
    </xf>
    <xf numFmtId="0" fontId="8" fillId="0" borderId="0" xfId="1"/>
    <xf numFmtId="0" fontId="9" fillId="0" borderId="0" xfId="1" applyFont="1"/>
    <xf numFmtId="0" fontId="11" fillId="0" borderId="0" xfId="1" applyFont="1"/>
    <xf numFmtId="0" fontId="11" fillId="0" borderId="0" xfId="1" applyFont="1" applyFill="1" applyBorder="1" applyAlignment="1">
      <alignment horizontal="center" wrapText="1"/>
    </xf>
    <xf numFmtId="0" fontId="15" fillId="0" borderId="0" xfId="1" applyFont="1" applyBorder="1" applyAlignment="1">
      <alignment horizontal="center" wrapText="1"/>
    </xf>
    <xf numFmtId="0" fontId="15" fillId="0" borderId="5" xfId="1" applyFont="1" applyBorder="1" applyAlignment="1">
      <alignment horizontal="center" wrapText="1"/>
    </xf>
    <xf numFmtId="0" fontId="11" fillId="0" borderId="0" xfId="1" applyFont="1" applyBorder="1" applyAlignment="1">
      <alignment horizontal="center" wrapText="1"/>
    </xf>
    <xf numFmtId="0" fontId="15" fillId="0" borderId="4" xfId="1" applyFont="1" applyBorder="1" applyAlignment="1">
      <alignment horizontal="center" wrapText="1"/>
    </xf>
    <xf numFmtId="0" fontId="11" fillId="0" borderId="5" xfId="1" applyFont="1" applyBorder="1" applyAlignment="1">
      <alignment horizontal="center" wrapText="1"/>
    </xf>
    <xf numFmtId="0" fontId="14" fillId="0" borderId="4" xfId="1" applyFont="1" applyBorder="1" applyAlignment="1">
      <alignment horizontal="center" wrapText="1"/>
    </xf>
    <xf numFmtId="0" fontId="11" fillId="0" borderId="4" xfId="1" applyFont="1" applyBorder="1" applyAlignment="1">
      <alignment horizontal="center" wrapText="1"/>
    </xf>
    <xf numFmtId="0" fontId="12" fillId="0" borderId="0" xfId="1" applyFont="1"/>
    <xf numFmtId="0" fontId="11" fillId="0" borderId="0" xfId="1" applyFont="1" applyBorder="1"/>
    <xf numFmtId="0" fontId="9" fillId="0" borderId="0" xfId="1" applyFont="1" applyBorder="1"/>
    <xf numFmtId="0" fontId="11" fillId="0" borderId="0" xfId="1" applyFont="1" applyBorder="1" applyAlignment="1">
      <alignment wrapText="1"/>
    </xf>
    <xf numFmtId="0" fontId="15" fillId="0" borderId="0" xfId="1" applyFont="1" applyFill="1" applyBorder="1" applyAlignment="1">
      <alignment horizontal="center" wrapText="1"/>
    </xf>
    <xf numFmtId="0" fontId="15" fillId="0" borderId="5" xfId="1" applyFont="1" applyFill="1" applyBorder="1" applyAlignment="1">
      <alignment horizontal="center" wrapText="1"/>
    </xf>
    <xf numFmtId="0" fontId="13" fillId="0" borderId="0" xfId="1" applyFont="1" applyFill="1" applyBorder="1" applyAlignment="1">
      <alignment horizontal="center" wrapText="1"/>
    </xf>
    <xf numFmtId="0" fontId="11" fillId="2" borderId="1" xfId="1" applyFont="1" applyFill="1" applyBorder="1" applyAlignment="1">
      <alignment horizontal="center" wrapText="1"/>
    </xf>
    <xf numFmtId="0" fontId="11" fillId="2" borderId="2" xfId="1" applyFont="1" applyFill="1" applyBorder="1" applyAlignment="1">
      <alignment horizontal="center" wrapText="1"/>
    </xf>
    <xf numFmtId="0" fontId="11" fillId="2" borderId="3" xfId="1" applyFont="1" applyFill="1" applyBorder="1" applyAlignment="1">
      <alignment horizontal="center" wrapText="1"/>
    </xf>
    <xf numFmtId="1" fontId="11" fillId="0" borderId="0" xfId="1" applyNumberFormat="1" applyFont="1" applyBorder="1"/>
    <xf numFmtId="0" fontId="11" fillId="0" borderId="4" xfId="1" applyFont="1" applyFill="1" applyBorder="1" applyAlignment="1">
      <alignment horizontal="center" wrapText="1"/>
    </xf>
    <xf numFmtId="0" fontId="11" fillId="0" borderId="5" xfId="1" applyFont="1" applyFill="1" applyBorder="1" applyAlignment="1">
      <alignment horizontal="center" wrapText="1"/>
    </xf>
    <xf numFmtId="0" fontId="11" fillId="2" borderId="4" xfId="1" applyFont="1" applyFill="1" applyBorder="1" applyAlignment="1">
      <alignment horizontal="center" wrapText="1"/>
    </xf>
    <xf numFmtId="0" fontId="11" fillId="2" borderId="0" xfId="1" applyFont="1" applyFill="1" applyBorder="1" applyAlignment="1">
      <alignment horizontal="center" wrapText="1"/>
    </xf>
    <xf numFmtId="0" fontId="11" fillId="2" borderId="5" xfId="1" applyFont="1" applyFill="1" applyBorder="1" applyAlignment="1">
      <alignment horizontal="center" wrapText="1"/>
    </xf>
    <xf numFmtId="0" fontId="11" fillId="0" borderId="6" xfId="1" applyFont="1" applyBorder="1" applyAlignment="1">
      <alignment horizontal="center" wrapText="1"/>
    </xf>
    <xf numFmtId="0" fontId="11" fillId="0" borderId="7" xfId="1" applyFont="1" applyBorder="1" applyAlignment="1">
      <alignment horizontal="center" wrapText="1"/>
    </xf>
    <xf numFmtId="0" fontId="11" fillId="0" borderId="8" xfId="1" applyFont="1" applyBorder="1" applyAlignment="1">
      <alignment horizontal="center" wrapText="1"/>
    </xf>
    <xf numFmtId="0" fontId="16" fillId="0" borderId="0" xfId="1" applyFont="1" applyAlignment="1"/>
    <xf numFmtId="0" fontId="9" fillId="0" borderId="0" xfId="1" applyFont="1" applyFill="1"/>
    <xf numFmtId="0" fontId="10" fillId="0" borderId="0" xfId="1" applyFont="1" applyFill="1" applyBorder="1" applyAlignment="1">
      <alignment horizontal="right"/>
    </xf>
    <xf numFmtId="0" fontId="17" fillId="0" borderId="0" xfId="1" applyFont="1" applyFill="1" applyBorder="1" applyAlignment="1">
      <alignment horizontal="right"/>
    </xf>
    <xf numFmtId="0" fontId="10" fillId="0" borderId="0" xfId="1" applyFont="1" applyFill="1" applyAlignment="1">
      <alignment horizontal="right"/>
    </xf>
    <xf numFmtId="0" fontId="10" fillId="0" borderId="0" xfId="1" applyFont="1" applyAlignment="1">
      <alignment horizontal="right"/>
    </xf>
    <xf numFmtId="0" fontId="5" fillId="0" borderId="0" xfId="0" applyFont="1" applyAlignment="1"/>
    <xf numFmtId="0" fontId="5" fillId="0" borderId="4" xfId="0" applyFont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10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5" fillId="5" borderId="18" xfId="0" applyFont="1" applyFill="1" applyBorder="1" applyAlignment="1">
      <alignment horizontal="center"/>
    </xf>
    <xf numFmtId="0" fontId="5" fillId="5" borderId="17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5" fillId="5" borderId="2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/>
    </xf>
    <xf numFmtId="0" fontId="5" fillId="5" borderId="24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7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29" xfId="0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1" xfId="0" applyFont="1" applyFill="1" applyBorder="1" applyAlignment="1">
      <alignment horizontal="center"/>
    </xf>
    <xf numFmtId="0" fontId="5" fillId="0" borderId="30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4" borderId="23" xfId="0" applyFont="1" applyFill="1" applyBorder="1" applyAlignment="1">
      <alignment horizontal="center"/>
    </xf>
    <xf numFmtId="0" fontId="5" fillId="4" borderId="32" xfId="0" applyFont="1" applyFill="1" applyBorder="1" applyAlignment="1">
      <alignment horizontal="center"/>
    </xf>
    <xf numFmtId="0" fontId="5" fillId="0" borderId="33" xfId="0" applyFont="1" applyFill="1" applyBorder="1" applyAlignment="1">
      <alignment horizontal="center"/>
    </xf>
    <xf numFmtId="0" fontId="5" fillId="0" borderId="34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4" borderId="36" xfId="0" applyFont="1" applyFill="1" applyBorder="1" applyAlignment="1">
      <alignment horizontal="center"/>
    </xf>
    <xf numFmtId="0" fontId="5" fillId="5" borderId="36" xfId="0" applyFont="1" applyFill="1" applyBorder="1" applyAlignment="1">
      <alignment horizontal="center"/>
    </xf>
    <xf numFmtId="0" fontId="5" fillId="0" borderId="38" xfId="0" applyFont="1" applyFill="1" applyBorder="1" applyAlignment="1">
      <alignment horizontal="center"/>
    </xf>
    <xf numFmtId="0" fontId="5" fillId="0" borderId="39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/>
    </xf>
    <xf numFmtId="0" fontId="7" fillId="7" borderId="20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7" borderId="38" xfId="0" applyFont="1" applyFill="1" applyBorder="1" applyAlignment="1">
      <alignment horizontal="center"/>
    </xf>
    <xf numFmtId="0" fontId="7" fillId="7" borderId="39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 vertical="center"/>
    </xf>
    <xf numFmtId="0" fontId="5" fillId="3" borderId="40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/>
    </xf>
    <xf numFmtId="0" fontId="5" fillId="8" borderId="28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0" borderId="26" xfId="0" applyFont="1" applyFill="1" applyBorder="1" applyAlignment="1">
      <alignment horizontal="center" vertical="center"/>
    </xf>
    <xf numFmtId="0" fontId="5" fillId="7" borderId="27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7" borderId="31" xfId="0" applyFont="1" applyFill="1" applyBorder="1" applyAlignment="1">
      <alignment horizontal="center"/>
    </xf>
    <xf numFmtId="0" fontId="5" fillId="7" borderId="30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/>
    </xf>
    <xf numFmtId="0" fontId="7" fillId="7" borderId="27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5" fillId="3" borderId="42" xfId="0" applyFont="1" applyFill="1" applyBorder="1" applyAlignment="1">
      <alignment horizontal="center"/>
    </xf>
    <xf numFmtId="0" fontId="5" fillId="7" borderId="35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  <xf numFmtId="0" fontId="5" fillId="3" borderId="43" xfId="0" applyFont="1" applyFill="1" applyBorder="1" applyAlignment="1">
      <alignment horizontal="center"/>
    </xf>
    <xf numFmtId="0" fontId="5" fillId="4" borderId="45" xfId="0" applyFont="1" applyFill="1" applyBorder="1" applyAlignment="1">
      <alignment horizontal="center"/>
    </xf>
    <xf numFmtId="0" fontId="5" fillId="5" borderId="45" xfId="0" applyFont="1" applyFill="1" applyBorder="1" applyAlignment="1">
      <alignment horizontal="center"/>
    </xf>
    <xf numFmtId="0" fontId="7" fillId="7" borderId="37" xfId="0" applyFont="1" applyFill="1" applyBorder="1" applyAlignment="1">
      <alignment horizontal="center"/>
    </xf>
    <xf numFmtId="0" fontId="5" fillId="0" borderId="46" xfId="0" applyFont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9" borderId="0" xfId="0" applyFont="1" applyFill="1" applyBorder="1" applyAlignment="1">
      <alignment horizontal="center"/>
    </xf>
    <xf numFmtId="0" fontId="5" fillId="9" borderId="28" xfId="0" applyFont="1" applyFill="1" applyBorder="1" applyAlignment="1">
      <alignment horizontal="center"/>
    </xf>
    <xf numFmtId="0" fontId="5" fillId="0" borderId="47" xfId="0" applyFont="1" applyFill="1" applyBorder="1" applyAlignment="1">
      <alignment horizontal="center" vertical="center"/>
    </xf>
    <xf numFmtId="0" fontId="5" fillId="7" borderId="26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4" borderId="49" xfId="0" applyFont="1" applyFill="1" applyBorder="1" applyAlignment="1">
      <alignment horizontal="center"/>
    </xf>
    <xf numFmtId="0" fontId="5" fillId="4" borderId="51" xfId="0" applyFont="1" applyFill="1" applyBorder="1" applyAlignment="1">
      <alignment horizontal="center"/>
    </xf>
    <xf numFmtId="0" fontId="5" fillId="5" borderId="51" xfId="0" applyFont="1" applyFill="1" applyBorder="1" applyAlignment="1">
      <alignment horizontal="center"/>
    </xf>
    <xf numFmtId="0" fontId="5" fillId="5" borderId="50" xfId="0" applyFont="1" applyFill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5" fillId="4" borderId="47" xfId="0" applyFont="1" applyFill="1" applyBorder="1" applyAlignment="1">
      <alignment horizontal="center"/>
    </xf>
    <xf numFmtId="0" fontId="5" fillId="4" borderId="54" xfId="0" applyFont="1" applyFill="1" applyBorder="1" applyAlignment="1">
      <alignment horizontal="center"/>
    </xf>
    <xf numFmtId="0" fontId="5" fillId="4" borderId="55" xfId="0" applyFont="1" applyFill="1" applyBorder="1" applyAlignment="1">
      <alignment horizontal="center"/>
    </xf>
    <xf numFmtId="0" fontId="5" fillId="5" borderId="54" xfId="0" applyFont="1" applyFill="1" applyBorder="1" applyAlignment="1">
      <alignment horizontal="center"/>
    </xf>
    <xf numFmtId="0" fontId="5" fillId="5" borderId="55" xfId="0" applyFont="1" applyFill="1" applyBorder="1" applyAlignment="1">
      <alignment horizontal="center"/>
    </xf>
    <xf numFmtId="0" fontId="5" fillId="5" borderId="54" xfId="0" applyFont="1" applyFill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4" fillId="7" borderId="56" xfId="0" applyFont="1" applyFill="1" applyBorder="1" applyAlignment="1">
      <alignment horizontal="center"/>
    </xf>
    <xf numFmtId="0" fontId="4" fillId="7" borderId="57" xfId="0" applyFont="1" applyFill="1" applyBorder="1" applyAlignment="1">
      <alignment horizontal="center"/>
    </xf>
    <xf numFmtId="0" fontId="4" fillId="7" borderId="58" xfId="0" applyFont="1" applyFill="1" applyBorder="1" applyAlignment="1">
      <alignment horizontal="center"/>
    </xf>
    <xf numFmtId="0" fontId="4" fillId="3" borderId="59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60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5" borderId="60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58" xfId="0" applyFont="1" applyBorder="1" applyAlignment="1">
      <alignment horizontal="center" vertical="center"/>
    </xf>
    <xf numFmtId="0" fontId="5" fillId="6" borderId="10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15" fillId="4" borderId="24" xfId="0" applyFont="1" applyFill="1" applyBorder="1" applyAlignment="1">
      <alignment horizontal="center"/>
    </xf>
    <xf numFmtId="0" fontId="5" fillId="6" borderId="26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15" fillId="4" borderId="25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5" fillId="6" borderId="33" xfId="0" applyFont="1" applyFill="1" applyBorder="1" applyAlignment="1">
      <alignment horizontal="center"/>
    </xf>
    <xf numFmtId="0" fontId="5" fillId="6" borderId="61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6" borderId="29" xfId="0" applyFont="1" applyFill="1" applyBorder="1" applyAlignment="1">
      <alignment horizontal="center"/>
    </xf>
    <xf numFmtId="0" fontId="5" fillId="6" borderId="24" xfId="0" applyFont="1" applyFill="1" applyBorder="1" applyAlignment="1">
      <alignment horizontal="center"/>
    </xf>
    <xf numFmtId="0" fontId="5" fillId="6" borderId="38" xfId="0" applyFont="1" applyFill="1" applyBorder="1" applyAlignment="1">
      <alignment horizontal="center"/>
    </xf>
    <xf numFmtId="0" fontId="5" fillId="6" borderId="54" xfId="0" applyFont="1" applyFill="1" applyBorder="1" applyAlignment="1">
      <alignment horizontal="center"/>
    </xf>
    <xf numFmtId="0" fontId="5" fillId="10" borderId="10" xfId="0" applyFont="1" applyFill="1" applyBorder="1" applyAlignment="1">
      <alignment horizontal="center"/>
    </xf>
    <xf numFmtId="0" fontId="5" fillId="10" borderId="11" xfId="0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5" fillId="10" borderId="20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0" fontId="5" fillId="3" borderId="54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62" xfId="0" applyFont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0" fontId="5" fillId="11" borderId="35" xfId="0" applyFont="1" applyFill="1" applyBorder="1" applyAlignment="1">
      <alignment horizontal="center"/>
    </xf>
    <xf numFmtId="0" fontId="5" fillId="11" borderId="37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48" xfId="0" applyFont="1" applyFill="1" applyBorder="1" applyAlignment="1">
      <alignment horizontal="center"/>
    </xf>
    <xf numFmtId="0" fontId="5" fillId="4" borderId="63" xfId="0" applyFont="1" applyFill="1" applyBorder="1" applyAlignment="1">
      <alignment horizontal="center"/>
    </xf>
    <xf numFmtId="0" fontId="5" fillId="10" borderId="27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5" fillId="10" borderId="29" xfId="0" applyFont="1" applyFill="1" applyBorder="1" applyAlignment="1">
      <alignment horizontal="center"/>
    </xf>
    <xf numFmtId="0" fontId="5" fillId="10" borderId="2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5" fillId="0" borderId="0" xfId="0" applyFont="1" applyBorder="1" applyAlignment="1"/>
    <xf numFmtId="0" fontId="5" fillId="0" borderId="15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58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5" fillId="4" borderId="54" xfId="0" applyFont="1" applyFill="1" applyBorder="1" applyAlignment="1">
      <alignment horizontal="center"/>
    </xf>
    <xf numFmtId="0" fontId="5" fillId="10" borderId="5" xfId="0" applyFont="1" applyFill="1" applyBorder="1" applyAlignment="1">
      <alignment horizontal="center"/>
    </xf>
    <xf numFmtId="0" fontId="5" fillId="10" borderId="3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5" fillId="9" borderId="15" xfId="0" applyFont="1" applyFill="1" applyBorder="1" applyAlignment="1">
      <alignment horizontal="center"/>
    </xf>
    <xf numFmtId="0" fontId="5" fillId="9" borderId="14" xfId="0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/>
    <xf numFmtId="0" fontId="7" fillId="0" borderId="1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11" borderId="37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5" borderId="22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5" borderId="28" xfId="0" applyFont="1" applyFill="1" applyBorder="1" applyAlignment="1">
      <alignment horizontal="center"/>
    </xf>
    <xf numFmtId="0" fontId="5" fillId="4" borderId="44" xfId="0" applyFont="1" applyFill="1" applyBorder="1" applyAlignment="1">
      <alignment horizontal="center"/>
    </xf>
    <xf numFmtId="0" fontId="5" fillId="4" borderId="22" xfId="0" applyFont="1" applyFill="1" applyBorder="1" applyAlignment="1">
      <alignment horizontal="center"/>
    </xf>
    <xf numFmtId="0" fontId="5" fillId="4" borderId="28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37" xfId="0" applyFont="1" applyFill="1" applyBorder="1" applyAlignment="1">
      <alignment horizontal="center"/>
    </xf>
    <xf numFmtId="0" fontId="5" fillId="4" borderId="31" xfId="0" applyFont="1" applyFill="1" applyBorder="1" applyAlignment="1">
      <alignment horizontal="center"/>
    </xf>
    <xf numFmtId="0" fontId="5" fillId="4" borderId="35" xfId="0" applyFont="1" applyFill="1" applyBorder="1" applyAlignment="1">
      <alignment horizontal="center"/>
    </xf>
    <xf numFmtId="0" fontId="5" fillId="10" borderId="31" xfId="0" applyFont="1" applyFill="1" applyBorder="1" applyAlignment="1">
      <alignment horizontal="center"/>
    </xf>
    <xf numFmtId="0" fontId="5" fillId="11" borderId="10" xfId="0" applyFon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0" fillId="0" borderId="0" xfId="0" applyBorder="1"/>
    <xf numFmtId="0" fontId="5" fillId="0" borderId="27" xfId="0" applyFont="1" applyBorder="1"/>
    <xf numFmtId="0" fontId="5" fillId="0" borderId="10" xfId="0" applyFont="1" applyBorder="1"/>
    <xf numFmtId="0" fontId="5" fillId="0" borderId="0" xfId="0" applyFont="1" applyFill="1" applyBorder="1" applyAlignment="1"/>
    <xf numFmtId="0" fontId="4" fillId="0" borderId="7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5" borderId="49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32" xfId="0" applyFont="1" applyFill="1" applyBorder="1" applyAlignment="1">
      <alignment horizontal="center"/>
    </xf>
    <xf numFmtId="0" fontId="5" fillId="5" borderId="27" xfId="0" applyFont="1" applyFill="1" applyBorder="1" applyAlignment="1">
      <alignment horizontal="center"/>
    </xf>
    <xf numFmtId="0" fontId="5" fillId="5" borderId="44" xfId="0" applyFont="1" applyFill="1" applyBorder="1" applyAlignment="1">
      <alignment horizontal="center"/>
    </xf>
    <xf numFmtId="0" fontId="5" fillId="5" borderId="47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5" fillId="3" borderId="23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3" borderId="20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44" xfId="0" applyFont="1" applyFill="1" applyBorder="1" applyAlignment="1">
      <alignment horizontal="center"/>
    </xf>
    <xf numFmtId="0" fontId="4" fillId="3" borderId="56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5" fillId="4" borderId="9" xfId="0" applyFont="1" applyFill="1" applyBorder="1" applyAlignment="1">
      <alignment horizontal="center"/>
    </xf>
    <xf numFmtId="0" fontId="4" fillId="0" borderId="58" xfId="0" applyFont="1" applyFill="1" applyBorder="1" applyAlignment="1">
      <alignment horizontal="center"/>
    </xf>
    <xf numFmtId="0" fontId="5" fillId="0" borderId="58" xfId="0" applyFont="1" applyFill="1" applyBorder="1" applyAlignment="1">
      <alignment horizontal="center"/>
    </xf>
    <xf numFmtId="0" fontId="5" fillId="0" borderId="26" xfId="0" applyFont="1" applyBorder="1" applyAlignment="1">
      <alignment horizontal="center" vertical="center"/>
    </xf>
    <xf numFmtId="0" fontId="5" fillId="5" borderId="7" xfId="0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11" borderId="23" xfId="0" applyFont="1" applyFill="1" applyBorder="1" applyAlignment="1">
      <alignment horizontal="center"/>
    </xf>
    <xf numFmtId="0" fontId="5" fillId="10" borderId="0" xfId="0" applyFont="1" applyFill="1" applyBorder="1" applyAlignment="1">
      <alignment horizontal="center"/>
    </xf>
    <xf numFmtId="0" fontId="5" fillId="11" borderId="0" xfId="0" applyFont="1" applyFill="1" applyBorder="1" applyAlignment="1">
      <alignment horizontal="center"/>
    </xf>
    <xf numFmtId="0" fontId="5" fillId="11" borderId="11" xfId="0" applyFont="1" applyFill="1" applyBorder="1" applyAlignment="1">
      <alignment horizontal="center"/>
    </xf>
    <xf numFmtId="0" fontId="15" fillId="4" borderId="4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5" fillId="11" borderId="15" xfId="0" applyFont="1" applyFill="1" applyBorder="1" applyAlignment="1">
      <alignment horizontal="center"/>
    </xf>
    <xf numFmtId="0" fontId="15" fillId="4" borderId="17" xfId="0" applyFont="1" applyFill="1" applyBorder="1" applyAlignment="1">
      <alignment horizontal="center"/>
    </xf>
    <xf numFmtId="0" fontId="7" fillId="4" borderId="37" xfId="0" applyFont="1" applyFill="1" applyBorder="1" applyAlignment="1">
      <alignment horizontal="center"/>
    </xf>
    <xf numFmtId="0" fontId="7" fillId="4" borderId="35" xfId="0" applyFont="1" applyFill="1" applyBorder="1" applyAlignment="1">
      <alignment horizontal="center"/>
    </xf>
    <xf numFmtId="0" fontId="7" fillId="4" borderId="31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9" borderId="22" xfId="0" applyFont="1" applyFill="1" applyBorder="1" applyAlignment="1">
      <alignment horizontal="center"/>
    </xf>
    <xf numFmtId="0" fontId="5" fillId="9" borderId="23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7" fillId="7" borderId="31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38" xfId="0" applyFont="1" applyFill="1" applyBorder="1" applyAlignment="1">
      <alignment horizontal="center"/>
    </xf>
    <xf numFmtId="0" fontId="5" fillId="0" borderId="26" xfId="0" applyFont="1" applyBorder="1" applyAlignment="1">
      <alignment horizontal="center" vertical="center"/>
    </xf>
    <xf numFmtId="0" fontId="5" fillId="5" borderId="7" xfId="0" applyFont="1" applyFill="1" applyBorder="1" applyAlignment="1">
      <alignment horizontal="center"/>
    </xf>
    <xf numFmtId="0" fontId="5" fillId="11" borderId="37" xfId="0" applyFont="1" applyFill="1" applyBorder="1" applyAlignment="1">
      <alignment horizontal="center"/>
    </xf>
    <xf numFmtId="0" fontId="5" fillId="11" borderId="3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8" fillId="0" borderId="58" xfId="0" applyFont="1" applyFill="1" applyBorder="1" applyAlignment="1">
      <alignment horizontal="center"/>
    </xf>
    <xf numFmtId="0" fontId="4" fillId="0" borderId="57" xfId="0" applyFont="1" applyFill="1" applyBorder="1" applyAlignment="1"/>
    <xf numFmtId="0" fontId="4" fillId="0" borderId="57" xfId="0" applyFont="1" applyFill="1" applyBorder="1" applyAlignment="1">
      <alignment horizontal="center"/>
    </xf>
    <xf numFmtId="0" fontId="4" fillId="0" borderId="56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60" xfId="0" applyFont="1" applyFill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58" xfId="0" applyFont="1" applyBorder="1" applyAlignment="1">
      <alignment horizont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64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 vertical="center"/>
    </xf>
    <xf numFmtId="0" fontId="5" fillId="0" borderId="57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5" fillId="0" borderId="57" xfId="0" applyFont="1" applyFill="1" applyBorder="1" applyAlignment="1">
      <alignment horizontal="center"/>
    </xf>
    <xf numFmtId="0" fontId="7" fillId="4" borderId="25" xfId="0" applyFont="1" applyFill="1" applyBorder="1" applyAlignment="1">
      <alignment horizontal="center"/>
    </xf>
    <xf numFmtId="0" fontId="18" fillId="0" borderId="56" xfId="0" applyFont="1" applyFill="1" applyBorder="1" applyAlignment="1">
      <alignment horizontal="center"/>
    </xf>
    <xf numFmtId="0" fontId="5" fillId="12" borderId="22" xfId="0" applyFont="1" applyFill="1" applyBorder="1" applyAlignment="1">
      <alignment horizontal="right" vertical="center"/>
    </xf>
    <xf numFmtId="0" fontId="5" fillId="12" borderId="19" xfId="0" applyFont="1" applyFill="1" applyBorder="1" applyAlignment="1">
      <alignment horizontal="right" vertical="center"/>
    </xf>
    <xf numFmtId="0" fontId="5" fillId="12" borderId="28" xfId="0" applyFont="1" applyFill="1" applyBorder="1" applyAlignment="1">
      <alignment horizontal="right" vertical="center"/>
    </xf>
    <xf numFmtId="0" fontId="5" fillId="12" borderId="27" xfId="0" applyFont="1" applyFill="1" applyBorder="1" applyAlignment="1">
      <alignment horizontal="right" vertical="center"/>
    </xf>
    <xf numFmtId="0" fontId="5" fillId="12" borderId="14" xfId="0" applyFont="1" applyFill="1" applyBorder="1" applyAlignment="1">
      <alignment horizontal="right" vertical="center"/>
    </xf>
    <xf numFmtId="0" fontId="5" fillId="12" borderId="10" xfId="0" applyFont="1" applyFill="1" applyBorder="1" applyAlignment="1">
      <alignment horizontal="right" vertical="center"/>
    </xf>
    <xf numFmtId="0" fontId="5" fillId="3" borderId="17" xfId="0" applyFont="1" applyFill="1" applyBorder="1" applyAlignment="1">
      <alignment vertical="center"/>
    </xf>
    <xf numFmtId="0" fontId="5" fillId="3" borderId="37" xfId="0" applyFont="1" applyFill="1" applyBorder="1" applyAlignment="1">
      <alignment vertical="center"/>
    </xf>
    <xf numFmtId="0" fontId="5" fillId="3" borderId="35" xfId="0" applyFont="1" applyFill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7" borderId="18" xfId="0" applyFont="1" applyFill="1" applyBorder="1" applyAlignment="1">
      <alignment horizontal="center" vertical="center"/>
    </xf>
    <xf numFmtId="0" fontId="7" fillId="7" borderId="66" xfId="0" applyFont="1" applyFill="1" applyBorder="1" applyAlignment="1">
      <alignment horizontal="center"/>
    </xf>
    <xf numFmtId="0" fontId="7" fillId="7" borderId="53" xfId="0" applyFont="1" applyFill="1" applyBorder="1" applyAlignment="1">
      <alignment horizontal="center"/>
    </xf>
    <xf numFmtId="0" fontId="7" fillId="7" borderId="15" xfId="0" applyFont="1" applyFill="1" applyBorder="1" applyAlignment="1">
      <alignment horizontal="center"/>
    </xf>
    <xf numFmtId="0" fontId="7" fillId="7" borderId="10" xfId="0" applyFont="1" applyFill="1" applyBorder="1" applyAlignment="1">
      <alignment horizontal="center"/>
    </xf>
    <xf numFmtId="0" fontId="7" fillId="7" borderId="24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27" xfId="0" applyFont="1" applyFill="1" applyBorder="1" applyAlignment="1">
      <alignment horizontal="center" vertical="center"/>
    </xf>
    <xf numFmtId="0" fontId="7" fillId="7" borderId="18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5" borderId="7" xfId="0" applyFont="1" applyFill="1" applyBorder="1" applyAlignment="1">
      <alignment horizontal="center"/>
    </xf>
    <xf numFmtId="0" fontId="5" fillId="11" borderId="26" xfId="0" applyFont="1" applyFill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0" fontId="5" fillId="11" borderId="30" xfId="0" applyFont="1" applyFill="1" applyBorder="1" applyAlignment="1">
      <alignment horizontal="center" vertical="center"/>
    </xf>
    <xf numFmtId="0" fontId="5" fillId="11" borderId="37" xfId="0" applyFont="1" applyFill="1" applyBorder="1" applyAlignment="1">
      <alignment horizontal="center" vertical="center"/>
    </xf>
    <xf numFmtId="0" fontId="5" fillId="11" borderId="31" xfId="0" applyFont="1" applyFill="1" applyBorder="1" applyAlignment="1">
      <alignment horizontal="center" vertical="center"/>
    </xf>
    <xf numFmtId="0" fontId="5" fillId="11" borderId="35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47" xfId="0" applyFont="1" applyFill="1" applyBorder="1" applyAlignment="1">
      <alignment horizontal="center"/>
    </xf>
    <xf numFmtId="0" fontId="7" fillId="7" borderId="23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 vertical="center"/>
    </xf>
    <xf numFmtId="0" fontId="5" fillId="7" borderId="17" xfId="0" applyFont="1" applyFill="1" applyBorder="1" applyAlignment="1">
      <alignment horizontal="center" vertical="center"/>
    </xf>
    <xf numFmtId="0" fontId="4" fillId="0" borderId="59" xfId="0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0" borderId="56" xfId="0" applyFont="1" applyBorder="1" applyAlignment="1">
      <alignment horizontal="center"/>
    </xf>
    <xf numFmtId="0" fontId="5" fillId="0" borderId="47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10" borderId="65" xfId="0" applyFont="1" applyFill="1" applyBorder="1" applyAlignment="1">
      <alignment horizontal="center"/>
    </xf>
    <xf numFmtId="0" fontId="5" fillId="10" borderId="38" xfId="0" applyFont="1" applyFill="1" applyBorder="1" applyAlignment="1">
      <alignment horizontal="center"/>
    </xf>
    <xf numFmtId="0" fontId="5" fillId="10" borderId="26" xfId="0" applyFont="1" applyFill="1" applyBorder="1" applyAlignment="1">
      <alignment horizontal="center" vertical="center"/>
    </xf>
    <xf numFmtId="0" fontId="5" fillId="10" borderId="19" xfId="0" applyFont="1" applyFill="1" applyBorder="1" applyAlignment="1">
      <alignment horizontal="center" vertical="center"/>
    </xf>
    <xf numFmtId="0" fontId="5" fillId="10" borderId="61" xfId="0" applyFont="1" applyFill="1" applyBorder="1" applyAlignment="1">
      <alignment horizontal="center" vertical="center"/>
    </xf>
    <xf numFmtId="0" fontId="5" fillId="10" borderId="33" xfId="0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5" fillId="10" borderId="33" xfId="0" applyFont="1" applyFill="1" applyBorder="1" applyAlignment="1">
      <alignment horizontal="center"/>
    </xf>
    <xf numFmtId="0" fontId="5" fillId="10" borderId="24" xfId="0" applyFont="1" applyFill="1" applyBorder="1" applyAlignment="1">
      <alignment horizontal="center" vertical="center"/>
    </xf>
    <xf numFmtId="0" fontId="5" fillId="10" borderId="29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27" xfId="0" applyFont="1" applyFill="1" applyBorder="1" applyAlignment="1">
      <alignment horizontal="center" vertical="center"/>
    </xf>
    <xf numFmtId="0" fontId="5" fillId="4" borderId="40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5" fillId="4" borderId="67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65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12" borderId="23" xfId="0" applyFont="1" applyFill="1" applyBorder="1" applyAlignment="1">
      <alignment horizontal="right" vertical="center"/>
    </xf>
    <xf numFmtId="0" fontId="5" fillId="12" borderId="0" xfId="0" applyFont="1" applyFill="1" applyBorder="1" applyAlignment="1">
      <alignment horizontal="right" vertical="center"/>
    </xf>
    <xf numFmtId="0" fontId="5" fillId="12" borderId="15" xfId="0" applyFont="1" applyFill="1" applyBorder="1" applyAlignment="1">
      <alignment horizontal="right" vertical="center"/>
    </xf>
    <xf numFmtId="0" fontId="7" fillId="4" borderId="21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7" fillId="4" borderId="67" xfId="0" applyFont="1" applyFill="1" applyBorder="1" applyAlignment="1">
      <alignment horizontal="center"/>
    </xf>
    <xf numFmtId="0" fontId="7" fillId="4" borderId="40" xfId="0" applyFont="1" applyFill="1" applyBorder="1" applyAlignment="1">
      <alignment horizontal="center"/>
    </xf>
    <xf numFmtId="0" fontId="15" fillId="4" borderId="21" xfId="0" applyFont="1" applyFill="1" applyBorder="1" applyAlignment="1">
      <alignment horizontal="center"/>
    </xf>
    <xf numFmtId="0" fontId="15" fillId="4" borderId="13" xfId="0" applyFont="1" applyFill="1" applyBorder="1" applyAlignment="1">
      <alignment horizontal="center"/>
    </xf>
    <xf numFmtId="0" fontId="15" fillId="4" borderId="67" xfId="0" applyFont="1" applyFill="1" applyBorder="1" applyAlignment="1">
      <alignment horizontal="center"/>
    </xf>
    <xf numFmtId="0" fontId="15" fillId="4" borderId="4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5" fillId="10" borderId="26" xfId="0" applyFont="1" applyFill="1" applyBorder="1" applyAlignment="1">
      <alignment horizontal="center"/>
    </xf>
    <xf numFmtId="0" fontId="5" fillId="10" borderId="12" xfId="0" applyFont="1" applyFill="1" applyBorder="1" applyAlignment="1">
      <alignment horizontal="center"/>
    </xf>
    <xf numFmtId="0" fontId="1" fillId="0" borderId="40" xfId="0" applyFont="1" applyBorder="1"/>
    <xf numFmtId="0" fontId="1" fillId="0" borderId="38" xfId="0" applyFont="1" applyBorder="1"/>
    <xf numFmtId="0" fontId="0" fillId="0" borderId="0" xfId="0" applyAlignment="1">
      <alignment horizontal="center"/>
    </xf>
    <xf numFmtId="0" fontId="7" fillId="7" borderId="68" xfId="0" applyFont="1" applyFill="1" applyBorder="1" applyAlignment="1">
      <alignment horizontal="center"/>
    </xf>
    <xf numFmtId="0" fontId="7" fillId="7" borderId="25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/>
    </xf>
    <xf numFmtId="0" fontId="5" fillId="7" borderId="47" xfId="0" applyFont="1" applyFill="1" applyBorder="1" applyAlignment="1">
      <alignment horizontal="center"/>
    </xf>
    <xf numFmtId="0" fontId="5" fillId="0" borderId="32" xfId="0" applyFont="1" applyFill="1" applyBorder="1" applyAlignment="1">
      <alignment horizontal="center"/>
    </xf>
    <xf numFmtId="0" fontId="5" fillId="7" borderId="24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1" fillId="0" borderId="58" xfId="0" applyFont="1" applyBorder="1"/>
    <xf numFmtId="0" fontId="0" fillId="0" borderId="58" xfId="0" applyBorder="1"/>
    <xf numFmtId="0" fontId="7" fillId="0" borderId="58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5" fillId="0" borderId="47" xfId="0" applyFont="1" applyFill="1" applyBorder="1" applyAlignment="1">
      <alignment horizontal="center"/>
    </xf>
    <xf numFmtId="0" fontId="5" fillId="0" borderId="38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7" borderId="23" xfId="0" applyFont="1" applyFill="1" applyBorder="1" applyAlignment="1">
      <alignment horizontal="center"/>
    </xf>
    <xf numFmtId="0" fontId="7" fillId="7" borderId="19" xfId="0" applyFont="1" applyFill="1" applyBorder="1" applyAlignment="1">
      <alignment horizontal="center"/>
    </xf>
    <xf numFmtId="0" fontId="5" fillId="0" borderId="26" xfId="0" applyFont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8" borderId="14" xfId="0" applyFont="1" applyFill="1" applyBorder="1" applyAlignment="1">
      <alignment horizontal="center"/>
    </xf>
    <xf numFmtId="0" fontId="5" fillId="8" borderId="15" xfId="0" applyFont="1" applyFill="1" applyBorder="1" applyAlignment="1">
      <alignment horizontal="center"/>
    </xf>
    <xf numFmtId="0" fontId="19" fillId="16" borderId="70" xfId="6" applyBorder="1" applyAlignment="1">
      <alignment horizontal="center"/>
    </xf>
    <xf numFmtId="0" fontId="23" fillId="0" borderId="22" xfId="0" applyFont="1" applyBorder="1" applyAlignment="1">
      <alignment horizontal="center"/>
    </xf>
    <xf numFmtId="0" fontId="0" fillId="0" borderId="19" xfId="0" applyBorder="1"/>
    <xf numFmtId="0" fontId="0" fillId="0" borderId="71" xfId="0" applyBorder="1"/>
    <xf numFmtId="2" fontId="0" fillId="0" borderId="0" xfId="0" applyNumberFormat="1" applyAlignment="1">
      <alignment horizontal="center"/>
    </xf>
    <xf numFmtId="2" fontId="0" fillId="0" borderId="0" xfId="2" applyNumberFormat="1" applyFont="1" applyAlignment="1">
      <alignment horizontal="center"/>
    </xf>
    <xf numFmtId="0" fontId="0" fillId="16" borderId="70" xfId="6" applyFont="1" applyBorder="1" applyAlignment="1">
      <alignment horizontal="center"/>
    </xf>
    <xf numFmtId="0" fontId="0" fillId="0" borderId="10" xfId="0" applyBorder="1"/>
    <xf numFmtId="0" fontId="4" fillId="0" borderId="59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" fontId="5" fillId="0" borderId="57" xfId="0" applyNumberFormat="1" applyFont="1" applyFill="1" applyBorder="1" applyAlignment="1">
      <alignment horizontal="center"/>
    </xf>
    <xf numFmtId="1" fontId="4" fillId="0" borderId="58" xfId="0" applyNumberFormat="1" applyFont="1" applyFill="1" applyBorder="1" applyAlignment="1">
      <alignment horizontal="center"/>
    </xf>
    <xf numFmtId="0" fontId="8" fillId="0" borderId="0" xfId="1" applyFont="1" applyFill="1" applyBorder="1" applyAlignment="1">
      <alignment horizontal="center"/>
    </xf>
    <xf numFmtId="1" fontId="5" fillId="0" borderId="9" xfId="0" applyNumberFormat="1" applyFont="1" applyBorder="1" applyAlignment="1">
      <alignment horizontal="center"/>
    </xf>
    <xf numFmtId="1" fontId="5" fillId="0" borderId="9" xfId="0" applyNumberFormat="1" applyFont="1" applyFill="1" applyBorder="1" applyAlignment="1">
      <alignment horizontal="center"/>
    </xf>
    <xf numFmtId="1" fontId="5" fillId="0" borderId="64" xfId="0" applyNumberFormat="1" applyFont="1" applyFill="1" applyBorder="1" applyAlignment="1">
      <alignment horizontal="center"/>
    </xf>
    <xf numFmtId="0" fontId="5" fillId="0" borderId="0" xfId="0" quotePrefix="1" applyFont="1" applyAlignment="1">
      <alignment horizontal="center"/>
    </xf>
    <xf numFmtId="1" fontId="0" fillId="0" borderId="0" xfId="0" applyNumberFormat="1" applyAlignment="1">
      <alignment horizontal="center"/>
    </xf>
    <xf numFmtId="43" fontId="25" fillId="15" borderId="72" xfId="5" applyNumberFormat="1" applyFont="1" applyBorder="1" applyAlignment="1">
      <alignment horizontal="center" wrapText="1"/>
    </xf>
    <xf numFmtId="43" fontId="25" fillId="15" borderId="57" xfId="5" applyNumberFormat="1" applyFont="1" applyBorder="1" applyAlignment="1">
      <alignment horizontal="center" wrapText="1"/>
    </xf>
    <xf numFmtId="0" fontId="25" fillId="15" borderId="72" xfId="5" applyFont="1" applyBorder="1" applyAlignment="1">
      <alignment horizontal="center" wrapText="1"/>
    </xf>
    <xf numFmtId="43" fontId="20" fillId="13" borderId="58" xfId="3" applyNumberFormat="1" applyBorder="1"/>
    <xf numFmtId="1" fontId="0" fillId="0" borderId="58" xfId="0" applyNumberFormat="1" applyBorder="1" applyAlignment="1">
      <alignment horizontal="center"/>
    </xf>
    <xf numFmtId="1" fontId="26" fillId="0" borderId="58" xfId="2" applyNumberFormat="1" applyFont="1" applyFill="1" applyBorder="1" applyAlignment="1">
      <alignment horizontal="center"/>
    </xf>
    <xf numFmtId="43" fontId="20" fillId="13" borderId="60" xfId="3" applyNumberFormat="1" applyBorder="1"/>
    <xf numFmtId="1" fontId="0" fillId="0" borderId="60" xfId="0" applyNumberFormat="1" applyBorder="1" applyAlignment="1">
      <alignment horizontal="center"/>
    </xf>
    <xf numFmtId="1" fontId="26" fillId="0" borderId="60" xfId="2" applyNumberFormat="1" applyFont="1" applyFill="1" applyBorder="1" applyAlignment="1">
      <alignment horizontal="center"/>
    </xf>
    <xf numFmtId="0" fontId="1" fillId="0" borderId="65" xfId="0" applyFont="1" applyBorder="1"/>
    <xf numFmtId="1" fontId="27" fillId="0" borderId="47" xfId="2" applyNumberFormat="1" applyFont="1" applyFill="1" applyBorder="1" applyAlignment="1">
      <alignment horizontal="center"/>
    </xf>
    <xf numFmtId="1" fontId="1" fillId="0" borderId="38" xfId="0" applyNumberFormat="1" applyFont="1" applyBorder="1" applyAlignment="1">
      <alignment horizontal="center"/>
    </xf>
    <xf numFmtId="0" fontId="0" fillId="0" borderId="58" xfId="0" applyBorder="1" applyAlignment="1">
      <alignment horizontal="center"/>
    </xf>
    <xf numFmtId="0" fontId="25" fillId="15" borderId="68" xfId="5" applyFont="1" applyBorder="1" applyAlignment="1">
      <alignment horizontal="center" wrapText="1"/>
    </xf>
    <xf numFmtId="0" fontId="25" fillId="15" borderId="73" xfId="5" applyFont="1" applyBorder="1" applyAlignment="1">
      <alignment horizontal="center" wrapText="1"/>
    </xf>
    <xf numFmtId="0" fontId="25" fillId="15" borderId="73" xfId="5" applyFont="1" applyFill="1" applyBorder="1" applyAlignment="1">
      <alignment horizontal="center" wrapText="1"/>
    </xf>
    <xf numFmtId="0" fontId="25" fillId="15" borderId="74" xfId="5" applyFont="1" applyBorder="1" applyAlignment="1">
      <alignment horizontal="center" wrapText="1"/>
    </xf>
    <xf numFmtId="0" fontId="20" fillId="13" borderId="64" xfId="3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18" fillId="0" borderId="79" xfId="0" applyFont="1" applyFill="1" applyBorder="1" applyAlignment="1">
      <alignment horizontal="center" vertical="center"/>
    </xf>
    <xf numFmtId="0" fontId="4" fillId="0" borderId="80" xfId="0" applyFont="1" applyFill="1" applyBorder="1" applyAlignment="1">
      <alignment horizontal="center"/>
    </xf>
    <xf numFmtId="0" fontId="5" fillId="0" borderId="58" xfId="0" applyFont="1" applyBorder="1" applyAlignment="1">
      <alignment horizontal="center" vertical="center"/>
    </xf>
    <xf numFmtId="1" fontId="5" fillId="0" borderId="58" xfId="0" applyNumberFormat="1" applyFont="1" applyBorder="1" applyAlignment="1">
      <alignment horizontal="center"/>
    </xf>
    <xf numFmtId="0" fontId="20" fillId="13" borderId="58" xfId="3" applyBorder="1" applyAlignment="1">
      <alignment horizontal="center"/>
    </xf>
    <xf numFmtId="0" fontId="5" fillId="0" borderId="30" xfId="0" applyFont="1" applyFill="1" applyBorder="1" applyAlignment="1">
      <alignment horizontal="center"/>
    </xf>
    <xf numFmtId="0" fontId="5" fillId="0" borderId="81" xfId="0" applyFont="1" applyFill="1" applyBorder="1" applyAlignment="1">
      <alignment horizontal="center"/>
    </xf>
    <xf numFmtId="0" fontId="5" fillId="0" borderId="58" xfId="0" applyFont="1" applyFill="1" applyBorder="1" applyAlignment="1">
      <alignment horizontal="center" vertical="center"/>
    </xf>
    <xf numFmtId="1" fontId="5" fillId="0" borderId="58" xfId="0" applyNumberFormat="1" applyFont="1" applyFill="1" applyBorder="1" applyAlignment="1">
      <alignment horizontal="center"/>
    </xf>
    <xf numFmtId="0" fontId="5" fillId="0" borderId="82" xfId="0" applyFont="1" applyFill="1" applyBorder="1" applyAlignment="1">
      <alignment horizontal="center"/>
    </xf>
    <xf numFmtId="0" fontId="5" fillId="0" borderId="83" xfId="0" applyFont="1" applyFill="1" applyBorder="1" applyAlignment="1">
      <alignment horizontal="center"/>
    </xf>
    <xf numFmtId="0" fontId="4" fillId="0" borderId="79" xfId="0" applyFont="1" applyFill="1" applyBorder="1" applyAlignment="1">
      <alignment horizontal="center"/>
    </xf>
    <xf numFmtId="0" fontId="4" fillId="0" borderId="80" xfId="0" applyFont="1" applyFill="1" applyBorder="1" applyAlignment="1">
      <alignment horizontal="center" vertical="center"/>
    </xf>
    <xf numFmtId="1" fontId="4" fillId="0" borderId="80" xfId="0" applyNumberFormat="1" applyFont="1" applyFill="1" applyBorder="1" applyAlignment="1">
      <alignment horizontal="center"/>
    </xf>
    <xf numFmtId="0" fontId="4" fillId="0" borderId="84" xfId="0" applyFont="1" applyFill="1" applyBorder="1" applyAlignment="1">
      <alignment horizontal="center"/>
    </xf>
    <xf numFmtId="0" fontId="5" fillId="0" borderId="66" xfId="0" applyFont="1" applyFill="1" applyBorder="1" applyAlignment="1">
      <alignment horizontal="center"/>
    </xf>
    <xf numFmtId="0" fontId="4" fillId="0" borderId="85" xfId="0" applyFont="1" applyFill="1" applyBorder="1" applyAlignment="1">
      <alignment horizontal="center"/>
    </xf>
    <xf numFmtId="0" fontId="20" fillId="13" borderId="60" xfId="3" applyBorder="1" applyAlignment="1">
      <alignment horizontal="center"/>
    </xf>
    <xf numFmtId="0" fontId="4" fillId="0" borderId="0" xfId="0" applyFont="1" applyBorder="1" applyAlignment="1">
      <alignment vertical="center"/>
    </xf>
    <xf numFmtId="0" fontId="0" fillId="0" borderId="60" xfId="0" applyBorder="1" applyAlignment="1">
      <alignment horizontal="center"/>
    </xf>
    <xf numFmtId="0" fontId="0" fillId="0" borderId="60" xfId="0" applyFont="1" applyBorder="1" applyAlignment="1">
      <alignment horizontal="center"/>
    </xf>
    <xf numFmtId="0" fontId="4" fillId="0" borderId="65" xfId="0" applyFont="1" applyBorder="1" applyAlignment="1">
      <alignment horizontal="center"/>
    </xf>
    <xf numFmtId="1" fontId="4" fillId="0" borderId="47" xfId="0" applyNumberFormat="1" applyFont="1" applyBorder="1" applyAlignment="1">
      <alignment horizontal="center"/>
    </xf>
    <xf numFmtId="1" fontId="4" fillId="0" borderId="38" xfId="0" applyNumberFormat="1" applyFont="1" applyBorder="1" applyAlignment="1">
      <alignment horizontal="center"/>
    </xf>
    <xf numFmtId="0" fontId="25" fillId="15" borderId="68" xfId="5" applyFont="1" applyBorder="1" applyAlignment="1">
      <alignment horizontal="center" vertical="center" wrapText="1"/>
    </xf>
    <xf numFmtId="0" fontId="25" fillId="15" borderId="73" xfId="5" applyFont="1" applyBorder="1" applyAlignment="1">
      <alignment horizontal="center" vertical="center" wrapText="1"/>
    </xf>
    <xf numFmtId="0" fontId="25" fillId="15" borderId="73" xfId="5" applyFont="1" applyFill="1" applyBorder="1" applyAlignment="1">
      <alignment horizontal="center" vertical="center" wrapText="1"/>
    </xf>
    <xf numFmtId="0" fontId="25" fillId="15" borderId="74" xfId="5" applyFont="1" applyBorder="1" applyAlignment="1">
      <alignment horizontal="center" vertical="center" wrapText="1"/>
    </xf>
    <xf numFmtId="1" fontId="19" fillId="0" borderId="58" xfId="0" applyNumberFormat="1" applyFont="1" applyBorder="1" applyAlignment="1">
      <alignment horizontal="center" vertical="center"/>
    </xf>
    <xf numFmtId="1" fontId="26" fillId="0" borderId="58" xfId="1" applyNumberFormat="1" applyFont="1" applyBorder="1" applyAlignment="1">
      <alignment horizontal="center"/>
    </xf>
    <xf numFmtId="1" fontId="26" fillId="0" borderId="60" xfId="1" applyNumberFormat="1" applyFont="1" applyBorder="1" applyAlignment="1">
      <alignment horizontal="center"/>
    </xf>
    <xf numFmtId="1" fontId="21" fillId="14" borderId="47" xfId="4" applyNumberFormat="1" applyFont="1" applyBorder="1" applyAlignment="1">
      <alignment horizontal="center"/>
    </xf>
    <xf numFmtId="0" fontId="0" fillId="0" borderId="0" xfId="0" applyAlignment="1"/>
    <xf numFmtId="1" fontId="19" fillId="0" borderId="60" xfId="0" applyNumberFormat="1" applyFont="1" applyBorder="1" applyAlignment="1">
      <alignment horizontal="center" vertical="center"/>
    </xf>
    <xf numFmtId="1" fontId="5" fillId="0" borderId="27" xfId="0" applyNumberFormat="1" applyFont="1" applyBorder="1" applyAlignment="1">
      <alignment horizontal="center"/>
    </xf>
    <xf numFmtId="0" fontId="4" fillId="0" borderId="0" xfId="0" applyFont="1" applyBorder="1" applyAlignment="1"/>
    <xf numFmtId="0" fontId="23" fillId="0" borderId="14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1" fontId="19" fillId="16" borderId="69" xfId="6" applyNumberFormat="1" applyBorder="1" applyAlignment="1">
      <alignment horizontal="center"/>
    </xf>
    <xf numFmtId="1" fontId="23" fillId="0" borderId="23" xfId="0" applyNumberFormat="1" applyFont="1" applyBorder="1" applyAlignment="1">
      <alignment horizontal="center"/>
    </xf>
    <xf numFmtId="2" fontId="23" fillId="0" borderId="15" xfId="0" applyNumberFormat="1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0" borderId="56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2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4" fillId="7" borderId="28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5" fillId="7" borderId="25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17" xfId="0" applyFont="1" applyFill="1" applyBorder="1" applyAlignment="1">
      <alignment horizontal="center" vertical="center"/>
    </xf>
    <xf numFmtId="0" fontId="5" fillId="4" borderId="59" xfId="0" applyFont="1" applyFill="1" applyBorder="1" applyAlignment="1">
      <alignment horizontal="center"/>
    </xf>
    <xf numFmtId="0" fontId="5" fillId="4" borderId="57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3" borderId="47" xfId="0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/>
    </xf>
    <xf numFmtId="0" fontId="4" fillId="10" borderId="19" xfId="0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5" fillId="0" borderId="47" xfId="0" applyFont="1" applyFill="1" applyBorder="1" applyAlignment="1">
      <alignment horizontal="center"/>
    </xf>
    <xf numFmtId="0" fontId="5" fillId="0" borderId="38" xfId="0" applyFont="1" applyFill="1" applyBorder="1" applyAlignment="1">
      <alignment horizontal="center"/>
    </xf>
    <xf numFmtId="0" fontId="5" fillId="7" borderId="19" xfId="0" applyFont="1" applyFill="1" applyBorder="1" applyAlignment="1">
      <alignment horizontal="center" vertical="center"/>
    </xf>
    <xf numFmtId="0" fontId="5" fillId="7" borderId="27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7" borderId="23" xfId="0" applyFont="1" applyFill="1" applyBorder="1" applyAlignment="1">
      <alignment horizontal="center"/>
    </xf>
    <xf numFmtId="0" fontId="7" fillId="7" borderId="19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5" fillId="10" borderId="22" xfId="0" applyFont="1" applyFill="1" applyBorder="1" applyAlignment="1">
      <alignment horizontal="center" vertical="center"/>
    </xf>
    <xf numFmtId="0" fontId="5" fillId="10" borderId="19" xfId="0" applyFont="1" applyFill="1" applyBorder="1" applyAlignment="1">
      <alignment horizontal="center" vertical="center"/>
    </xf>
    <xf numFmtId="0" fontId="5" fillId="10" borderId="28" xfId="0" applyFont="1" applyFill="1" applyBorder="1" applyAlignment="1">
      <alignment horizontal="center" vertical="center"/>
    </xf>
    <xf numFmtId="0" fontId="5" fillId="10" borderId="27" xfId="0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5" fillId="10" borderId="25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17" xfId="0" applyFont="1" applyFill="1" applyBorder="1" applyAlignment="1">
      <alignment horizontal="center" vertical="center"/>
    </xf>
    <xf numFmtId="0" fontId="5" fillId="4" borderId="56" xfId="0" applyFont="1" applyFill="1" applyBorder="1" applyAlignment="1">
      <alignment horizontal="center"/>
    </xf>
    <xf numFmtId="0" fontId="5" fillId="11" borderId="20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center" vertical="center"/>
    </xf>
    <xf numFmtId="0" fontId="5" fillId="11" borderId="37" xfId="0" applyFont="1" applyFill="1" applyBorder="1" applyAlignment="1">
      <alignment horizontal="center" vertical="center"/>
    </xf>
    <xf numFmtId="0" fontId="5" fillId="11" borderId="31" xfId="0" applyFont="1" applyFill="1" applyBorder="1" applyAlignment="1">
      <alignment horizontal="center" vertical="center"/>
    </xf>
    <xf numFmtId="0" fontId="5" fillId="11" borderId="35" xfId="0" applyFont="1" applyFill="1" applyBorder="1" applyAlignment="1">
      <alignment horizontal="center" vertical="center"/>
    </xf>
    <xf numFmtId="0" fontId="5" fillId="12" borderId="47" xfId="0" applyFont="1" applyFill="1" applyBorder="1" applyAlignment="1">
      <alignment horizontal="center"/>
    </xf>
    <xf numFmtId="0" fontId="5" fillId="12" borderId="38" xfId="0" applyFont="1" applyFill="1" applyBorder="1" applyAlignment="1">
      <alignment horizontal="center"/>
    </xf>
    <xf numFmtId="0" fontId="5" fillId="12" borderId="23" xfId="0" applyFont="1" applyFill="1" applyBorder="1" applyAlignment="1">
      <alignment horizontal="center" vertical="center"/>
    </xf>
    <xf numFmtId="0" fontId="5" fillId="12" borderId="19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center"/>
    </xf>
    <xf numFmtId="0" fontId="5" fillId="12" borderId="27" xfId="0" applyFont="1" applyFill="1" applyBorder="1" applyAlignment="1">
      <alignment horizontal="center" vertical="center"/>
    </xf>
    <xf numFmtId="0" fontId="5" fillId="12" borderId="15" xfId="0" applyFont="1" applyFill="1" applyBorder="1" applyAlignment="1">
      <alignment horizontal="center" vertical="center"/>
    </xf>
    <xf numFmtId="0" fontId="5" fillId="12" borderId="10" xfId="0" applyFont="1" applyFill="1" applyBorder="1" applyAlignment="1">
      <alignment horizontal="center" vertical="center"/>
    </xf>
    <xf numFmtId="0" fontId="5" fillId="11" borderId="37" xfId="0" applyFont="1" applyFill="1" applyBorder="1" applyAlignment="1">
      <alignment horizontal="center"/>
    </xf>
    <xf numFmtId="0" fontId="5" fillId="11" borderId="35" xfId="0" applyFont="1" applyFill="1" applyBorder="1" applyAlignment="1">
      <alignment horizontal="center"/>
    </xf>
    <xf numFmtId="0" fontId="5" fillId="10" borderId="23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5" xfId="0" applyFont="1" applyFill="1" applyBorder="1" applyAlignment="1">
      <alignment horizontal="center" vertical="center"/>
    </xf>
    <xf numFmtId="0" fontId="5" fillId="12" borderId="65" xfId="0" applyFont="1" applyFill="1" applyBorder="1" applyAlignment="1">
      <alignment horizontal="center"/>
    </xf>
    <xf numFmtId="0" fontId="5" fillId="12" borderId="22" xfId="0" applyFont="1" applyFill="1" applyBorder="1" applyAlignment="1">
      <alignment horizontal="center" vertical="center"/>
    </xf>
    <xf numFmtId="0" fontId="5" fillId="12" borderId="28" xfId="0" applyFont="1" applyFill="1" applyBorder="1" applyAlignment="1">
      <alignment horizontal="center" vertical="center"/>
    </xf>
    <xf numFmtId="0" fontId="5" fillId="12" borderId="14" xfId="0" applyFont="1" applyFill="1" applyBorder="1" applyAlignment="1">
      <alignment horizontal="center" vertical="center"/>
    </xf>
    <xf numFmtId="0" fontId="5" fillId="11" borderId="26" xfId="0" applyFont="1" applyFill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4" fillId="0" borderId="75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77" xfId="0" applyFont="1" applyBorder="1" applyAlignment="1">
      <alignment horizontal="center" vertical="center"/>
    </xf>
    <xf numFmtId="0" fontId="4" fillId="0" borderId="78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</cellXfs>
  <cellStyles count="7">
    <cellStyle name="40% - Accent1" xfId="6" builtinId="31"/>
    <cellStyle name="Bad" xfId="4" builtinId="27"/>
    <cellStyle name="Comma" xfId="2" builtinId="3"/>
    <cellStyle name="Good" xfId="3" builtinId="26"/>
    <cellStyle name="Neutral" xfId="5" builtinId="28"/>
    <cellStyle name="Normal" xfId="0" builtinId="0"/>
    <cellStyle name="Normal 2" xfId="1"/>
  </cellStyles>
  <dxfs count="1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</font>
      <alignment horizontal="center" vertical="bottom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'Shut-off lambda'!$A$3:$B$56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'Shut-off lambda'!$K$3:$K$56</c:f>
              <c:numCache>
                <c:formatCode>General</c:formatCode>
                <c:ptCount val="54"/>
                <c:pt idx="0">
                  <c:v>70.115000000000009</c:v>
                </c:pt>
                <c:pt idx="1">
                  <c:v>200.60374999999999</c:v>
                </c:pt>
                <c:pt idx="2">
                  <c:v>196.19074999999998</c:v>
                </c:pt>
                <c:pt idx="3">
                  <c:v>316.52500000000009</c:v>
                </c:pt>
                <c:pt idx="4">
                  <c:v>86.150000000000034</c:v>
                </c:pt>
                <c:pt idx="5">
                  <c:v>196.19074999999998</c:v>
                </c:pt>
                <c:pt idx="6">
                  <c:v>374.90700000000004</c:v>
                </c:pt>
                <c:pt idx="7">
                  <c:v>99.724999999999966</c:v>
                </c:pt>
                <c:pt idx="8">
                  <c:v>309.63049999999998</c:v>
                </c:pt>
                <c:pt idx="9">
                  <c:v>198.05000000000007</c:v>
                </c:pt>
                <c:pt idx="10">
                  <c:v>144.125</c:v>
                </c:pt>
                <c:pt idx="12">
                  <c:v>363.73125000000005</c:v>
                </c:pt>
                <c:pt idx="13">
                  <c:v>277.34950000000003</c:v>
                </c:pt>
                <c:pt idx="14">
                  <c:v>136.41449999999998</c:v>
                </c:pt>
                <c:pt idx="15">
                  <c:v>215.37924999999996</c:v>
                </c:pt>
                <c:pt idx="16">
                  <c:v>198.04575</c:v>
                </c:pt>
                <c:pt idx="17">
                  <c:v>144.125</c:v>
                </c:pt>
                <c:pt idx="18">
                  <c:v>99.719499999999982</c:v>
                </c:pt>
                <c:pt idx="19">
                  <c:v>309.63049999999998</c:v>
                </c:pt>
                <c:pt idx="20">
                  <c:v>139.74250000000001</c:v>
                </c:pt>
                <c:pt idx="21">
                  <c:v>144.125</c:v>
                </c:pt>
                <c:pt idx="23">
                  <c:v>338.71450000000004</c:v>
                </c:pt>
                <c:pt idx="24">
                  <c:v>288.32925</c:v>
                </c:pt>
                <c:pt idx="25">
                  <c:v>363.73125000000005</c:v>
                </c:pt>
                <c:pt idx="26">
                  <c:v>136.41449999999998</c:v>
                </c:pt>
                <c:pt idx="27">
                  <c:v>215.37924999999996</c:v>
                </c:pt>
                <c:pt idx="28">
                  <c:v>198.04575</c:v>
                </c:pt>
                <c:pt idx="29">
                  <c:v>306.06449999999995</c:v>
                </c:pt>
                <c:pt idx="30">
                  <c:v>316.52500000000009</c:v>
                </c:pt>
                <c:pt idx="31">
                  <c:v>136.41449999999998</c:v>
                </c:pt>
                <c:pt idx="32">
                  <c:v>271.31074999999987</c:v>
                </c:pt>
                <c:pt idx="33">
                  <c:v>215.37924999999996</c:v>
                </c:pt>
                <c:pt idx="34">
                  <c:v>721.68000000000029</c:v>
                </c:pt>
                <c:pt idx="35">
                  <c:v>551.19175000000018</c:v>
                </c:pt>
                <c:pt idx="36">
                  <c:v>534.61374999999998</c:v>
                </c:pt>
                <c:pt idx="37">
                  <c:v>215.48250000000007</c:v>
                </c:pt>
                <c:pt idx="38">
                  <c:v>309.63049999999998</c:v>
                </c:pt>
                <c:pt idx="39">
                  <c:v>288.32925</c:v>
                </c:pt>
                <c:pt idx="40">
                  <c:v>49.158324999999991</c:v>
                </c:pt>
                <c:pt idx="41">
                  <c:v>231.89542500000002</c:v>
                </c:pt>
                <c:pt idx="42">
                  <c:v>160.202</c:v>
                </c:pt>
                <c:pt idx="43">
                  <c:v>112.21424999999999</c:v>
                </c:pt>
                <c:pt idx="44">
                  <c:v>81.078750000000014</c:v>
                </c:pt>
                <c:pt idx="45">
                  <c:v>34.590000000000003</c:v>
                </c:pt>
                <c:pt idx="46">
                  <c:v>160.202</c:v>
                </c:pt>
                <c:pt idx="47">
                  <c:v>34.590000000000003</c:v>
                </c:pt>
                <c:pt idx="48">
                  <c:v>34.590000000000003</c:v>
                </c:pt>
                <c:pt idx="49">
                  <c:v>257.81174999999996</c:v>
                </c:pt>
                <c:pt idx="50">
                  <c:v>81.078750000000014</c:v>
                </c:pt>
                <c:pt idx="51">
                  <c:v>116.754175</c:v>
                </c:pt>
                <c:pt idx="52">
                  <c:v>215.48250000000007</c:v>
                </c:pt>
                <c:pt idx="53">
                  <c:v>257.81174999999996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A-4EBD-BE2C-5EBE8F160E50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'Shut-off lambda'!$A$3:$B$56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'Shut-off lambda'!$Q$3:$Q$56</c:f>
              <c:numCache>
                <c:formatCode>General</c:formatCode>
                <c:ptCount val="54"/>
                <c:pt idx="0">
                  <c:v>-29.884999999999991</c:v>
                </c:pt>
                <c:pt idx="1">
                  <c:v>100.60374999999999</c:v>
                </c:pt>
                <c:pt idx="2">
                  <c:v>196.19074999999998</c:v>
                </c:pt>
                <c:pt idx="3">
                  <c:v>316.52500000000009</c:v>
                </c:pt>
                <c:pt idx="4">
                  <c:v>-113.84999999999997</c:v>
                </c:pt>
                <c:pt idx="5">
                  <c:v>196.19074999999998</c:v>
                </c:pt>
                <c:pt idx="6">
                  <c:v>174.90700000000004</c:v>
                </c:pt>
                <c:pt idx="7">
                  <c:v>-50.275000000000034</c:v>
                </c:pt>
                <c:pt idx="8">
                  <c:v>309.63049999999998</c:v>
                </c:pt>
                <c:pt idx="9">
                  <c:v>198.05000000000007</c:v>
                </c:pt>
                <c:pt idx="10">
                  <c:v>94.125</c:v>
                </c:pt>
                <c:pt idx="12">
                  <c:v>363.73125000000005</c:v>
                </c:pt>
                <c:pt idx="13">
                  <c:v>127.34950000000003</c:v>
                </c:pt>
                <c:pt idx="14">
                  <c:v>136.41449999999998</c:v>
                </c:pt>
                <c:pt idx="15">
                  <c:v>215.37924999999996</c:v>
                </c:pt>
                <c:pt idx="16">
                  <c:v>198.04575</c:v>
                </c:pt>
                <c:pt idx="17">
                  <c:v>94.125</c:v>
                </c:pt>
                <c:pt idx="18">
                  <c:v>-50.280500000000018</c:v>
                </c:pt>
                <c:pt idx="19">
                  <c:v>309.63049999999998</c:v>
                </c:pt>
                <c:pt idx="20">
                  <c:v>89.742499999999993</c:v>
                </c:pt>
                <c:pt idx="21">
                  <c:v>94.125</c:v>
                </c:pt>
                <c:pt idx="23">
                  <c:v>-161.28549999999996</c:v>
                </c:pt>
                <c:pt idx="24">
                  <c:v>288.32925</c:v>
                </c:pt>
                <c:pt idx="25">
                  <c:v>13.731250000000045</c:v>
                </c:pt>
                <c:pt idx="26">
                  <c:v>136.41449999999998</c:v>
                </c:pt>
                <c:pt idx="27">
                  <c:v>-34.620750000000044</c:v>
                </c:pt>
                <c:pt idx="28">
                  <c:v>-51.954250000000002</c:v>
                </c:pt>
                <c:pt idx="29">
                  <c:v>-93.935500000000047</c:v>
                </c:pt>
                <c:pt idx="30">
                  <c:v>316.52500000000009</c:v>
                </c:pt>
                <c:pt idx="31">
                  <c:v>136.41449999999998</c:v>
                </c:pt>
                <c:pt idx="32">
                  <c:v>271.31074999999987</c:v>
                </c:pt>
                <c:pt idx="33">
                  <c:v>215.37924999999996</c:v>
                </c:pt>
                <c:pt idx="34">
                  <c:v>721.68000000000029</c:v>
                </c:pt>
                <c:pt idx="35">
                  <c:v>-448.80824999999982</c:v>
                </c:pt>
                <c:pt idx="36">
                  <c:v>-565.38625000000002</c:v>
                </c:pt>
                <c:pt idx="37">
                  <c:v>15.482500000000073</c:v>
                </c:pt>
                <c:pt idx="38">
                  <c:v>309.63049999999998</c:v>
                </c:pt>
                <c:pt idx="39">
                  <c:v>288.32925</c:v>
                </c:pt>
                <c:pt idx="40">
                  <c:v>-50.841675000000009</c:v>
                </c:pt>
                <c:pt idx="41">
                  <c:v>131.89542500000002</c:v>
                </c:pt>
                <c:pt idx="42">
                  <c:v>160.202</c:v>
                </c:pt>
                <c:pt idx="43">
                  <c:v>12.214249999999993</c:v>
                </c:pt>
                <c:pt idx="44">
                  <c:v>81.078750000000014</c:v>
                </c:pt>
                <c:pt idx="45">
                  <c:v>34.590000000000003</c:v>
                </c:pt>
                <c:pt idx="46">
                  <c:v>160.202</c:v>
                </c:pt>
                <c:pt idx="47">
                  <c:v>34.590000000000003</c:v>
                </c:pt>
                <c:pt idx="48">
                  <c:v>34.590000000000003</c:v>
                </c:pt>
                <c:pt idx="49">
                  <c:v>257.81174999999996</c:v>
                </c:pt>
                <c:pt idx="50">
                  <c:v>81.078750000000014</c:v>
                </c:pt>
                <c:pt idx="51">
                  <c:v>116.754175</c:v>
                </c:pt>
                <c:pt idx="52">
                  <c:v>15.482500000000073</c:v>
                </c:pt>
                <c:pt idx="53">
                  <c:v>257.81174999999996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FA-4EBD-BE2C-5EBE8F160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247936"/>
        <c:axId val="179917952"/>
      </c:barChart>
      <c:catAx>
        <c:axId val="18024793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79917952"/>
        <c:crosses val="autoZero"/>
        <c:auto val="1"/>
        <c:lblAlgn val="ctr"/>
        <c:lblOffset val="100"/>
        <c:noMultiLvlLbl val="0"/>
      </c:catAx>
      <c:valAx>
        <c:axId val="179917952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24793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BDF!$A$3:$B$56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BDF!$J$3:$J$56</c:f>
              <c:numCache>
                <c:formatCode>General</c:formatCode>
                <c:ptCount val="54"/>
                <c:pt idx="0">
                  <c:v>400</c:v>
                </c:pt>
                <c:pt idx="1">
                  <c:v>400</c:v>
                </c:pt>
                <c:pt idx="2">
                  <c:v>450</c:v>
                </c:pt>
                <c:pt idx="3">
                  <c:v>1800</c:v>
                </c:pt>
                <c:pt idx="4">
                  <c:v>500</c:v>
                </c:pt>
                <c:pt idx="5">
                  <c:v>450</c:v>
                </c:pt>
                <c:pt idx="6">
                  <c:v>1200</c:v>
                </c:pt>
                <c:pt idx="7">
                  <c:v>600</c:v>
                </c:pt>
                <c:pt idx="8">
                  <c:v>1350</c:v>
                </c:pt>
                <c:pt idx="9">
                  <c:v>1000</c:v>
                </c:pt>
                <c:pt idx="10">
                  <c:v>200</c:v>
                </c:pt>
                <c:pt idx="12">
                  <c:v>1400</c:v>
                </c:pt>
                <c:pt idx="13">
                  <c:v>900</c:v>
                </c:pt>
                <c:pt idx="14">
                  <c:v>600</c:v>
                </c:pt>
                <c:pt idx="15">
                  <c:v>750</c:v>
                </c:pt>
                <c:pt idx="16">
                  <c:v>1000</c:v>
                </c:pt>
                <c:pt idx="17">
                  <c:v>200</c:v>
                </c:pt>
                <c:pt idx="18">
                  <c:v>600</c:v>
                </c:pt>
                <c:pt idx="19">
                  <c:v>1350</c:v>
                </c:pt>
                <c:pt idx="20">
                  <c:v>200</c:v>
                </c:pt>
                <c:pt idx="21">
                  <c:v>200</c:v>
                </c:pt>
                <c:pt idx="23">
                  <c:v>2000</c:v>
                </c:pt>
                <c:pt idx="24">
                  <c:v>1350</c:v>
                </c:pt>
                <c:pt idx="25">
                  <c:v>1400</c:v>
                </c:pt>
                <c:pt idx="26">
                  <c:v>600</c:v>
                </c:pt>
                <c:pt idx="27">
                  <c:v>750</c:v>
                </c:pt>
                <c:pt idx="28">
                  <c:v>1000</c:v>
                </c:pt>
                <c:pt idx="29">
                  <c:v>1000</c:v>
                </c:pt>
                <c:pt idx="30">
                  <c:v>1800</c:v>
                </c:pt>
                <c:pt idx="31">
                  <c:v>600</c:v>
                </c:pt>
                <c:pt idx="32">
                  <c:v>1500</c:v>
                </c:pt>
                <c:pt idx="33">
                  <c:v>750</c:v>
                </c:pt>
                <c:pt idx="34">
                  <c:v>3600</c:v>
                </c:pt>
                <c:pt idx="35">
                  <c:v>2500</c:v>
                </c:pt>
                <c:pt idx="36">
                  <c:v>2750</c:v>
                </c:pt>
                <c:pt idx="37">
                  <c:v>800</c:v>
                </c:pt>
                <c:pt idx="38">
                  <c:v>1350</c:v>
                </c:pt>
                <c:pt idx="39">
                  <c:v>1350</c:v>
                </c:pt>
                <c:pt idx="40">
                  <c:v>250</c:v>
                </c:pt>
                <c:pt idx="41">
                  <c:v>400</c:v>
                </c:pt>
                <c:pt idx="42">
                  <c:v>600</c:v>
                </c:pt>
                <c:pt idx="43">
                  <c:v>400</c:v>
                </c:pt>
                <c:pt idx="44">
                  <c:v>300</c:v>
                </c:pt>
                <c:pt idx="45">
                  <c:v>150</c:v>
                </c:pt>
                <c:pt idx="46">
                  <c:v>600</c:v>
                </c:pt>
                <c:pt idx="47">
                  <c:v>150</c:v>
                </c:pt>
                <c:pt idx="48">
                  <c:v>150</c:v>
                </c:pt>
                <c:pt idx="49">
                  <c:v>600</c:v>
                </c:pt>
                <c:pt idx="50">
                  <c:v>300</c:v>
                </c:pt>
                <c:pt idx="51">
                  <c:v>200</c:v>
                </c:pt>
                <c:pt idx="52">
                  <c:v>800</c:v>
                </c:pt>
                <c:pt idx="5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C-4ADF-8020-CEFD261DCE1F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BDF!$A$3:$B$56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Reroute_Highest!#REF!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C-4ADF-8020-CEFD261DC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260736"/>
        <c:axId val="190262272"/>
      </c:barChart>
      <c:catAx>
        <c:axId val="19026073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0262272"/>
        <c:crosses val="autoZero"/>
        <c:auto val="1"/>
        <c:lblAlgn val="ctr"/>
        <c:lblOffset val="100"/>
        <c:noMultiLvlLbl val="0"/>
      </c:catAx>
      <c:valAx>
        <c:axId val="190262272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26073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BDF!$Z$21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BDF!$Y$22:$Y$39</c:f>
              <c:strCache>
                <c:ptCount val="18"/>
                <c:pt idx="0">
                  <c:v>B - H</c:v>
                </c:pt>
                <c:pt idx="1">
                  <c:v>D - H</c:v>
                </c:pt>
                <c:pt idx="2">
                  <c:v>H - K </c:v>
                </c:pt>
                <c:pt idx="3">
                  <c:v>DO - F</c:v>
                </c:pt>
                <c:pt idx="4">
                  <c:v>DO - H</c:v>
                </c:pt>
                <c:pt idx="5">
                  <c:v>H - HH</c:v>
                </c:pt>
                <c:pt idx="6">
                  <c:v>H - L </c:v>
                </c:pt>
                <c:pt idx="7">
                  <c:v>D - F</c:v>
                </c:pt>
                <c:pt idx="8">
                  <c:v>F - H</c:v>
                </c:pt>
                <c:pt idx="9">
                  <c:v>H - K </c:v>
                </c:pt>
                <c:pt idx="10">
                  <c:v>F - L </c:v>
                </c:pt>
                <c:pt idx="11">
                  <c:v>F - S</c:v>
                </c:pt>
                <c:pt idx="12">
                  <c:v>L - N</c:v>
                </c:pt>
                <c:pt idx="13">
                  <c:v>N - S</c:v>
                </c:pt>
                <c:pt idx="14">
                  <c:v>F - N</c:v>
                </c:pt>
                <c:pt idx="15">
                  <c:v>L - S</c:v>
                </c:pt>
                <c:pt idx="16">
                  <c:v>M - S</c:v>
                </c:pt>
                <c:pt idx="17">
                  <c:v>Total </c:v>
                </c:pt>
              </c:strCache>
            </c:strRef>
          </c:cat>
          <c:val>
            <c:numRef>
              <c:f>BDF!$Z$22:$Z$39</c:f>
              <c:numCache>
                <c:formatCode>General</c:formatCode>
                <c:ptCount val="18"/>
                <c:pt idx="0">
                  <c:v>174</c:v>
                </c:pt>
                <c:pt idx="1">
                  <c:v>144</c:v>
                </c:pt>
                <c:pt idx="2">
                  <c:v>100</c:v>
                </c:pt>
                <c:pt idx="3">
                  <c:v>46</c:v>
                </c:pt>
                <c:pt idx="4">
                  <c:v>274</c:v>
                </c:pt>
                <c:pt idx="5">
                  <c:v>195</c:v>
                </c:pt>
                <c:pt idx="6">
                  <c:v>12</c:v>
                </c:pt>
                <c:pt idx="7">
                  <c:v>616</c:v>
                </c:pt>
                <c:pt idx="8">
                  <c:v>219</c:v>
                </c:pt>
                <c:pt idx="9">
                  <c:v>103</c:v>
                </c:pt>
                <c:pt idx="10">
                  <c:v>779</c:v>
                </c:pt>
                <c:pt idx="11">
                  <c:v>182</c:v>
                </c:pt>
                <c:pt idx="12">
                  <c:v>604</c:v>
                </c:pt>
                <c:pt idx="13">
                  <c:v>1088</c:v>
                </c:pt>
                <c:pt idx="14">
                  <c:v>54</c:v>
                </c:pt>
                <c:pt idx="15">
                  <c:v>524</c:v>
                </c:pt>
                <c:pt idx="16">
                  <c:v>347</c:v>
                </c:pt>
                <c:pt idx="17">
                  <c:v>6008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6-41E6-8E2E-5B6A1D35AB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300544"/>
        <c:axId val="190302080"/>
      </c:barChart>
      <c:catAx>
        <c:axId val="19030054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0302080"/>
        <c:crosses val="autoZero"/>
        <c:auto val="1"/>
        <c:lblAlgn val="ctr"/>
        <c:lblOffset val="100"/>
        <c:noMultiLvlLbl val="0"/>
      </c:catAx>
      <c:valAx>
        <c:axId val="190302080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300544"/>
        <c:crosses val="autoZero"/>
        <c:crossBetween val="between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SDF!$A$3:$B$56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SDF!$J$3:$J$56</c:f>
              <c:numCache>
                <c:formatCode>General</c:formatCode>
                <c:ptCount val="54"/>
                <c:pt idx="0">
                  <c:v>400</c:v>
                </c:pt>
                <c:pt idx="1">
                  <c:v>400</c:v>
                </c:pt>
                <c:pt idx="2">
                  <c:v>450</c:v>
                </c:pt>
                <c:pt idx="3">
                  <c:v>1800</c:v>
                </c:pt>
                <c:pt idx="4">
                  <c:v>500</c:v>
                </c:pt>
                <c:pt idx="5">
                  <c:v>450</c:v>
                </c:pt>
                <c:pt idx="6">
                  <c:v>1200</c:v>
                </c:pt>
                <c:pt idx="7">
                  <c:v>600</c:v>
                </c:pt>
                <c:pt idx="8">
                  <c:v>1350</c:v>
                </c:pt>
                <c:pt idx="9">
                  <c:v>1000</c:v>
                </c:pt>
                <c:pt idx="10">
                  <c:v>200</c:v>
                </c:pt>
                <c:pt idx="12">
                  <c:v>1400</c:v>
                </c:pt>
                <c:pt idx="13">
                  <c:v>900</c:v>
                </c:pt>
                <c:pt idx="14">
                  <c:v>600</c:v>
                </c:pt>
                <c:pt idx="15">
                  <c:v>750</c:v>
                </c:pt>
                <c:pt idx="16">
                  <c:v>1000</c:v>
                </c:pt>
                <c:pt idx="17">
                  <c:v>200</c:v>
                </c:pt>
                <c:pt idx="18">
                  <c:v>600</c:v>
                </c:pt>
                <c:pt idx="19">
                  <c:v>1350</c:v>
                </c:pt>
                <c:pt idx="20">
                  <c:v>200</c:v>
                </c:pt>
                <c:pt idx="21">
                  <c:v>200</c:v>
                </c:pt>
                <c:pt idx="23">
                  <c:v>2000</c:v>
                </c:pt>
                <c:pt idx="24">
                  <c:v>1350</c:v>
                </c:pt>
                <c:pt idx="25">
                  <c:v>1400</c:v>
                </c:pt>
                <c:pt idx="26">
                  <c:v>600</c:v>
                </c:pt>
                <c:pt idx="27">
                  <c:v>750</c:v>
                </c:pt>
                <c:pt idx="28">
                  <c:v>1000</c:v>
                </c:pt>
                <c:pt idx="29">
                  <c:v>1000</c:v>
                </c:pt>
                <c:pt idx="30">
                  <c:v>1800</c:v>
                </c:pt>
                <c:pt idx="31">
                  <c:v>600</c:v>
                </c:pt>
                <c:pt idx="32">
                  <c:v>1500</c:v>
                </c:pt>
                <c:pt idx="33">
                  <c:v>750</c:v>
                </c:pt>
                <c:pt idx="34">
                  <c:v>3600</c:v>
                </c:pt>
                <c:pt idx="35">
                  <c:v>2500</c:v>
                </c:pt>
                <c:pt idx="36">
                  <c:v>2750</c:v>
                </c:pt>
                <c:pt idx="37">
                  <c:v>800</c:v>
                </c:pt>
                <c:pt idx="38">
                  <c:v>1350</c:v>
                </c:pt>
                <c:pt idx="39">
                  <c:v>1350</c:v>
                </c:pt>
                <c:pt idx="40">
                  <c:v>250</c:v>
                </c:pt>
                <c:pt idx="41">
                  <c:v>400</c:v>
                </c:pt>
                <c:pt idx="42">
                  <c:v>600</c:v>
                </c:pt>
                <c:pt idx="43">
                  <c:v>400</c:v>
                </c:pt>
                <c:pt idx="44">
                  <c:v>300</c:v>
                </c:pt>
                <c:pt idx="45">
                  <c:v>150</c:v>
                </c:pt>
                <c:pt idx="46">
                  <c:v>600</c:v>
                </c:pt>
                <c:pt idx="47">
                  <c:v>150</c:v>
                </c:pt>
                <c:pt idx="48">
                  <c:v>150</c:v>
                </c:pt>
                <c:pt idx="49">
                  <c:v>600</c:v>
                </c:pt>
                <c:pt idx="50">
                  <c:v>300</c:v>
                </c:pt>
                <c:pt idx="51">
                  <c:v>200</c:v>
                </c:pt>
                <c:pt idx="52">
                  <c:v>800</c:v>
                </c:pt>
                <c:pt idx="5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E-4EA3-917A-E2D7B6187A95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SDF!$A$3:$B$56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SDF!$R$3:$R$56</c:f>
              <c:numCache>
                <c:formatCode>General</c:formatCode>
                <c:ptCount val="54"/>
                <c:pt idx="0">
                  <c:v>329.88499999999999</c:v>
                </c:pt>
                <c:pt idx="1">
                  <c:v>199.39625000000001</c:v>
                </c:pt>
                <c:pt idx="2">
                  <c:v>253.80925000000002</c:v>
                </c:pt>
                <c:pt idx="3">
                  <c:v>1483.4749999999999</c:v>
                </c:pt>
                <c:pt idx="4">
                  <c:v>413.84999999999997</c:v>
                </c:pt>
                <c:pt idx="5">
                  <c:v>253.80925000000002</c:v>
                </c:pt>
                <c:pt idx="6">
                  <c:v>825.09299999999996</c:v>
                </c:pt>
                <c:pt idx="7">
                  <c:v>500.27500000000003</c:v>
                </c:pt>
                <c:pt idx="8">
                  <c:v>1040.3695</c:v>
                </c:pt>
                <c:pt idx="9">
                  <c:v>801.94999999999993</c:v>
                </c:pt>
                <c:pt idx="10">
                  <c:v>55.875</c:v>
                </c:pt>
                <c:pt idx="11">
                  <c:v>0</c:v>
                </c:pt>
                <c:pt idx="12">
                  <c:v>1036.26875</c:v>
                </c:pt>
                <c:pt idx="13">
                  <c:v>622.65049999999997</c:v>
                </c:pt>
                <c:pt idx="14">
                  <c:v>463.58550000000002</c:v>
                </c:pt>
                <c:pt idx="15">
                  <c:v>534.62075000000004</c:v>
                </c:pt>
                <c:pt idx="16">
                  <c:v>801.95425</c:v>
                </c:pt>
                <c:pt idx="17">
                  <c:v>55.875</c:v>
                </c:pt>
                <c:pt idx="18">
                  <c:v>500.28050000000002</c:v>
                </c:pt>
                <c:pt idx="19">
                  <c:v>1040.3695</c:v>
                </c:pt>
                <c:pt idx="20">
                  <c:v>60.257500000000007</c:v>
                </c:pt>
                <c:pt idx="21">
                  <c:v>55.875</c:v>
                </c:pt>
                <c:pt idx="22">
                  <c:v>0</c:v>
                </c:pt>
                <c:pt idx="23">
                  <c:v>1661.2855</c:v>
                </c:pt>
                <c:pt idx="24">
                  <c:v>1061.67075</c:v>
                </c:pt>
                <c:pt idx="25">
                  <c:v>1036.26875</c:v>
                </c:pt>
                <c:pt idx="26">
                  <c:v>463.58550000000002</c:v>
                </c:pt>
                <c:pt idx="27">
                  <c:v>534.62075000000004</c:v>
                </c:pt>
                <c:pt idx="28">
                  <c:v>801.95425</c:v>
                </c:pt>
                <c:pt idx="29">
                  <c:v>693.93550000000005</c:v>
                </c:pt>
                <c:pt idx="30">
                  <c:v>1483.4749999999999</c:v>
                </c:pt>
                <c:pt idx="31">
                  <c:v>463.58550000000002</c:v>
                </c:pt>
                <c:pt idx="32">
                  <c:v>1228.6892500000001</c:v>
                </c:pt>
                <c:pt idx="33">
                  <c:v>534.62075000000004</c:v>
                </c:pt>
                <c:pt idx="34">
                  <c:v>2878.3199999999997</c:v>
                </c:pt>
                <c:pt idx="35">
                  <c:v>1948.8082499999998</c:v>
                </c:pt>
                <c:pt idx="36">
                  <c:v>2215.38625</c:v>
                </c:pt>
                <c:pt idx="37">
                  <c:v>584.51749999999993</c:v>
                </c:pt>
                <c:pt idx="38">
                  <c:v>1040.3695</c:v>
                </c:pt>
                <c:pt idx="39">
                  <c:v>1061.67075</c:v>
                </c:pt>
                <c:pt idx="40">
                  <c:v>200.84167500000001</c:v>
                </c:pt>
                <c:pt idx="41">
                  <c:v>168.10457499999998</c:v>
                </c:pt>
                <c:pt idx="42">
                  <c:v>439.798</c:v>
                </c:pt>
                <c:pt idx="43">
                  <c:v>287.78575000000001</c:v>
                </c:pt>
                <c:pt idx="44">
                  <c:v>218.92124999999999</c:v>
                </c:pt>
                <c:pt idx="45">
                  <c:v>115.41</c:v>
                </c:pt>
                <c:pt idx="46">
                  <c:v>439.798</c:v>
                </c:pt>
                <c:pt idx="47">
                  <c:v>115.41</c:v>
                </c:pt>
                <c:pt idx="48">
                  <c:v>115.41</c:v>
                </c:pt>
                <c:pt idx="49">
                  <c:v>342.18825000000004</c:v>
                </c:pt>
                <c:pt idx="50">
                  <c:v>218.92124999999999</c:v>
                </c:pt>
                <c:pt idx="51">
                  <c:v>83.245824999999996</c:v>
                </c:pt>
                <c:pt idx="52">
                  <c:v>584.51749999999993</c:v>
                </c:pt>
                <c:pt idx="53">
                  <c:v>342.18825000000004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EE-4EA3-917A-E2D7B6187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14848"/>
        <c:axId val="190416384"/>
      </c:barChart>
      <c:catAx>
        <c:axId val="190414848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0416384"/>
        <c:crosses val="autoZero"/>
        <c:auto val="1"/>
        <c:lblAlgn val="ctr"/>
        <c:lblOffset val="100"/>
        <c:noMultiLvlLbl val="0"/>
      </c:catAx>
      <c:valAx>
        <c:axId val="190416384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4148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SDF!$A$3:$B$56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SDF!$F$3:$F$56</c:f>
              <c:numCache>
                <c:formatCode>General</c:formatCode>
                <c:ptCount val="54"/>
                <c:pt idx="0">
                  <c:v>131.95400000000001</c:v>
                </c:pt>
                <c:pt idx="1">
                  <c:v>79.758499999999998</c:v>
                </c:pt>
                <c:pt idx="2">
                  <c:v>101.52370000000001</c:v>
                </c:pt>
                <c:pt idx="3">
                  <c:v>593.39</c:v>
                </c:pt>
                <c:pt idx="4">
                  <c:v>165.54</c:v>
                </c:pt>
                <c:pt idx="5">
                  <c:v>101.52370000000001</c:v>
                </c:pt>
                <c:pt idx="6">
                  <c:v>330.03719999999998</c:v>
                </c:pt>
                <c:pt idx="7">
                  <c:v>200.11</c:v>
                </c:pt>
                <c:pt idx="8">
                  <c:v>416.14780000000002</c:v>
                </c:pt>
                <c:pt idx="9">
                  <c:v>320.77999999999997</c:v>
                </c:pt>
                <c:pt idx="10">
                  <c:v>22.35</c:v>
                </c:pt>
                <c:pt idx="12">
                  <c:v>414.50749999999999</c:v>
                </c:pt>
                <c:pt idx="13">
                  <c:v>249.06020000000001</c:v>
                </c:pt>
                <c:pt idx="14">
                  <c:v>185.4342</c:v>
                </c:pt>
                <c:pt idx="15">
                  <c:v>213.84829999999999</c:v>
                </c:pt>
                <c:pt idx="16">
                  <c:v>320.7817</c:v>
                </c:pt>
                <c:pt idx="17">
                  <c:v>22.35</c:v>
                </c:pt>
                <c:pt idx="18">
                  <c:v>200.1122</c:v>
                </c:pt>
                <c:pt idx="19">
                  <c:v>416.14780000000002</c:v>
                </c:pt>
                <c:pt idx="20">
                  <c:v>24.103000000000002</c:v>
                </c:pt>
                <c:pt idx="21">
                  <c:v>22.35</c:v>
                </c:pt>
                <c:pt idx="23">
                  <c:v>664.51419999999996</c:v>
                </c:pt>
                <c:pt idx="24">
                  <c:v>424.66829999999999</c:v>
                </c:pt>
                <c:pt idx="25">
                  <c:v>414.50749999999999</c:v>
                </c:pt>
                <c:pt idx="26">
                  <c:v>185.4342</c:v>
                </c:pt>
                <c:pt idx="27">
                  <c:v>213.84829999999999</c:v>
                </c:pt>
                <c:pt idx="28">
                  <c:v>320.7817</c:v>
                </c:pt>
                <c:pt idx="29">
                  <c:v>277.57420000000002</c:v>
                </c:pt>
                <c:pt idx="30">
                  <c:v>593.39</c:v>
                </c:pt>
                <c:pt idx="31">
                  <c:v>185.4342</c:v>
                </c:pt>
                <c:pt idx="32">
                  <c:v>491.47570000000002</c:v>
                </c:pt>
                <c:pt idx="33">
                  <c:v>213.84829999999999</c:v>
                </c:pt>
                <c:pt idx="34">
                  <c:v>1151.328</c:v>
                </c:pt>
                <c:pt idx="35">
                  <c:v>779.52329999999995</c:v>
                </c:pt>
                <c:pt idx="36">
                  <c:v>886.15449999999998</c:v>
                </c:pt>
                <c:pt idx="37">
                  <c:v>233.80699999999999</c:v>
                </c:pt>
                <c:pt idx="38">
                  <c:v>416.14780000000002</c:v>
                </c:pt>
                <c:pt idx="39">
                  <c:v>424.66829999999999</c:v>
                </c:pt>
                <c:pt idx="40">
                  <c:v>80.336669999999998</c:v>
                </c:pt>
                <c:pt idx="41">
                  <c:v>67.241829999999993</c:v>
                </c:pt>
                <c:pt idx="42">
                  <c:v>175.91919999999999</c:v>
                </c:pt>
                <c:pt idx="43">
                  <c:v>115.1143</c:v>
                </c:pt>
                <c:pt idx="44">
                  <c:v>87.5685</c:v>
                </c:pt>
                <c:pt idx="45">
                  <c:v>46.164000000000001</c:v>
                </c:pt>
                <c:pt idx="46">
                  <c:v>175.91919999999999</c:v>
                </c:pt>
                <c:pt idx="47">
                  <c:v>46.164000000000001</c:v>
                </c:pt>
                <c:pt idx="48">
                  <c:v>46.164000000000001</c:v>
                </c:pt>
                <c:pt idx="49">
                  <c:v>136.87530000000001</c:v>
                </c:pt>
                <c:pt idx="50">
                  <c:v>87.5685</c:v>
                </c:pt>
                <c:pt idx="51">
                  <c:v>33.29833</c:v>
                </c:pt>
                <c:pt idx="52">
                  <c:v>233.80699999999999</c:v>
                </c:pt>
                <c:pt idx="53">
                  <c:v>136.87530000000001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E-4585-8730-470E7087365B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SDF!$A$3:$B$56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SDF!$N$3:$N$56</c:f>
              <c:numCache>
                <c:formatCode>General</c:formatCode>
                <c:ptCount val="54"/>
                <c:pt idx="0">
                  <c:v>598.85</c:v>
                </c:pt>
                <c:pt idx="1">
                  <c:v>561.44000000000005</c:v>
                </c:pt>
                <c:pt idx="2">
                  <c:v>691.82</c:v>
                </c:pt>
                <c:pt idx="3">
                  <c:v>778.62</c:v>
                </c:pt>
                <c:pt idx="4">
                  <c:v>904.18</c:v>
                </c:pt>
                <c:pt idx="5">
                  <c:v>691.82</c:v>
                </c:pt>
                <c:pt idx="6">
                  <c:v>243.73500000000001</c:v>
                </c:pt>
                <c:pt idx="7">
                  <c:v>614.06500000000005</c:v>
                </c:pt>
                <c:pt idx="8">
                  <c:v>692.19500000000005</c:v>
                </c:pt>
                <c:pt idx="9">
                  <c:v>440.09</c:v>
                </c:pt>
                <c:pt idx="10">
                  <c:v>541.49</c:v>
                </c:pt>
                <c:pt idx="12">
                  <c:v>527.53499999999997</c:v>
                </c:pt>
                <c:pt idx="13">
                  <c:v>258.625</c:v>
                </c:pt>
                <c:pt idx="14">
                  <c:v>975.03499999999997</c:v>
                </c:pt>
                <c:pt idx="15">
                  <c:v>1025.3</c:v>
                </c:pt>
                <c:pt idx="16">
                  <c:v>440.09</c:v>
                </c:pt>
                <c:pt idx="17">
                  <c:v>541.49</c:v>
                </c:pt>
                <c:pt idx="18">
                  <c:v>733.18499999999995</c:v>
                </c:pt>
                <c:pt idx="19">
                  <c:v>692.19500000000005</c:v>
                </c:pt>
                <c:pt idx="20">
                  <c:v>820.63</c:v>
                </c:pt>
                <c:pt idx="21">
                  <c:v>660.63</c:v>
                </c:pt>
                <c:pt idx="23">
                  <c:v>799.22</c:v>
                </c:pt>
                <c:pt idx="24">
                  <c:v>973.76</c:v>
                </c:pt>
                <c:pt idx="25">
                  <c:v>849.47500000000002</c:v>
                </c:pt>
                <c:pt idx="26">
                  <c:v>975.03499999999997</c:v>
                </c:pt>
                <c:pt idx="27">
                  <c:v>1347.24</c:v>
                </c:pt>
                <c:pt idx="28">
                  <c:v>762.03</c:v>
                </c:pt>
                <c:pt idx="29">
                  <c:v>922.03</c:v>
                </c:pt>
                <c:pt idx="30">
                  <c:v>778.62</c:v>
                </c:pt>
                <c:pt idx="31">
                  <c:v>975.03499999999997</c:v>
                </c:pt>
                <c:pt idx="32">
                  <c:v>660.12</c:v>
                </c:pt>
                <c:pt idx="33">
                  <c:v>844.89</c:v>
                </c:pt>
                <c:pt idx="34">
                  <c:v>503.42500000000001</c:v>
                </c:pt>
                <c:pt idx="35">
                  <c:v>539.80499999999995</c:v>
                </c:pt>
                <c:pt idx="36">
                  <c:v>585.61500000000001</c:v>
                </c:pt>
                <c:pt idx="37">
                  <c:v>673.16499999999996</c:v>
                </c:pt>
                <c:pt idx="38">
                  <c:v>692.19500000000005</c:v>
                </c:pt>
                <c:pt idx="39">
                  <c:v>1033.6600000000001</c:v>
                </c:pt>
                <c:pt idx="40">
                  <c:v>811.21</c:v>
                </c:pt>
                <c:pt idx="41">
                  <c:v>607.995</c:v>
                </c:pt>
                <c:pt idx="42">
                  <c:v>1051.23</c:v>
                </c:pt>
                <c:pt idx="43">
                  <c:v>838.745</c:v>
                </c:pt>
                <c:pt idx="44">
                  <c:v>792.93499999999995</c:v>
                </c:pt>
                <c:pt idx="45">
                  <c:v>934.80499999999995</c:v>
                </c:pt>
                <c:pt idx="46">
                  <c:v>992.44500000000005</c:v>
                </c:pt>
                <c:pt idx="47">
                  <c:v>817.04499999999996</c:v>
                </c:pt>
                <c:pt idx="48">
                  <c:v>817.04499999999996</c:v>
                </c:pt>
                <c:pt idx="49">
                  <c:v>518.48</c:v>
                </c:pt>
                <c:pt idx="50">
                  <c:v>792.93499999999995</c:v>
                </c:pt>
                <c:pt idx="51">
                  <c:v>524.75</c:v>
                </c:pt>
                <c:pt idx="52">
                  <c:v>673.16499999999996</c:v>
                </c:pt>
                <c:pt idx="53">
                  <c:v>518.48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E-4585-8730-470E70873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29824"/>
        <c:axId val="190718336"/>
      </c:barChart>
      <c:catAx>
        <c:axId val="19042982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0718336"/>
        <c:crosses val="autoZero"/>
        <c:auto val="1"/>
        <c:lblAlgn val="ctr"/>
        <c:lblOffset val="100"/>
        <c:noMultiLvlLbl val="0"/>
      </c:catAx>
      <c:valAx>
        <c:axId val="190718336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42982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SDF!$Z$28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SDF!$Y$29:$Y$37</c:f>
              <c:strCache>
                <c:ptCount val="9"/>
                <c:pt idx="0">
                  <c:v>D - F</c:v>
                </c:pt>
                <c:pt idx="1">
                  <c:v>L - N</c:v>
                </c:pt>
                <c:pt idx="2">
                  <c:v>F - L</c:v>
                </c:pt>
                <c:pt idx="3">
                  <c:v>F - N</c:v>
                </c:pt>
                <c:pt idx="4">
                  <c:v>L - S</c:v>
                </c:pt>
                <c:pt idx="5">
                  <c:v>M - S</c:v>
                </c:pt>
                <c:pt idx="6">
                  <c:v>N - S</c:v>
                </c:pt>
                <c:pt idx="8">
                  <c:v>Total </c:v>
                </c:pt>
              </c:strCache>
            </c:strRef>
          </c:cat>
          <c:val>
            <c:numRef>
              <c:f>SDF!$Z$29:$Z$37</c:f>
              <c:numCache>
                <c:formatCode>General</c:formatCode>
                <c:ptCount val="9"/>
                <c:pt idx="0">
                  <c:v>25</c:v>
                </c:pt>
                <c:pt idx="1">
                  <c:v>235</c:v>
                </c:pt>
                <c:pt idx="2">
                  <c:v>411</c:v>
                </c:pt>
                <c:pt idx="3">
                  <c:v>132</c:v>
                </c:pt>
                <c:pt idx="4">
                  <c:v>731</c:v>
                </c:pt>
                <c:pt idx="5">
                  <c:v>462</c:v>
                </c:pt>
                <c:pt idx="6">
                  <c:v>567</c:v>
                </c:pt>
                <c:pt idx="8">
                  <c:v>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3-4E75-B283-651543E4DC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739968"/>
        <c:axId val="190741504"/>
      </c:barChart>
      <c:catAx>
        <c:axId val="190739968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0741504"/>
        <c:crosses val="autoZero"/>
        <c:auto val="1"/>
        <c:lblAlgn val="ctr"/>
        <c:lblOffset val="100"/>
        <c:noMultiLvlLbl val="0"/>
      </c:catAx>
      <c:valAx>
        <c:axId val="190741504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739968"/>
        <c:crosses val="autoZero"/>
        <c:crossBetween val="between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'Single-hop Reroute'!$AP$10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'Single-hop Reroute'!$AO$11:$AO$28</c:f>
              <c:strCache>
                <c:ptCount val="18"/>
                <c:pt idx="0">
                  <c:v>B - H</c:v>
                </c:pt>
                <c:pt idx="1">
                  <c:v>D - H </c:v>
                </c:pt>
                <c:pt idx="2">
                  <c:v>H - HH</c:v>
                </c:pt>
                <c:pt idx="3">
                  <c:v>DO - F </c:v>
                </c:pt>
                <c:pt idx="4">
                  <c:v>DO - H </c:v>
                </c:pt>
                <c:pt idx="5">
                  <c:v>H - K </c:v>
                </c:pt>
                <c:pt idx="6">
                  <c:v>H - L </c:v>
                </c:pt>
                <c:pt idx="7">
                  <c:v>D - F </c:v>
                </c:pt>
                <c:pt idx="8">
                  <c:v>D - K </c:v>
                </c:pt>
                <c:pt idx="9">
                  <c:v>F - H </c:v>
                </c:pt>
                <c:pt idx="10">
                  <c:v>F - L </c:v>
                </c:pt>
                <c:pt idx="11">
                  <c:v>F - S</c:v>
                </c:pt>
                <c:pt idx="12">
                  <c:v>L - N </c:v>
                </c:pt>
                <c:pt idx="13">
                  <c:v>N - S</c:v>
                </c:pt>
                <c:pt idx="14">
                  <c:v>F - N </c:v>
                </c:pt>
                <c:pt idx="15">
                  <c:v>L - S</c:v>
                </c:pt>
                <c:pt idx="16">
                  <c:v>M - S</c:v>
                </c:pt>
                <c:pt idx="17">
                  <c:v>Total </c:v>
                </c:pt>
              </c:strCache>
            </c:strRef>
          </c:cat>
          <c:val>
            <c:numRef>
              <c:f>'Single-hop Reroute'!$AP$11:$AP$28</c:f>
              <c:numCache>
                <c:formatCode>General</c:formatCode>
                <c:ptCount val="18"/>
                <c:pt idx="0">
                  <c:v>189</c:v>
                </c:pt>
                <c:pt idx="1">
                  <c:v>159.5</c:v>
                </c:pt>
                <c:pt idx="2">
                  <c:v>210</c:v>
                </c:pt>
                <c:pt idx="3">
                  <c:v>65</c:v>
                </c:pt>
                <c:pt idx="4">
                  <c:v>329.5</c:v>
                </c:pt>
                <c:pt idx="5">
                  <c:v>254</c:v>
                </c:pt>
                <c:pt idx="6">
                  <c:v>27</c:v>
                </c:pt>
                <c:pt idx="7">
                  <c:v>754</c:v>
                </c:pt>
                <c:pt idx="8">
                  <c:v>6</c:v>
                </c:pt>
                <c:pt idx="9">
                  <c:v>294</c:v>
                </c:pt>
                <c:pt idx="10">
                  <c:v>986</c:v>
                </c:pt>
                <c:pt idx="11">
                  <c:v>318</c:v>
                </c:pt>
                <c:pt idx="12">
                  <c:v>740</c:v>
                </c:pt>
                <c:pt idx="13">
                  <c:v>1296</c:v>
                </c:pt>
                <c:pt idx="14">
                  <c:v>125</c:v>
                </c:pt>
                <c:pt idx="15">
                  <c:v>595</c:v>
                </c:pt>
                <c:pt idx="16">
                  <c:v>419</c:v>
                </c:pt>
                <c:pt idx="17">
                  <c:v>6767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8-441B-A92D-9505EADB54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330560"/>
        <c:axId val="189332096"/>
      </c:barChart>
      <c:catAx>
        <c:axId val="189330560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89332096"/>
        <c:crosses val="autoZero"/>
        <c:auto val="1"/>
        <c:lblAlgn val="ctr"/>
        <c:lblOffset val="100"/>
        <c:noMultiLvlLbl val="0"/>
      </c:catAx>
      <c:valAx>
        <c:axId val="189332096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8933056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'ES-EP'!$A$3:$B$56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'ES-EP'!$J$3:$J$56</c:f>
              <c:numCache>
                <c:formatCode>General</c:formatCode>
                <c:ptCount val="54"/>
                <c:pt idx="0">
                  <c:v>400</c:v>
                </c:pt>
                <c:pt idx="1">
                  <c:v>400</c:v>
                </c:pt>
                <c:pt idx="2">
                  <c:v>450</c:v>
                </c:pt>
                <c:pt idx="3">
                  <c:v>1800</c:v>
                </c:pt>
                <c:pt idx="4">
                  <c:v>500</c:v>
                </c:pt>
                <c:pt idx="5">
                  <c:v>450</c:v>
                </c:pt>
                <c:pt idx="6">
                  <c:v>1200</c:v>
                </c:pt>
                <c:pt idx="7">
                  <c:v>600</c:v>
                </c:pt>
                <c:pt idx="8">
                  <c:v>1350</c:v>
                </c:pt>
                <c:pt idx="9">
                  <c:v>1000</c:v>
                </c:pt>
                <c:pt idx="10">
                  <c:v>200</c:v>
                </c:pt>
                <c:pt idx="12">
                  <c:v>1400</c:v>
                </c:pt>
                <c:pt idx="13">
                  <c:v>900</c:v>
                </c:pt>
                <c:pt idx="14">
                  <c:v>600</c:v>
                </c:pt>
                <c:pt idx="15">
                  <c:v>750</c:v>
                </c:pt>
                <c:pt idx="16">
                  <c:v>1000</c:v>
                </c:pt>
                <c:pt idx="17">
                  <c:v>200</c:v>
                </c:pt>
                <c:pt idx="18">
                  <c:v>600</c:v>
                </c:pt>
                <c:pt idx="19">
                  <c:v>1350</c:v>
                </c:pt>
                <c:pt idx="20">
                  <c:v>200</c:v>
                </c:pt>
                <c:pt idx="21">
                  <c:v>200</c:v>
                </c:pt>
                <c:pt idx="23">
                  <c:v>2000</c:v>
                </c:pt>
                <c:pt idx="24">
                  <c:v>1350</c:v>
                </c:pt>
                <c:pt idx="25">
                  <c:v>1400</c:v>
                </c:pt>
                <c:pt idx="26">
                  <c:v>600</c:v>
                </c:pt>
                <c:pt idx="27">
                  <c:v>750</c:v>
                </c:pt>
                <c:pt idx="28">
                  <c:v>1000</c:v>
                </c:pt>
                <c:pt idx="29">
                  <c:v>1000</c:v>
                </c:pt>
                <c:pt idx="30">
                  <c:v>1800</c:v>
                </c:pt>
                <c:pt idx="31">
                  <c:v>600</c:v>
                </c:pt>
                <c:pt idx="32">
                  <c:v>1500</c:v>
                </c:pt>
                <c:pt idx="33">
                  <c:v>750</c:v>
                </c:pt>
                <c:pt idx="34">
                  <c:v>3600</c:v>
                </c:pt>
                <c:pt idx="35">
                  <c:v>2500</c:v>
                </c:pt>
                <c:pt idx="36">
                  <c:v>2750</c:v>
                </c:pt>
                <c:pt idx="37">
                  <c:v>800</c:v>
                </c:pt>
                <c:pt idx="38">
                  <c:v>1350</c:v>
                </c:pt>
                <c:pt idx="39">
                  <c:v>1350</c:v>
                </c:pt>
                <c:pt idx="40">
                  <c:v>250</c:v>
                </c:pt>
                <c:pt idx="41">
                  <c:v>400</c:v>
                </c:pt>
                <c:pt idx="42">
                  <c:v>600</c:v>
                </c:pt>
                <c:pt idx="43">
                  <c:v>400</c:v>
                </c:pt>
                <c:pt idx="44">
                  <c:v>300</c:v>
                </c:pt>
                <c:pt idx="45">
                  <c:v>150</c:v>
                </c:pt>
                <c:pt idx="46">
                  <c:v>600</c:v>
                </c:pt>
                <c:pt idx="47">
                  <c:v>150</c:v>
                </c:pt>
                <c:pt idx="48">
                  <c:v>150</c:v>
                </c:pt>
                <c:pt idx="49">
                  <c:v>600</c:v>
                </c:pt>
                <c:pt idx="50">
                  <c:v>300</c:v>
                </c:pt>
                <c:pt idx="51">
                  <c:v>200</c:v>
                </c:pt>
                <c:pt idx="52">
                  <c:v>800</c:v>
                </c:pt>
                <c:pt idx="5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0-4A35-83DC-32753DC6835E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'ES-EP'!$A$3:$B$56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'ES-EP'!$R$3:$R$56</c:f>
              <c:numCache>
                <c:formatCode>General</c:formatCode>
                <c:ptCount val="54"/>
                <c:pt idx="0">
                  <c:v>329.88499999999999</c:v>
                </c:pt>
                <c:pt idx="1">
                  <c:v>199.39625000000001</c:v>
                </c:pt>
                <c:pt idx="2">
                  <c:v>253.80925000000002</c:v>
                </c:pt>
                <c:pt idx="3">
                  <c:v>1483.4749999999999</c:v>
                </c:pt>
                <c:pt idx="4">
                  <c:v>413.84999999999997</c:v>
                </c:pt>
                <c:pt idx="5">
                  <c:v>253.80925000000002</c:v>
                </c:pt>
                <c:pt idx="6">
                  <c:v>825.09299999999996</c:v>
                </c:pt>
                <c:pt idx="7">
                  <c:v>500.27500000000003</c:v>
                </c:pt>
                <c:pt idx="8">
                  <c:v>1040.3695</c:v>
                </c:pt>
                <c:pt idx="9">
                  <c:v>801.94999999999993</c:v>
                </c:pt>
                <c:pt idx="10">
                  <c:v>55.875</c:v>
                </c:pt>
                <c:pt idx="11">
                  <c:v>0</c:v>
                </c:pt>
                <c:pt idx="12">
                  <c:v>1036.26875</c:v>
                </c:pt>
                <c:pt idx="13">
                  <c:v>622.65049999999997</c:v>
                </c:pt>
                <c:pt idx="14">
                  <c:v>463.58550000000002</c:v>
                </c:pt>
                <c:pt idx="15">
                  <c:v>534.62075000000004</c:v>
                </c:pt>
                <c:pt idx="16">
                  <c:v>801.95425</c:v>
                </c:pt>
                <c:pt idx="17">
                  <c:v>55.875</c:v>
                </c:pt>
                <c:pt idx="18">
                  <c:v>500.28050000000002</c:v>
                </c:pt>
                <c:pt idx="19">
                  <c:v>1040.3695</c:v>
                </c:pt>
                <c:pt idx="20">
                  <c:v>60.257500000000007</c:v>
                </c:pt>
                <c:pt idx="21">
                  <c:v>55.875</c:v>
                </c:pt>
                <c:pt idx="22">
                  <c:v>0</c:v>
                </c:pt>
                <c:pt idx="23">
                  <c:v>1661.2855</c:v>
                </c:pt>
                <c:pt idx="24">
                  <c:v>1061.67075</c:v>
                </c:pt>
                <c:pt idx="25">
                  <c:v>1036.26875</c:v>
                </c:pt>
                <c:pt idx="26">
                  <c:v>463.58550000000002</c:v>
                </c:pt>
                <c:pt idx="27">
                  <c:v>534.62075000000004</c:v>
                </c:pt>
                <c:pt idx="28">
                  <c:v>801.95425</c:v>
                </c:pt>
                <c:pt idx="29">
                  <c:v>693.93550000000005</c:v>
                </c:pt>
                <c:pt idx="30">
                  <c:v>1483.4749999999999</c:v>
                </c:pt>
                <c:pt idx="31">
                  <c:v>463.58550000000002</c:v>
                </c:pt>
                <c:pt idx="32">
                  <c:v>1228.6892500000001</c:v>
                </c:pt>
                <c:pt idx="33">
                  <c:v>534.62075000000004</c:v>
                </c:pt>
                <c:pt idx="34">
                  <c:v>2878.3199999999997</c:v>
                </c:pt>
                <c:pt idx="35">
                  <c:v>1948.8082499999998</c:v>
                </c:pt>
                <c:pt idx="36">
                  <c:v>2215.38625</c:v>
                </c:pt>
                <c:pt idx="37">
                  <c:v>584.51749999999993</c:v>
                </c:pt>
                <c:pt idx="38">
                  <c:v>1040.3695</c:v>
                </c:pt>
                <c:pt idx="39">
                  <c:v>1061.67075</c:v>
                </c:pt>
                <c:pt idx="40">
                  <c:v>200.84167500000001</c:v>
                </c:pt>
                <c:pt idx="41">
                  <c:v>168.10457499999998</c:v>
                </c:pt>
                <c:pt idx="42">
                  <c:v>439.798</c:v>
                </c:pt>
                <c:pt idx="43">
                  <c:v>287.78575000000001</c:v>
                </c:pt>
                <c:pt idx="44">
                  <c:v>218.92124999999999</c:v>
                </c:pt>
                <c:pt idx="45">
                  <c:v>115.41</c:v>
                </c:pt>
                <c:pt idx="46">
                  <c:v>439.798</c:v>
                </c:pt>
                <c:pt idx="47">
                  <c:v>115.41</c:v>
                </c:pt>
                <c:pt idx="48">
                  <c:v>115.41</c:v>
                </c:pt>
                <c:pt idx="49">
                  <c:v>342.18825000000004</c:v>
                </c:pt>
                <c:pt idx="50">
                  <c:v>218.92124999999999</c:v>
                </c:pt>
                <c:pt idx="51">
                  <c:v>83.245824999999996</c:v>
                </c:pt>
                <c:pt idx="52">
                  <c:v>584.51749999999993</c:v>
                </c:pt>
                <c:pt idx="53">
                  <c:v>342.18825000000004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0-4A35-83DC-32753DC68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243776"/>
        <c:axId val="191245312"/>
      </c:barChart>
      <c:catAx>
        <c:axId val="19124377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1245312"/>
        <c:crosses val="autoZero"/>
        <c:auto val="1"/>
        <c:lblAlgn val="ctr"/>
        <c:lblOffset val="100"/>
        <c:noMultiLvlLbl val="0"/>
      </c:catAx>
      <c:valAx>
        <c:axId val="191245312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24377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'ES-EP'!$A$3:$B$56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'ES-EP'!$F$3:$F$56</c:f>
              <c:numCache>
                <c:formatCode>General</c:formatCode>
                <c:ptCount val="54"/>
                <c:pt idx="0">
                  <c:v>131.95400000000001</c:v>
                </c:pt>
                <c:pt idx="1">
                  <c:v>79.758499999999998</c:v>
                </c:pt>
                <c:pt idx="2">
                  <c:v>101.52370000000001</c:v>
                </c:pt>
                <c:pt idx="3">
                  <c:v>593.39</c:v>
                </c:pt>
                <c:pt idx="4">
                  <c:v>165.54</c:v>
                </c:pt>
                <c:pt idx="5">
                  <c:v>101.52370000000001</c:v>
                </c:pt>
                <c:pt idx="6">
                  <c:v>330.03719999999998</c:v>
                </c:pt>
                <c:pt idx="7">
                  <c:v>200.11</c:v>
                </c:pt>
                <c:pt idx="8">
                  <c:v>416.14780000000002</c:v>
                </c:pt>
                <c:pt idx="9">
                  <c:v>320.77999999999997</c:v>
                </c:pt>
                <c:pt idx="10">
                  <c:v>22.35</c:v>
                </c:pt>
                <c:pt idx="12">
                  <c:v>414.50749999999999</c:v>
                </c:pt>
                <c:pt idx="13">
                  <c:v>249.06020000000001</c:v>
                </c:pt>
                <c:pt idx="14">
                  <c:v>185.4342</c:v>
                </c:pt>
                <c:pt idx="15">
                  <c:v>213.84829999999999</c:v>
                </c:pt>
                <c:pt idx="16">
                  <c:v>320.7817</c:v>
                </c:pt>
                <c:pt idx="17">
                  <c:v>22.35</c:v>
                </c:pt>
                <c:pt idx="18">
                  <c:v>200.1122</c:v>
                </c:pt>
                <c:pt idx="19">
                  <c:v>416.14780000000002</c:v>
                </c:pt>
                <c:pt idx="20">
                  <c:v>24.103000000000002</c:v>
                </c:pt>
                <c:pt idx="21">
                  <c:v>22.35</c:v>
                </c:pt>
                <c:pt idx="23">
                  <c:v>664.51419999999996</c:v>
                </c:pt>
                <c:pt idx="24">
                  <c:v>424.66829999999999</c:v>
                </c:pt>
                <c:pt idx="25">
                  <c:v>414.50749999999999</c:v>
                </c:pt>
                <c:pt idx="26">
                  <c:v>185.4342</c:v>
                </c:pt>
                <c:pt idx="27">
                  <c:v>213.84829999999999</c:v>
                </c:pt>
                <c:pt idx="28">
                  <c:v>320.7817</c:v>
                </c:pt>
                <c:pt idx="29">
                  <c:v>277.57420000000002</c:v>
                </c:pt>
                <c:pt idx="30">
                  <c:v>593.39</c:v>
                </c:pt>
                <c:pt idx="31">
                  <c:v>185.4342</c:v>
                </c:pt>
                <c:pt idx="32">
                  <c:v>491.47570000000002</c:v>
                </c:pt>
                <c:pt idx="33">
                  <c:v>213.84829999999999</c:v>
                </c:pt>
                <c:pt idx="34">
                  <c:v>1151.328</c:v>
                </c:pt>
                <c:pt idx="35">
                  <c:v>779.52329999999995</c:v>
                </c:pt>
                <c:pt idx="36">
                  <c:v>886.15449999999998</c:v>
                </c:pt>
                <c:pt idx="37">
                  <c:v>233.80699999999999</c:v>
                </c:pt>
                <c:pt idx="38">
                  <c:v>416.14780000000002</c:v>
                </c:pt>
                <c:pt idx="39">
                  <c:v>424.66829999999999</c:v>
                </c:pt>
                <c:pt idx="40">
                  <c:v>80.336669999999998</c:v>
                </c:pt>
                <c:pt idx="41">
                  <c:v>67.241829999999993</c:v>
                </c:pt>
                <c:pt idx="42">
                  <c:v>175.91919999999999</c:v>
                </c:pt>
                <c:pt idx="43">
                  <c:v>115.1143</c:v>
                </c:pt>
                <c:pt idx="44">
                  <c:v>87.5685</c:v>
                </c:pt>
                <c:pt idx="45">
                  <c:v>46.164000000000001</c:v>
                </c:pt>
                <c:pt idx="46">
                  <c:v>175.91919999999999</c:v>
                </c:pt>
                <c:pt idx="47">
                  <c:v>46.164000000000001</c:v>
                </c:pt>
                <c:pt idx="48">
                  <c:v>46.164000000000001</c:v>
                </c:pt>
                <c:pt idx="49">
                  <c:v>136.87530000000001</c:v>
                </c:pt>
                <c:pt idx="50">
                  <c:v>87.5685</c:v>
                </c:pt>
                <c:pt idx="51">
                  <c:v>33.29833</c:v>
                </c:pt>
                <c:pt idx="52">
                  <c:v>233.80699999999999</c:v>
                </c:pt>
                <c:pt idx="53">
                  <c:v>136.87530000000001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3-496D-9F05-A65C878A3921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'ES-EP'!$A$3:$B$56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'ES-EP'!$N$3:$N$56</c:f>
              <c:numCache>
                <c:formatCode>General</c:formatCode>
                <c:ptCount val="54"/>
                <c:pt idx="0">
                  <c:v>598.85</c:v>
                </c:pt>
                <c:pt idx="1">
                  <c:v>561.44000000000005</c:v>
                </c:pt>
                <c:pt idx="2">
                  <c:v>691.82</c:v>
                </c:pt>
                <c:pt idx="3">
                  <c:v>778.62</c:v>
                </c:pt>
                <c:pt idx="4">
                  <c:v>904.18</c:v>
                </c:pt>
                <c:pt idx="5">
                  <c:v>691.82</c:v>
                </c:pt>
                <c:pt idx="6">
                  <c:v>243.73500000000001</c:v>
                </c:pt>
                <c:pt idx="7">
                  <c:v>614.06500000000005</c:v>
                </c:pt>
                <c:pt idx="8">
                  <c:v>692.19500000000005</c:v>
                </c:pt>
                <c:pt idx="9">
                  <c:v>440.09</c:v>
                </c:pt>
                <c:pt idx="10">
                  <c:v>541.49</c:v>
                </c:pt>
                <c:pt idx="12">
                  <c:v>527.53499999999997</c:v>
                </c:pt>
                <c:pt idx="13">
                  <c:v>258.625</c:v>
                </c:pt>
                <c:pt idx="14">
                  <c:v>975.03499999999997</c:v>
                </c:pt>
                <c:pt idx="15">
                  <c:v>1025.3</c:v>
                </c:pt>
                <c:pt idx="16">
                  <c:v>440.09</c:v>
                </c:pt>
                <c:pt idx="17">
                  <c:v>541.49</c:v>
                </c:pt>
                <c:pt idx="18">
                  <c:v>733.18499999999995</c:v>
                </c:pt>
                <c:pt idx="19">
                  <c:v>692.19500000000005</c:v>
                </c:pt>
                <c:pt idx="20">
                  <c:v>820.63</c:v>
                </c:pt>
                <c:pt idx="21">
                  <c:v>660.63</c:v>
                </c:pt>
                <c:pt idx="23">
                  <c:v>799.22</c:v>
                </c:pt>
                <c:pt idx="24">
                  <c:v>973.76</c:v>
                </c:pt>
                <c:pt idx="25">
                  <c:v>849.47500000000002</c:v>
                </c:pt>
                <c:pt idx="26">
                  <c:v>975.03499999999997</c:v>
                </c:pt>
                <c:pt idx="27">
                  <c:v>1347.24</c:v>
                </c:pt>
                <c:pt idx="28">
                  <c:v>762.03</c:v>
                </c:pt>
                <c:pt idx="29">
                  <c:v>922.03</c:v>
                </c:pt>
                <c:pt idx="30">
                  <c:v>778.62</c:v>
                </c:pt>
                <c:pt idx="31">
                  <c:v>975.03499999999997</c:v>
                </c:pt>
                <c:pt idx="32">
                  <c:v>660.12</c:v>
                </c:pt>
                <c:pt idx="33">
                  <c:v>844.89</c:v>
                </c:pt>
                <c:pt idx="34">
                  <c:v>503.42500000000001</c:v>
                </c:pt>
                <c:pt idx="35">
                  <c:v>539.80499999999995</c:v>
                </c:pt>
                <c:pt idx="36">
                  <c:v>585.61500000000001</c:v>
                </c:pt>
                <c:pt idx="37">
                  <c:v>673.16499999999996</c:v>
                </c:pt>
                <c:pt idx="38">
                  <c:v>692.19500000000005</c:v>
                </c:pt>
                <c:pt idx="39">
                  <c:v>1033.6600000000001</c:v>
                </c:pt>
                <c:pt idx="40">
                  <c:v>811.21</c:v>
                </c:pt>
                <c:pt idx="41">
                  <c:v>607.995</c:v>
                </c:pt>
                <c:pt idx="42">
                  <c:v>1051.23</c:v>
                </c:pt>
                <c:pt idx="43">
                  <c:v>838.745</c:v>
                </c:pt>
                <c:pt idx="44">
                  <c:v>792.93499999999995</c:v>
                </c:pt>
                <c:pt idx="45">
                  <c:v>934.80499999999995</c:v>
                </c:pt>
                <c:pt idx="46">
                  <c:v>992.44500000000005</c:v>
                </c:pt>
                <c:pt idx="47">
                  <c:v>817.04499999999996</c:v>
                </c:pt>
                <c:pt idx="48">
                  <c:v>817.04499999999996</c:v>
                </c:pt>
                <c:pt idx="49">
                  <c:v>518.48</c:v>
                </c:pt>
                <c:pt idx="50">
                  <c:v>792.93499999999995</c:v>
                </c:pt>
                <c:pt idx="51">
                  <c:v>524.75</c:v>
                </c:pt>
                <c:pt idx="52">
                  <c:v>673.16499999999996</c:v>
                </c:pt>
                <c:pt idx="53">
                  <c:v>518.48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3-496D-9F05-A65C878A3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271296"/>
        <c:axId val="191272832"/>
      </c:barChart>
      <c:catAx>
        <c:axId val="19127129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1272832"/>
        <c:crosses val="autoZero"/>
        <c:auto val="1"/>
        <c:lblAlgn val="ctr"/>
        <c:lblOffset val="100"/>
        <c:noMultiLvlLbl val="0"/>
      </c:catAx>
      <c:valAx>
        <c:axId val="191272832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27129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'ES-EP'!$Z$28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'ES-EP'!$Y$29:$Y$36</c:f>
              <c:strCache>
                <c:ptCount val="8"/>
                <c:pt idx="0">
                  <c:v>F - H</c:v>
                </c:pt>
                <c:pt idx="1">
                  <c:v>DO - F</c:v>
                </c:pt>
                <c:pt idx="2">
                  <c:v>F - K</c:v>
                </c:pt>
                <c:pt idx="3">
                  <c:v>D - F</c:v>
                </c:pt>
                <c:pt idx="4">
                  <c:v>F - N</c:v>
                </c:pt>
                <c:pt idx="5">
                  <c:v>F - S</c:v>
                </c:pt>
                <c:pt idx="6">
                  <c:v>H - HH</c:v>
                </c:pt>
                <c:pt idx="7">
                  <c:v>Total </c:v>
                </c:pt>
              </c:strCache>
            </c:strRef>
          </c:cat>
          <c:val>
            <c:numRef>
              <c:f>'ES-EP'!$Z$29:$Z$36</c:f>
              <c:numCache>
                <c:formatCode>General</c:formatCode>
                <c:ptCount val="8"/>
                <c:pt idx="0">
                  <c:v>100</c:v>
                </c:pt>
                <c:pt idx="1">
                  <c:v>32</c:v>
                </c:pt>
                <c:pt idx="2">
                  <c:v>78</c:v>
                </c:pt>
                <c:pt idx="3">
                  <c:v>5</c:v>
                </c:pt>
                <c:pt idx="4">
                  <c:v>335</c:v>
                </c:pt>
                <c:pt idx="5">
                  <c:v>480</c:v>
                </c:pt>
                <c:pt idx="6">
                  <c:v>40</c:v>
                </c:pt>
                <c:pt idx="7">
                  <c:v>1070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0-4FCB-8FED-44133D7776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298560"/>
        <c:axId val="191337216"/>
      </c:barChart>
      <c:catAx>
        <c:axId val="191298560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1337216"/>
        <c:crosses val="autoZero"/>
        <c:auto val="1"/>
        <c:lblAlgn val="ctr"/>
        <c:lblOffset val="100"/>
        <c:noMultiLvlLbl val="0"/>
      </c:catAx>
      <c:valAx>
        <c:axId val="191337216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298560"/>
        <c:crosses val="autoZero"/>
        <c:crossBetween val="between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'US-EP'!$A$3:$B$56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'US-EP'!$J$3:$J$56</c:f>
              <c:numCache>
                <c:formatCode>General</c:formatCode>
                <c:ptCount val="54"/>
                <c:pt idx="0">
                  <c:v>400</c:v>
                </c:pt>
                <c:pt idx="1">
                  <c:v>400</c:v>
                </c:pt>
                <c:pt idx="2">
                  <c:v>450</c:v>
                </c:pt>
                <c:pt idx="3">
                  <c:v>1800</c:v>
                </c:pt>
                <c:pt idx="4">
                  <c:v>500</c:v>
                </c:pt>
                <c:pt idx="5">
                  <c:v>450</c:v>
                </c:pt>
                <c:pt idx="6">
                  <c:v>1200</c:v>
                </c:pt>
                <c:pt idx="7">
                  <c:v>600</c:v>
                </c:pt>
                <c:pt idx="8">
                  <c:v>1350</c:v>
                </c:pt>
                <c:pt idx="9">
                  <c:v>1000</c:v>
                </c:pt>
                <c:pt idx="10">
                  <c:v>200</c:v>
                </c:pt>
                <c:pt idx="12">
                  <c:v>1400</c:v>
                </c:pt>
                <c:pt idx="13">
                  <c:v>900</c:v>
                </c:pt>
                <c:pt idx="14">
                  <c:v>600</c:v>
                </c:pt>
                <c:pt idx="15">
                  <c:v>750</c:v>
                </c:pt>
                <c:pt idx="16">
                  <c:v>1000</c:v>
                </c:pt>
                <c:pt idx="17">
                  <c:v>200</c:v>
                </c:pt>
                <c:pt idx="18">
                  <c:v>600</c:v>
                </c:pt>
                <c:pt idx="19">
                  <c:v>1350</c:v>
                </c:pt>
                <c:pt idx="20">
                  <c:v>200</c:v>
                </c:pt>
                <c:pt idx="21">
                  <c:v>200</c:v>
                </c:pt>
                <c:pt idx="23">
                  <c:v>2000</c:v>
                </c:pt>
                <c:pt idx="24">
                  <c:v>1350</c:v>
                </c:pt>
                <c:pt idx="25">
                  <c:v>1400</c:v>
                </c:pt>
                <c:pt idx="26">
                  <c:v>600</c:v>
                </c:pt>
                <c:pt idx="27">
                  <c:v>750</c:v>
                </c:pt>
                <c:pt idx="28">
                  <c:v>1000</c:v>
                </c:pt>
                <c:pt idx="29">
                  <c:v>1000</c:v>
                </c:pt>
                <c:pt idx="30">
                  <c:v>1800</c:v>
                </c:pt>
                <c:pt idx="31">
                  <c:v>600</c:v>
                </c:pt>
                <c:pt idx="32">
                  <c:v>1500</c:v>
                </c:pt>
                <c:pt idx="33">
                  <c:v>750</c:v>
                </c:pt>
                <c:pt idx="34">
                  <c:v>3600</c:v>
                </c:pt>
                <c:pt idx="35">
                  <c:v>2500</c:v>
                </c:pt>
                <c:pt idx="36">
                  <c:v>2750</c:v>
                </c:pt>
                <c:pt idx="37">
                  <c:v>800</c:v>
                </c:pt>
                <c:pt idx="38">
                  <c:v>1350</c:v>
                </c:pt>
                <c:pt idx="39">
                  <c:v>1350</c:v>
                </c:pt>
                <c:pt idx="40">
                  <c:v>250</c:v>
                </c:pt>
                <c:pt idx="41">
                  <c:v>400</c:v>
                </c:pt>
                <c:pt idx="42">
                  <c:v>600</c:v>
                </c:pt>
                <c:pt idx="43">
                  <c:v>400</c:v>
                </c:pt>
                <c:pt idx="44">
                  <c:v>300</c:v>
                </c:pt>
                <c:pt idx="45">
                  <c:v>150</c:v>
                </c:pt>
                <c:pt idx="46">
                  <c:v>600</c:v>
                </c:pt>
                <c:pt idx="47">
                  <c:v>150</c:v>
                </c:pt>
                <c:pt idx="48">
                  <c:v>150</c:v>
                </c:pt>
                <c:pt idx="49">
                  <c:v>600</c:v>
                </c:pt>
                <c:pt idx="50">
                  <c:v>300</c:v>
                </c:pt>
                <c:pt idx="51">
                  <c:v>200</c:v>
                </c:pt>
                <c:pt idx="52">
                  <c:v>800</c:v>
                </c:pt>
                <c:pt idx="5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8-4D61-858D-2517F281858A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'US-EP'!$A$3:$B$56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'US-EP'!$R$3:$R$56</c:f>
              <c:numCache>
                <c:formatCode>General</c:formatCode>
                <c:ptCount val="54"/>
                <c:pt idx="0">
                  <c:v>329.88499999999999</c:v>
                </c:pt>
                <c:pt idx="1">
                  <c:v>199.39625000000001</c:v>
                </c:pt>
                <c:pt idx="2">
                  <c:v>253.80925000000002</c:v>
                </c:pt>
                <c:pt idx="3">
                  <c:v>1483.4749999999999</c:v>
                </c:pt>
                <c:pt idx="4">
                  <c:v>413.84999999999997</c:v>
                </c:pt>
                <c:pt idx="5">
                  <c:v>253.80925000000002</c:v>
                </c:pt>
                <c:pt idx="6">
                  <c:v>825.09299999999996</c:v>
                </c:pt>
                <c:pt idx="7">
                  <c:v>500.27500000000003</c:v>
                </c:pt>
                <c:pt idx="8">
                  <c:v>1040.3695</c:v>
                </c:pt>
                <c:pt idx="9">
                  <c:v>801.94999999999993</c:v>
                </c:pt>
                <c:pt idx="10">
                  <c:v>55.875</c:v>
                </c:pt>
                <c:pt idx="11">
                  <c:v>0</c:v>
                </c:pt>
                <c:pt idx="12">
                  <c:v>1036.26875</c:v>
                </c:pt>
                <c:pt idx="13">
                  <c:v>622.65049999999997</c:v>
                </c:pt>
                <c:pt idx="14">
                  <c:v>463.58550000000002</c:v>
                </c:pt>
                <c:pt idx="15">
                  <c:v>534.62075000000004</c:v>
                </c:pt>
                <c:pt idx="16">
                  <c:v>801.95425</c:v>
                </c:pt>
                <c:pt idx="17">
                  <c:v>55.875</c:v>
                </c:pt>
                <c:pt idx="18">
                  <c:v>500.28050000000002</c:v>
                </c:pt>
                <c:pt idx="19">
                  <c:v>1040.3695</c:v>
                </c:pt>
                <c:pt idx="20">
                  <c:v>60.257500000000007</c:v>
                </c:pt>
                <c:pt idx="21">
                  <c:v>55.875</c:v>
                </c:pt>
                <c:pt idx="22">
                  <c:v>0</c:v>
                </c:pt>
                <c:pt idx="23">
                  <c:v>1661.2855</c:v>
                </c:pt>
                <c:pt idx="24">
                  <c:v>1061.67075</c:v>
                </c:pt>
                <c:pt idx="25">
                  <c:v>1036.26875</c:v>
                </c:pt>
                <c:pt idx="26">
                  <c:v>463.58550000000002</c:v>
                </c:pt>
                <c:pt idx="27">
                  <c:v>534.62075000000004</c:v>
                </c:pt>
                <c:pt idx="28">
                  <c:v>801.95425</c:v>
                </c:pt>
                <c:pt idx="29">
                  <c:v>693.93550000000005</c:v>
                </c:pt>
                <c:pt idx="30">
                  <c:v>1483.4749999999999</c:v>
                </c:pt>
                <c:pt idx="31">
                  <c:v>463.58550000000002</c:v>
                </c:pt>
                <c:pt idx="32">
                  <c:v>1228.6892500000001</c:v>
                </c:pt>
                <c:pt idx="33">
                  <c:v>534.62075000000004</c:v>
                </c:pt>
                <c:pt idx="34">
                  <c:v>2878.3199999999997</c:v>
                </c:pt>
                <c:pt idx="35">
                  <c:v>1948.8082499999998</c:v>
                </c:pt>
                <c:pt idx="36">
                  <c:v>2215.38625</c:v>
                </c:pt>
                <c:pt idx="37">
                  <c:v>584.51749999999993</c:v>
                </c:pt>
                <c:pt idx="38">
                  <c:v>1040.3695</c:v>
                </c:pt>
                <c:pt idx="39">
                  <c:v>1061.67075</c:v>
                </c:pt>
                <c:pt idx="40">
                  <c:v>200.84167500000001</c:v>
                </c:pt>
                <c:pt idx="41">
                  <c:v>168.10457499999998</c:v>
                </c:pt>
                <c:pt idx="42">
                  <c:v>439.798</c:v>
                </c:pt>
                <c:pt idx="43">
                  <c:v>287.78575000000001</c:v>
                </c:pt>
                <c:pt idx="44">
                  <c:v>218.92124999999999</c:v>
                </c:pt>
                <c:pt idx="45">
                  <c:v>115.41</c:v>
                </c:pt>
                <c:pt idx="46">
                  <c:v>439.798</c:v>
                </c:pt>
                <c:pt idx="47">
                  <c:v>115.41</c:v>
                </c:pt>
                <c:pt idx="48">
                  <c:v>115.41</c:v>
                </c:pt>
                <c:pt idx="49">
                  <c:v>342.18825000000004</c:v>
                </c:pt>
                <c:pt idx="50">
                  <c:v>218.92124999999999</c:v>
                </c:pt>
                <c:pt idx="51">
                  <c:v>83.245824999999996</c:v>
                </c:pt>
                <c:pt idx="52">
                  <c:v>584.51749999999993</c:v>
                </c:pt>
                <c:pt idx="53">
                  <c:v>342.18825000000004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8-4D61-858D-2517F2818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92384"/>
        <c:axId val="191398272"/>
      </c:barChart>
      <c:catAx>
        <c:axId val="19139238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1398272"/>
        <c:crosses val="autoZero"/>
        <c:auto val="1"/>
        <c:lblAlgn val="ctr"/>
        <c:lblOffset val="100"/>
        <c:noMultiLvlLbl val="0"/>
      </c:catAx>
      <c:valAx>
        <c:axId val="191398272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39238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'Shut-off lambda'!$A$3:$B$56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'Shut-off lambda'!$J$3:$J$56</c:f>
              <c:numCache>
                <c:formatCode>General</c:formatCode>
                <c:ptCount val="54"/>
                <c:pt idx="0">
                  <c:v>400</c:v>
                </c:pt>
                <c:pt idx="1">
                  <c:v>400</c:v>
                </c:pt>
                <c:pt idx="2">
                  <c:v>450</c:v>
                </c:pt>
                <c:pt idx="3">
                  <c:v>1800</c:v>
                </c:pt>
                <c:pt idx="4">
                  <c:v>500</c:v>
                </c:pt>
                <c:pt idx="5">
                  <c:v>450</c:v>
                </c:pt>
                <c:pt idx="6">
                  <c:v>1200</c:v>
                </c:pt>
                <c:pt idx="7">
                  <c:v>600</c:v>
                </c:pt>
                <c:pt idx="8">
                  <c:v>1350</c:v>
                </c:pt>
                <c:pt idx="9">
                  <c:v>1000</c:v>
                </c:pt>
                <c:pt idx="10">
                  <c:v>200</c:v>
                </c:pt>
                <c:pt idx="11">
                  <c:v>0</c:v>
                </c:pt>
                <c:pt idx="12">
                  <c:v>1400</c:v>
                </c:pt>
                <c:pt idx="13">
                  <c:v>900</c:v>
                </c:pt>
                <c:pt idx="14">
                  <c:v>600</c:v>
                </c:pt>
                <c:pt idx="15">
                  <c:v>750</c:v>
                </c:pt>
                <c:pt idx="16">
                  <c:v>1000</c:v>
                </c:pt>
                <c:pt idx="17">
                  <c:v>200</c:v>
                </c:pt>
                <c:pt idx="18">
                  <c:v>600</c:v>
                </c:pt>
                <c:pt idx="19">
                  <c:v>1350</c:v>
                </c:pt>
                <c:pt idx="20">
                  <c:v>200</c:v>
                </c:pt>
                <c:pt idx="21">
                  <c:v>200</c:v>
                </c:pt>
                <c:pt idx="22">
                  <c:v>0</c:v>
                </c:pt>
                <c:pt idx="23">
                  <c:v>2000</c:v>
                </c:pt>
                <c:pt idx="24">
                  <c:v>1350</c:v>
                </c:pt>
                <c:pt idx="25">
                  <c:v>1400</c:v>
                </c:pt>
                <c:pt idx="26">
                  <c:v>600</c:v>
                </c:pt>
                <c:pt idx="27">
                  <c:v>750</c:v>
                </c:pt>
                <c:pt idx="28">
                  <c:v>1000</c:v>
                </c:pt>
                <c:pt idx="29">
                  <c:v>1000</c:v>
                </c:pt>
                <c:pt idx="30">
                  <c:v>1800</c:v>
                </c:pt>
                <c:pt idx="31">
                  <c:v>600</c:v>
                </c:pt>
                <c:pt idx="32">
                  <c:v>1500</c:v>
                </c:pt>
                <c:pt idx="33">
                  <c:v>750</c:v>
                </c:pt>
                <c:pt idx="34">
                  <c:v>3600</c:v>
                </c:pt>
                <c:pt idx="35">
                  <c:v>2500</c:v>
                </c:pt>
                <c:pt idx="36">
                  <c:v>2750</c:v>
                </c:pt>
                <c:pt idx="37">
                  <c:v>800</c:v>
                </c:pt>
                <c:pt idx="38">
                  <c:v>1350</c:v>
                </c:pt>
                <c:pt idx="39">
                  <c:v>1350</c:v>
                </c:pt>
                <c:pt idx="40">
                  <c:v>250</c:v>
                </c:pt>
                <c:pt idx="41">
                  <c:v>400</c:v>
                </c:pt>
                <c:pt idx="42">
                  <c:v>600</c:v>
                </c:pt>
                <c:pt idx="43">
                  <c:v>400</c:v>
                </c:pt>
                <c:pt idx="44">
                  <c:v>300</c:v>
                </c:pt>
                <c:pt idx="45">
                  <c:v>150</c:v>
                </c:pt>
                <c:pt idx="46">
                  <c:v>600</c:v>
                </c:pt>
                <c:pt idx="47">
                  <c:v>150</c:v>
                </c:pt>
                <c:pt idx="48">
                  <c:v>150</c:v>
                </c:pt>
                <c:pt idx="49">
                  <c:v>600</c:v>
                </c:pt>
                <c:pt idx="50">
                  <c:v>300</c:v>
                </c:pt>
                <c:pt idx="51">
                  <c:v>200</c:v>
                </c:pt>
                <c:pt idx="52">
                  <c:v>800</c:v>
                </c:pt>
                <c:pt idx="5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8-498D-8B50-24FBE40C2C12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'Shut-off lambda'!$A$3:$B$56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'Shut-off lambda'!$P$3:$P$56</c:f>
              <c:numCache>
                <c:formatCode>General</c:formatCode>
                <c:ptCount val="54"/>
                <c:pt idx="0">
                  <c:v>300</c:v>
                </c:pt>
                <c:pt idx="1">
                  <c:v>300</c:v>
                </c:pt>
                <c:pt idx="2">
                  <c:v>450</c:v>
                </c:pt>
                <c:pt idx="3">
                  <c:v>1800</c:v>
                </c:pt>
                <c:pt idx="4">
                  <c:v>300</c:v>
                </c:pt>
                <c:pt idx="5">
                  <c:v>450</c:v>
                </c:pt>
                <c:pt idx="6">
                  <c:v>1000</c:v>
                </c:pt>
                <c:pt idx="7">
                  <c:v>450</c:v>
                </c:pt>
                <c:pt idx="8">
                  <c:v>1350</c:v>
                </c:pt>
                <c:pt idx="9">
                  <c:v>1000</c:v>
                </c:pt>
                <c:pt idx="10">
                  <c:v>150</c:v>
                </c:pt>
                <c:pt idx="11">
                  <c:v>0</c:v>
                </c:pt>
                <c:pt idx="12">
                  <c:v>1400</c:v>
                </c:pt>
                <c:pt idx="13">
                  <c:v>750</c:v>
                </c:pt>
                <c:pt idx="14">
                  <c:v>600</c:v>
                </c:pt>
                <c:pt idx="15">
                  <c:v>750</c:v>
                </c:pt>
                <c:pt idx="16">
                  <c:v>1000</c:v>
                </c:pt>
                <c:pt idx="17">
                  <c:v>150</c:v>
                </c:pt>
                <c:pt idx="18">
                  <c:v>450</c:v>
                </c:pt>
                <c:pt idx="19">
                  <c:v>1350</c:v>
                </c:pt>
                <c:pt idx="20">
                  <c:v>150</c:v>
                </c:pt>
                <c:pt idx="21">
                  <c:v>150</c:v>
                </c:pt>
                <c:pt idx="22">
                  <c:v>0</c:v>
                </c:pt>
                <c:pt idx="23">
                  <c:v>1500</c:v>
                </c:pt>
                <c:pt idx="24">
                  <c:v>1350</c:v>
                </c:pt>
                <c:pt idx="25">
                  <c:v>1050</c:v>
                </c:pt>
                <c:pt idx="26">
                  <c:v>600</c:v>
                </c:pt>
                <c:pt idx="27">
                  <c:v>500</c:v>
                </c:pt>
                <c:pt idx="28">
                  <c:v>750</c:v>
                </c:pt>
                <c:pt idx="29">
                  <c:v>600</c:v>
                </c:pt>
                <c:pt idx="30">
                  <c:v>1800</c:v>
                </c:pt>
                <c:pt idx="31">
                  <c:v>600</c:v>
                </c:pt>
                <c:pt idx="32">
                  <c:v>1500</c:v>
                </c:pt>
                <c:pt idx="33">
                  <c:v>750</c:v>
                </c:pt>
                <c:pt idx="34">
                  <c:v>3600</c:v>
                </c:pt>
                <c:pt idx="35">
                  <c:v>1500</c:v>
                </c:pt>
                <c:pt idx="36">
                  <c:v>1650</c:v>
                </c:pt>
                <c:pt idx="37">
                  <c:v>600</c:v>
                </c:pt>
                <c:pt idx="38">
                  <c:v>1350</c:v>
                </c:pt>
                <c:pt idx="39">
                  <c:v>1350</c:v>
                </c:pt>
                <c:pt idx="40">
                  <c:v>150</c:v>
                </c:pt>
                <c:pt idx="41">
                  <c:v>300</c:v>
                </c:pt>
                <c:pt idx="42">
                  <c:v>600</c:v>
                </c:pt>
                <c:pt idx="43">
                  <c:v>300</c:v>
                </c:pt>
                <c:pt idx="44">
                  <c:v>300</c:v>
                </c:pt>
                <c:pt idx="45">
                  <c:v>150</c:v>
                </c:pt>
                <c:pt idx="46">
                  <c:v>600</c:v>
                </c:pt>
                <c:pt idx="47">
                  <c:v>150</c:v>
                </c:pt>
                <c:pt idx="48">
                  <c:v>150</c:v>
                </c:pt>
                <c:pt idx="49">
                  <c:v>600</c:v>
                </c:pt>
                <c:pt idx="50">
                  <c:v>300</c:v>
                </c:pt>
                <c:pt idx="51">
                  <c:v>200</c:v>
                </c:pt>
                <c:pt idx="52">
                  <c:v>600</c:v>
                </c:pt>
                <c:pt idx="5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8-498D-8B50-24FBE40C2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283648"/>
        <c:axId val="180301824"/>
      </c:barChart>
      <c:catAx>
        <c:axId val="180283648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80301824"/>
        <c:crosses val="autoZero"/>
        <c:auto val="1"/>
        <c:lblAlgn val="ctr"/>
        <c:lblOffset val="100"/>
        <c:noMultiLvlLbl val="0"/>
      </c:catAx>
      <c:valAx>
        <c:axId val="180301824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2836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'US-EP'!$A$3:$B$56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'US-EP'!$F$3:$F$56</c:f>
              <c:numCache>
                <c:formatCode>General</c:formatCode>
                <c:ptCount val="54"/>
                <c:pt idx="0">
                  <c:v>131.95400000000001</c:v>
                </c:pt>
                <c:pt idx="1">
                  <c:v>79.758499999999998</c:v>
                </c:pt>
                <c:pt idx="2">
                  <c:v>101.52370000000001</c:v>
                </c:pt>
                <c:pt idx="3">
                  <c:v>593.39</c:v>
                </c:pt>
                <c:pt idx="4">
                  <c:v>165.54</c:v>
                </c:pt>
                <c:pt idx="5">
                  <c:v>101.52370000000001</c:v>
                </c:pt>
                <c:pt idx="6">
                  <c:v>330.03719999999998</c:v>
                </c:pt>
                <c:pt idx="7">
                  <c:v>200.11</c:v>
                </c:pt>
                <c:pt idx="8">
                  <c:v>416.14780000000002</c:v>
                </c:pt>
                <c:pt idx="9">
                  <c:v>320.77999999999997</c:v>
                </c:pt>
                <c:pt idx="10">
                  <c:v>22.35</c:v>
                </c:pt>
                <c:pt idx="12">
                  <c:v>414.50749999999999</c:v>
                </c:pt>
                <c:pt idx="13">
                  <c:v>249.06020000000001</c:v>
                </c:pt>
                <c:pt idx="14">
                  <c:v>185.4342</c:v>
                </c:pt>
                <c:pt idx="15">
                  <c:v>213.84829999999999</c:v>
                </c:pt>
                <c:pt idx="16">
                  <c:v>320.7817</c:v>
                </c:pt>
                <c:pt idx="17">
                  <c:v>22.35</c:v>
                </c:pt>
                <c:pt idx="18">
                  <c:v>200.1122</c:v>
                </c:pt>
                <c:pt idx="19">
                  <c:v>416.14780000000002</c:v>
                </c:pt>
                <c:pt idx="20">
                  <c:v>24.103000000000002</c:v>
                </c:pt>
                <c:pt idx="21">
                  <c:v>22.35</c:v>
                </c:pt>
                <c:pt idx="23">
                  <c:v>664.51419999999996</c:v>
                </c:pt>
                <c:pt idx="24">
                  <c:v>424.66829999999999</c:v>
                </c:pt>
                <c:pt idx="25">
                  <c:v>414.50749999999999</c:v>
                </c:pt>
                <c:pt idx="26">
                  <c:v>185.4342</c:v>
                </c:pt>
                <c:pt idx="27">
                  <c:v>213.84829999999999</c:v>
                </c:pt>
                <c:pt idx="28">
                  <c:v>320.7817</c:v>
                </c:pt>
                <c:pt idx="29">
                  <c:v>277.57420000000002</c:v>
                </c:pt>
                <c:pt idx="30">
                  <c:v>593.39</c:v>
                </c:pt>
                <c:pt idx="31">
                  <c:v>185.4342</c:v>
                </c:pt>
                <c:pt idx="32">
                  <c:v>491.47570000000002</c:v>
                </c:pt>
                <c:pt idx="33">
                  <c:v>213.84829999999999</c:v>
                </c:pt>
                <c:pt idx="34">
                  <c:v>1151.328</c:v>
                </c:pt>
                <c:pt idx="35">
                  <c:v>779.52329999999995</c:v>
                </c:pt>
                <c:pt idx="36">
                  <c:v>886.15449999999998</c:v>
                </c:pt>
                <c:pt idx="37">
                  <c:v>233.80699999999999</c:v>
                </c:pt>
                <c:pt idx="38">
                  <c:v>416.14780000000002</c:v>
                </c:pt>
                <c:pt idx="39">
                  <c:v>424.66829999999999</c:v>
                </c:pt>
                <c:pt idx="40">
                  <c:v>80.336669999999998</c:v>
                </c:pt>
                <c:pt idx="41">
                  <c:v>67.241829999999993</c:v>
                </c:pt>
                <c:pt idx="42">
                  <c:v>175.91919999999999</c:v>
                </c:pt>
                <c:pt idx="43">
                  <c:v>115.1143</c:v>
                </c:pt>
                <c:pt idx="44">
                  <c:v>87.5685</c:v>
                </c:pt>
                <c:pt idx="45">
                  <c:v>46.164000000000001</c:v>
                </c:pt>
                <c:pt idx="46">
                  <c:v>175.91919999999999</c:v>
                </c:pt>
                <c:pt idx="47">
                  <c:v>46.164000000000001</c:v>
                </c:pt>
                <c:pt idx="48">
                  <c:v>46.164000000000001</c:v>
                </c:pt>
                <c:pt idx="49">
                  <c:v>136.87530000000001</c:v>
                </c:pt>
                <c:pt idx="50">
                  <c:v>87.5685</c:v>
                </c:pt>
                <c:pt idx="51">
                  <c:v>33.29833</c:v>
                </c:pt>
                <c:pt idx="52">
                  <c:v>233.80699999999999</c:v>
                </c:pt>
                <c:pt idx="53">
                  <c:v>136.87530000000001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F-4CE9-817D-68B7060FD779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'US-EP'!$A$3:$B$56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'US-EP'!$N$3:$N$56</c:f>
              <c:numCache>
                <c:formatCode>General</c:formatCode>
                <c:ptCount val="54"/>
                <c:pt idx="0">
                  <c:v>598.85</c:v>
                </c:pt>
                <c:pt idx="1">
                  <c:v>561.44000000000005</c:v>
                </c:pt>
                <c:pt idx="2">
                  <c:v>691.82</c:v>
                </c:pt>
                <c:pt idx="3">
                  <c:v>778.62</c:v>
                </c:pt>
                <c:pt idx="4">
                  <c:v>904.18</c:v>
                </c:pt>
                <c:pt idx="5">
                  <c:v>691.82</c:v>
                </c:pt>
                <c:pt idx="6">
                  <c:v>243.73500000000001</c:v>
                </c:pt>
                <c:pt idx="7">
                  <c:v>614.06500000000005</c:v>
                </c:pt>
                <c:pt idx="8">
                  <c:v>692.19500000000005</c:v>
                </c:pt>
                <c:pt idx="9">
                  <c:v>440.09</c:v>
                </c:pt>
                <c:pt idx="10">
                  <c:v>541.49</c:v>
                </c:pt>
                <c:pt idx="12">
                  <c:v>527.53499999999997</c:v>
                </c:pt>
                <c:pt idx="13">
                  <c:v>258.625</c:v>
                </c:pt>
                <c:pt idx="14">
                  <c:v>975.03499999999997</c:v>
                </c:pt>
                <c:pt idx="15">
                  <c:v>1025.3</c:v>
                </c:pt>
                <c:pt idx="16">
                  <c:v>440.09</c:v>
                </c:pt>
                <c:pt idx="17">
                  <c:v>541.49</c:v>
                </c:pt>
                <c:pt idx="18">
                  <c:v>733.18499999999995</c:v>
                </c:pt>
                <c:pt idx="19">
                  <c:v>692.19500000000005</c:v>
                </c:pt>
                <c:pt idx="20">
                  <c:v>820.63</c:v>
                </c:pt>
                <c:pt idx="21">
                  <c:v>660.63</c:v>
                </c:pt>
                <c:pt idx="23">
                  <c:v>799.22</c:v>
                </c:pt>
                <c:pt idx="24">
                  <c:v>973.76</c:v>
                </c:pt>
                <c:pt idx="25">
                  <c:v>849.47500000000002</c:v>
                </c:pt>
                <c:pt idx="26">
                  <c:v>975.03499999999997</c:v>
                </c:pt>
                <c:pt idx="27">
                  <c:v>1347.24</c:v>
                </c:pt>
                <c:pt idx="28">
                  <c:v>762.03</c:v>
                </c:pt>
                <c:pt idx="29">
                  <c:v>922.03</c:v>
                </c:pt>
                <c:pt idx="30">
                  <c:v>778.62</c:v>
                </c:pt>
                <c:pt idx="31">
                  <c:v>975.03499999999997</c:v>
                </c:pt>
                <c:pt idx="32">
                  <c:v>660.12</c:v>
                </c:pt>
                <c:pt idx="33">
                  <c:v>844.89</c:v>
                </c:pt>
                <c:pt idx="34">
                  <c:v>503.42500000000001</c:v>
                </c:pt>
                <c:pt idx="35">
                  <c:v>539.80499999999995</c:v>
                </c:pt>
                <c:pt idx="36">
                  <c:v>585.61500000000001</c:v>
                </c:pt>
                <c:pt idx="37">
                  <c:v>673.16499999999996</c:v>
                </c:pt>
                <c:pt idx="38">
                  <c:v>692.19500000000005</c:v>
                </c:pt>
                <c:pt idx="39">
                  <c:v>1033.6600000000001</c:v>
                </c:pt>
                <c:pt idx="40">
                  <c:v>811.21</c:v>
                </c:pt>
                <c:pt idx="41">
                  <c:v>607.995</c:v>
                </c:pt>
                <c:pt idx="42">
                  <c:v>1051.23</c:v>
                </c:pt>
                <c:pt idx="43">
                  <c:v>838.745</c:v>
                </c:pt>
                <c:pt idx="44">
                  <c:v>792.93499999999995</c:v>
                </c:pt>
                <c:pt idx="45">
                  <c:v>934.80499999999995</c:v>
                </c:pt>
                <c:pt idx="46">
                  <c:v>992.44500000000005</c:v>
                </c:pt>
                <c:pt idx="47">
                  <c:v>817.04499999999996</c:v>
                </c:pt>
                <c:pt idx="48">
                  <c:v>817.04499999999996</c:v>
                </c:pt>
                <c:pt idx="49">
                  <c:v>518.48</c:v>
                </c:pt>
                <c:pt idx="50">
                  <c:v>792.93499999999995</c:v>
                </c:pt>
                <c:pt idx="51">
                  <c:v>524.75</c:v>
                </c:pt>
                <c:pt idx="52">
                  <c:v>673.16499999999996</c:v>
                </c:pt>
                <c:pt idx="53">
                  <c:v>518.48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5F-4CE9-817D-68B7060FD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645184"/>
        <c:axId val="191646720"/>
      </c:barChart>
      <c:catAx>
        <c:axId val="19164518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1646720"/>
        <c:crosses val="autoZero"/>
        <c:auto val="1"/>
        <c:lblAlgn val="ctr"/>
        <c:lblOffset val="100"/>
        <c:noMultiLvlLbl val="0"/>
      </c:catAx>
      <c:valAx>
        <c:axId val="191646720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64518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'US-EP'!$Z$28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'US-EP'!$Y$29:$Y$37</c:f>
              <c:strCache>
                <c:ptCount val="9"/>
                <c:pt idx="0">
                  <c:v>F - H</c:v>
                </c:pt>
                <c:pt idx="1">
                  <c:v>DO - F</c:v>
                </c:pt>
                <c:pt idx="2">
                  <c:v>F - K</c:v>
                </c:pt>
                <c:pt idx="3">
                  <c:v>D - F</c:v>
                </c:pt>
                <c:pt idx="4">
                  <c:v>F - N</c:v>
                </c:pt>
                <c:pt idx="5">
                  <c:v>F - S</c:v>
                </c:pt>
                <c:pt idx="8">
                  <c:v>Total </c:v>
                </c:pt>
              </c:strCache>
            </c:strRef>
          </c:cat>
          <c:val>
            <c:numRef>
              <c:f>'US-EP'!$Z$29:$Z$37</c:f>
              <c:numCache>
                <c:formatCode>General</c:formatCode>
                <c:ptCount val="9"/>
                <c:pt idx="0">
                  <c:v>100</c:v>
                </c:pt>
                <c:pt idx="1">
                  <c:v>32</c:v>
                </c:pt>
                <c:pt idx="2">
                  <c:v>78</c:v>
                </c:pt>
                <c:pt idx="3">
                  <c:v>5</c:v>
                </c:pt>
                <c:pt idx="4">
                  <c:v>335</c:v>
                </c:pt>
                <c:pt idx="5">
                  <c:v>480</c:v>
                </c:pt>
                <c:pt idx="8">
                  <c:v>1030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7-40C9-A504-3ED17340DE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680896"/>
        <c:axId val="191682432"/>
      </c:barChart>
      <c:catAx>
        <c:axId val="19168089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1682432"/>
        <c:crosses val="autoZero"/>
        <c:auto val="1"/>
        <c:lblAlgn val="ctr"/>
        <c:lblOffset val="100"/>
        <c:noMultiLvlLbl val="0"/>
      </c:catAx>
      <c:valAx>
        <c:axId val="191682432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680896"/>
        <c:crosses val="autoZero"/>
        <c:crossBetween val="between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'US-UP'!$A$3:$B$56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'US-UP'!$J$3:$J$56</c:f>
              <c:numCache>
                <c:formatCode>General</c:formatCode>
                <c:ptCount val="54"/>
                <c:pt idx="0">
                  <c:v>400</c:v>
                </c:pt>
                <c:pt idx="1">
                  <c:v>400</c:v>
                </c:pt>
                <c:pt idx="2">
                  <c:v>450</c:v>
                </c:pt>
                <c:pt idx="3">
                  <c:v>1800</c:v>
                </c:pt>
                <c:pt idx="4">
                  <c:v>500</c:v>
                </c:pt>
                <c:pt idx="5">
                  <c:v>450</c:v>
                </c:pt>
                <c:pt idx="6">
                  <c:v>1200</c:v>
                </c:pt>
                <c:pt idx="7">
                  <c:v>600</c:v>
                </c:pt>
                <c:pt idx="8">
                  <c:v>1350</c:v>
                </c:pt>
                <c:pt idx="9">
                  <c:v>1000</c:v>
                </c:pt>
                <c:pt idx="10">
                  <c:v>200</c:v>
                </c:pt>
                <c:pt idx="12">
                  <c:v>1400</c:v>
                </c:pt>
                <c:pt idx="13">
                  <c:v>900</c:v>
                </c:pt>
                <c:pt idx="14">
                  <c:v>600</c:v>
                </c:pt>
                <c:pt idx="15">
                  <c:v>750</c:v>
                </c:pt>
                <c:pt idx="16">
                  <c:v>1000</c:v>
                </c:pt>
                <c:pt idx="17">
                  <c:v>200</c:v>
                </c:pt>
                <c:pt idx="18">
                  <c:v>600</c:v>
                </c:pt>
                <c:pt idx="19">
                  <c:v>1350</c:v>
                </c:pt>
                <c:pt idx="20">
                  <c:v>200</c:v>
                </c:pt>
                <c:pt idx="21">
                  <c:v>200</c:v>
                </c:pt>
                <c:pt idx="23">
                  <c:v>2000</c:v>
                </c:pt>
                <c:pt idx="24">
                  <c:v>1350</c:v>
                </c:pt>
                <c:pt idx="25">
                  <c:v>1400</c:v>
                </c:pt>
                <c:pt idx="26">
                  <c:v>600</c:v>
                </c:pt>
                <c:pt idx="27">
                  <c:v>750</c:v>
                </c:pt>
                <c:pt idx="28">
                  <c:v>1000</c:v>
                </c:pt>
                <c:pt idx="29">
                  <c:v>1000</c:v>
                </c:pt>
                <c:pt idx="30">
                  <c:v>1800</c:v>
                </c:pt>
                <c:pt idx="31">
                  <c:v>600</c:v>
                </c:pt>
                <c:pt idx="32">
                  <c:v>1500</c:v>
                </c:pt>
                <c:pt idx="33">
                  <c:v>750</c:v>
                </c:pt>
                <c:pt idx="34">
                  <c:v>3600</c:v>
                </c:pt>
                <c:pt idx="35">
                  <c:v>2500</c:v>
                </c:pt>
                <c:pt idx="36">
                  <c:v>2750</c:v>
                </c:pt>
                <c:pt idx="37">
                  <c:v>800</c:v>
                </c:pt>
                <c:pt idx="38">
                  <c:v>1350</c:v>
                </c:pt>
                <c:pt idx="39">
                  <c:v>1350</c:v>
                </c:pt>
                <c:pt idx="40">
                  <c:v>250</c:v>
                </c:pt>
                <c:pt idx="41">
                  <c:v>400</c:v>
                </c:pt>
                <c:pt idx="42">
                  <c:v>600</c:v>
                </c:pt>
                <c:pt idx="43">
                  <c:v>400</c:v>
                </c:pt>
                <c:pt idx="44">
                  <c:v>300</c:v>
                </c:pt>
                <c:pt idx="45">
                  <c:v>150</c:v>
                </c:pt>
                <c:pt idx="46">
                  <c:v>600</c:v>
                </c:pt>
                <c:pt idx="47">
                  <c:v>150</c:v>
                </c:pt>
                <c:pt idx="48">
                  <c:v>150</c:v>
                </c:pt>
                <c:pt idx="49">
                  <c:v>600</c:v>
                </c:pt>
                <c:pt idx="50">
                  <c:v>300</c:v>
                </c:pt>
                <c:pt idx="51">
                  <c:v>200</c:v>
                </c:pt>
                <c:pt idx="52">
                  <c:v>800</c:v>
                </c:pt>
                <c:pt idx="5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D-4263-9933-685AFC25B539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'US-UP'!$A$3:$B$56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'US-UP'!$R$3:$R$56</c:f>
              <c:numCache>
                <c:formatCode>General</c:formatCode>
                <c:ptCount val="54"/>
                <c:pt idx="0">
                  <c:v>329.88499999999999</c:v>
                </c:pt>
                <c:pt idx="1">
                  <c:v>199.39625000000001</c:v>
                </c:pt>
                <c:pt idx="2">
                  <c:v>253.80925000000002</c:v>
                </c:pt>
                <c:pt idx="3">
                  <c:v>1483.4749999999999</c:v>
                </c:pt>
                <c:pt idx="4">
                  <c:v>413.84999999999997</c:v>
                </c:pt>
                <c:pt idx="5">
                  <c:v>253.80925000000002</c:v>
                </c:pt>
                <c:pt idx="6">
                  <c:v>825.09299999999996</c:v>
                </c:pt>
                <c:pt idx="7">
                  <c:v>500.27500000000003</c:v>
                </c:pt>
                <c:pt idx="8">
                  <c:v>1040.3695</c:v>
                </c:pt>
                <c:pt idx="9">
                  <c:v>801.94999999999993</c:v>
                </c:pt>
                <c:pt idx="10">
                  <c:v>55.875</c:v>
                </c:pt>
                <c:pt idx="11">
                  <c:v>0</c:v>
                </c:pt>
                <c:pt idx="12">
                  <c:v>1036.26875</c:v>
                </c:pt>
                <c:pt idx="13">
                  <c:v>622.65049999999997</c:v>
                </c:pt>
                <c:pt idx="14">
                  <c:v>463.58550000000002</c:v>
                </c:pt>
                <c:pt idx="15">
                  <c:v>534.62075000000004</c:v>
                </c:pt>
                <c:pt idx="16">
                  <c:v>801.95425</c:v>
                </c:pt>
                <c:pt idx="17">
                  <c:v>55.875</c:v>
                </c:pt>
                <c:pt idx="18">
                  <c:v>500.28050000000002</c:v>
                </c:pt>
                <c:pt idx="19">
                  <c:v>1040.3695</c:v>
                </c:pt>
                <c:pt idx="20">
                  <c:v>60.257500000000007</c:v>
                </c:pt>
                <c:pt idx="21">
                  <c:v>55.875</c:v>
                </c:pt>
                <c:pt idx="22">
                  <c:v>0</c:v>
                </c:pt>
                <c:pt idx="23">
                  <c:v>1661.2855</c:v>
                </c:pt>
                <c:pt idx="24">
                  <c:v>1061.67075</c:v>
                </c:pt>
                <c:pt idx="25">
                  <c:v>1036.26875</c:v>
                </c:pt>
                <c:pt idx="26">
                  <c:v>463.58550000000002</c:v>
                </c:pt>
                <c:pt idx="27">
                  <c:v>534.62075000000004</c:v>
                </c:pt>
                <c:pt idx="28">
                  <c:v>801.95425</c:v>
                </c:pt>
                <c:pt idx="29">
                  <c:v>693.93550000000005</c:v>
                </c:pt>
                <c:pt idx="30">
                  <c:v>1483.4749999999999</c:v>
                </c:pt>
                <c:pt idx="31">
                  <c:v>463.58550000000002</c:v>
                </c:pt>
                <c:pt idx="32">
                  <c:v>1228.6892500000001</c:v>
                </c:pt>
                <c:pt idx="33">
                  <c:v>534.62075000000004</c:v>
                </c:pt>
                <c:pt idx="34">
                  <c:v>2878.3199999999997</c:v>
                </c:pt>
                <c:pt idx="35">
                  <c:v>1948.8082499999998</c:v>
                </c:pt>
                <c:pt idx="36">
                  <c:v>2215.38625</c:v>
                </c:pt>
                <c:pt idx="37">
                  <c:v>584.51749999999993</c:v>
                </c:pt>
                <c:pt idx="38">
                  <c:v>1040.3695</c:v>
                </c:pt>
                <c:pt idx="39">
                  <c:v>1061.67075</c:v>
                </c:pt>
                <c:pt idx="40">
                  <c:v>200.84167500000001</c:v>
                </c:pt>
                <c:pt idx="41">
                  <c:v>168.10457499999998</c:v>
                </c:pt>
                <c:pt idx="42">
                  <c:v>439.798</c:v>
                </c:pt>
                <c:pt idx="43">
                  <c:v>287.78575000000001</c:v>
                </c:pt>
                <c:pt idx="44">
                  <c:v>218.92124999999999</c:v>
                </c:pt>
                <c:pt idx="45">
                  <c:v>115.41</c:v>
                </c:pt>
                <c:pt idx="46">
                  <c:v>439.798</c:v>
                </c:pt>
                <c:pt idx="47">
                  <c:v>115.41</c:v>
                </c:pt>
                <c:pt idx="48">
                  <c:v>115.41</c:v>
                </c:pt>
                <c:pt idx="49">
                  <c:v>342.18825000000004</c:v>
                </c:pt>
                <c:pt idx="50">
                  <c:v>218.92124999999999</c:v>
                </c:pt>
                <c:pt idx="51">
                  <c:v>83.245824999999996</c:v>
                </c:pt>
                <c:pt idx="52">
                  <c:v>584.51749999999993</c:v>
                </c:pt>
                <c:pt idx="53">
                  <c:v>342.18825000000004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D-4263-9933-685AFC25B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787008"/>
        <c:axId val="191788544"/>
      </c:barChart>
      <c:catAx>
        <c:axId val="191787008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1788544"/>
        <c:crosses val="autoZero"/>
        <c:auto val="1"/>
        <c:lblAlgn val="ctr"/>
        <c:lblOffset val="100"/>
        <c:noMultiLvlLbl val="0"/>
      </c:catAx>
      <c:valAx>
        <c:axId val="191788544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7870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'US-UP'!$A$3:$B$56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'US-UP'!$F$3:$F$56</c:f>
              <c:numCache>
                <c:formatCode>General</c:formatCode>
                <c:ptCount val="54"/>
                <c:pt idx="0">
                  <c:v>131.95400000000001</c:v>
                </c:pt>
                <c:pt idx="1">
                  <c:v>79.758499999999998</c:v>
                </c:pt>
                <c:pt idx="2">
                  <c:v>101.52370000000001</c:v>
                </c:pt>
                <c:pt idx="3">
                  <c:v>593.39</c:v>
                </c:pt>
                <c:pt idx="4">
                  <c:v>165.54</c:v>
                </c:pt>
                <c:pt idx="5">
                  <c:v>101.52370000000001</c:v>
                </c:pt>
                <c:pt idx="6">
                  <c:v>330.03719999999998</c:v>
                </c:pt>
                <c:pt idx="7">
                  <c:v>200.11</c:v>
                </c:pt>
                <c:pt idx="8">
                  <c:v>416.14780000000002</c:v>
                </c:pt>
                <c:pt idx="9">
                  <c:v>320.77999999999997</c:v>
                </c:pt>
                <c:pt idx="10">
                  <c:v>22.35</c:v>
                </c:pt>
                <c:pt idx="12">
                  <c:v>414.50749999999999</c:v>
                </c:pt>
                <c:pt idx="13">
                  <c:v>249.06020000000001</c:v>
                </c:pt>
                <c:pt idx="14">
                  <c:v>185.4342</c:v>
                </c:pt>
                <c:pt idx="15">
                  <c:v>213.84829999999999</c:v>
                </c:pt>
                <c:pt idx="16">
                  <c:v>320.7817</c:v>
                </c:pt>
                <c:pt idx="17">
                  <c:v>22.35</c:v>
                </c:pt>
                <c:pt idx="18">
                  <c:v>200.1122</c:v>
                </c:pt>
                <c:pt idx="19">
                  <c:v>416.14780000000002</c:v>
                </c:pt>
                <c:pt idx="20">
                  <c:v>24.103000000000002</c:v>
                </c:pt>
                <c:pt idx="21">
                  <c:v>22.35</c:v>
                </c:pt>
                <c:pt idx="23">
                  <c:v>664.51419999999996</c:v>
                </c:pt>
                <c:pt idx="24">
                  <c:v>424.66829999999999</c:v>
                </c:pt>
                <c:pt idx="25">
                  <c:v>414.50749999999999</c:v>
                </c:pt>
                <c:pt idx="26">
                  <c:v>185.4342</c:v>
                </c:pt>
                <c:pt idx="27">
                  <c:v>213.84829999999999</c:v>
                </c:pt>
                <c:pt idx="28">
                  <c:v>320.7817</c:v>
                </c:pt>
                <c:pt idx="29">
                  <c:v>277.57420000000002</c:v>
                </c:pt>
                <c:pt idx="30">
                  <c:v>593.39</c:v>
                </c:pt>
                <c:pt idx="31">
                  <c:v>185.4342</c:v>
                </c:pt>
                <c:pt idx="32">
                  <c:v>491.47570000000002</c:v>
                </c:pt>
                <c:pt idx="33">
                  <c:v>213.84829999999999</c:v>
                </c:pt>
                <c:pt idx="34">
                  <c:v>1151.328</c:v>
                </c:pt>
                <c:pt idx="35">
                  <c:v>779.52329999999995</c:v>
                </c:pt>
                <c:pt idx="36">
                  <c:v>886.15449999999998</c:v>
                </c:pt>
                <c:pt idx="37">
                  <c:v>233.80699999999999</c:v>
                </c:pt>
                <c:pt idx="38">
                  <c:v>416.14780000000002</c:v>
                </c:pt>
                <c:pt idx="39">
                  <c:v>424.66829999999999</c:v>
                </c:pt>
                <c:pt idx="40">
                  <c:v>80.336669999999998</c:v>
                </c:pt>
                <c:pt idx="41">
                  <c:v>67.241829999999993</c:v>
                </c:pt>
                <c:pt idx="42">
                  <c:v>175.91919999999999</c:v>
                </c:pt>
                <c:pt idx="43">
                  <c:v>115.1143</c:v>
                </c:pt>
                <c:pt idx="44">
                  <c:v>87.5685</c:v>
                </c:pt>
                <c:pt idx="45">
                  <c:v>46.164000000000001</c:v>
                </c:pt>
                <c:pt idx="46">
                  <c:v>175.91919999999999</c:v>
                </c:pt>
                <c:pt idx="47">
                  <c:v>46.164000000000001</c:v>
                </c:pt>
                <c:pt idx="48">
                  <c:v>46.164000000000001</c:v>
                </c:pt>
                <c:pt idx="49">
                  <c:v>136.87530000000001</c:v>
                </c:pt>
                <c:pt idx="50">
                  <c:v>87.5685</c:v>
                </c:pt>
                <c:pt idx="51">
                  <c:v>33.29833</c:v>
                </c:pt>
                <c:pt idx="52">
                  <c:v>233.80699999999999</c:v>
                </c:pt>
                <c:pt idx="53">
                  <c:v>136.87530000000001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B-46B0-8BE9-D84DDC80284C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'US-UP'!$A$3:$B$56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'US-UP'!$N$3:$N$56</c:f>
              <c:numCache>
                <c:formatCode>General</c:formatCode>
                <c:ptCount val="54"/>
                <c:pt idx="0">
                  <c:v>598.85</c:v>
                </c:pt>
                <c:pt idx="1">
                  <c:v>561.44000000000005</c:v>
                </c:pt>
                <c:pt idx="2">
                  <c:v>691.82</c:v>
                </c:pt>
                <c:pt idx="3">
                  <c:v>778.62</c:v>
                </c:pt>
                <c:pt idx="4">
                  <c:v>904.18</c:v>
                </c:pt>
                <c:pt idx="5">
                  <c:v>691.82</c:v>
                </c:pt>
                <c:pt idx="6">
                  <c:v>243.73500000000001</c:v>
                </c:pt>
                <c:pt idx="7">
                  <c:v>614.06500000000005</c:v>
                </c:pt>
                <c:pt idx="8">
                  <c:v>692.19500000000005</c:v>
                </c:pt>
                <c:pt idx="9">
                  <c:v>440.09</c:v>
                </c:pt>
                <c:pt idx="10">
                  <c:v>541.49</c:v>
                </c:pt>
                <c:pt idx="12">
                  <c:v>527.53499999999997</c:v>
                </c:pt>
                <c:pt idx="13">
                  <c:v>258.625</c:v>
                </c:pt>
                <c:pt idx="14">
                  <c:v>975.03499999999997</c:v>
                </c:pt>
                <c:pt idx="15">
                  <c:v>1025.3</c:v>
                </c:pt>
                <c:pt idx="16">
                  <c:v>440.09</c:v>
                </c:pt>
                <c:pt idx="17">
                  <c:v>541.49</c:v>
                </c:pt>
                <c:pt idx="18">
                  <c:v>733.18499999999995</c:v>
                </c:pt>
                <c:pt idx="19">
                  <c:v>692.19500000000005</c:v>
                </c:pt>
                <c:pt idx="20">
                  <c:v>820.63</c:v>
                </c:pt>
                <c:pt idx="21">
                  <c:v>660.63</c:v>
                </c:pt>
                <c:pt idx="23">
                  <c:v>799.22</c:v>
                </c:pt>
                <c:pt idx="24">
                  <c:v>973.76</c:v>
                </c:pt>
                <c:pt idx="25">
                  <c:v>849.47500000000002</c:v>
                </c:pt>
                <c:pt idx="26">
                  <c:v>975.03499999999997</c:v>
                </c:pt>
                <c:pt idx="27">
                  <c:v>1347.24</c:v>
                </c:pt>
                <c:pt idx="28">
                  <c:v>762.03</c:v>
                </c:pt>
                <c:pt idx="29">
                  <c:v>922.03</c:v>
                </c:pt>
                <c:pt idx="30">
                  <c:v>778.62</c:v>
                </c:pt>
                <c:pt idx="31">
                  <c:v>975.03499999999997</c:v>
                </c:pt>
                <c:pt idx="32">
                  <c:v>660.12</c:v>
                </c:pt>
                <c:pt idx="33">
                  <c:v>844.89</c:v>
                </c:pt>
                <c:pt idx="34">
                  <c:v>503.42500000000001</c:v>
                </c:pt>
                <c:pt idx="35">
                  <c:v>539.80499999999995</c:v>
                </c:pt>
                <c:pt idx="36">
                  <c:v>585.61500000000001</c:v>
                </c:pt>
                <c:pt idx="37">
                  <c:v>673.16499999999996</c:v>
                </c:pt>
                <c:pt idx="38">
                  <c:v>692.19500000000005</c:v>
                </c:pt>
                <c:pt idx="39">
                  <c:v>1033.6600000000001</c:v>
                </c:pt>
                <c:pt idx="40">
                  <c:v>811.21</c:v>
                </c:pt>
                <c:pt idx="41">
                  <c:v>607.995</c:v>
                </c:pt>
                <c:pt idx="42">
                  <c:v>1051.23</c:v>
                </c:pt>
                <c:pt idx="43">
                  <c:v>838.745</c:v>
                </c:pt>
                <c:pt idx="44">
                  <c:v>792.93499999999995</c:v>
                </c:pt>
                <c:pt idx="45">
                  <c:v>934.80499999999995</c:v>
                </c:pt>
                <c:pt idx="46">
                  <c:v>992.44500000000005</c:v>
                </c:pt>
                <c:pt idx="47">
                  <c:v>817.04499999999996</c:v>
                </c:pt>
                <c:pt idx="48">
                  <c:v>817.04499999999996</c:v>
                </c:pt>
                <c:pt idx="49">
                  <c:v>518.48</c:v>
                </c:pt>
                <c:pt idx="50">
                  <c:v>792.93499999999995</c:v>
                </c:pt>
                <c:pt idx="51">
                  <c:v>524.75</c:v>
                </c:pt>
                <c:pt idx="52">
                  <c:v>673.16499999999996</c:v>
                </c:pt>
                <c:pt idx="53">
                  <c:v>518.48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9B-46B0-8BE9-D84DDC802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564416"/>
        <c:axId val="191566208"/>
      </c:barChart>
      <c:catAx>
        <c:axId val="19156441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1566208"/>
        <c:crosses val="autoZero"/>
        <c:auto val="1"/>
        <c:lblAlgn val="ctr"/>
        <c:lblOffset val="100"/>
        <c:noMultiLvlLbl val="0"/>
      </c:catAx>
      <c:valAx>
        <c:axId val="191566208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56441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'US-UP'!$Z$28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'US-UP'!$Y$29:$Y$34</c:f>
              <c:strCache>
                <c:ptCount val="6"/>
                <c:pt idx="0">
                  <c:v>F - N</c:v>
                </c:pt>
                <c:pt idx="1">
                  <c:v>L - N</c:v>
                </c:pt>
                <c:pt idx="2">
                  <c:v>F - S</c:v>
                </c:pt>
                <c:pt idx="3">
                  <c:v>L - S</c:v>
                </c:pt>
                <c:pt idx="5">
                  <c:v>Total </c:v>
                </c:pt>
              </c:strCache>
            </c:strRef>
          </c:cat>
          <c:val>
            <c:numRef>
              <c:f>'US-UP'!$Z$29:$Z$34</c:f>
              <c:numCache>
                <c:formatCode>General</c:formatCode>
                <c:ptCount val="6"/>
                <c:pt idx="0">
                  <c:v>160</c:v>
                </c:pt>
                <c:pt idx="1">
                  <c:v>65</c:v>
                </c:pt>
                <c:pt idx="2">
                  <c:v>280</c:v>
                </c:pt>
                <c:pt idx="3">
                  <c:v>65</c:v>
                </c:pt>
                <c:pt idx="5">
                  <c:v>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1-4F69-B2FF-3436E7CD5C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612416"/>
        <c:axId val="191613952"/>
      </c:barChart>
      <c:catAx>
        <c:axId val="19161241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1613952"/>
        <c:crosses val="autoZero"/>
        <c:auto val="1"/>
        <c:lblAlgn val="ctr"/>
        <c:lblOffset val="100"/>
        <c:noMultiLvlLbl val="0"/>
      </c:catAx>
      <c:valAx>
        <c:axId val="191613952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612416"/>
        <c:crosses val="autoZero"/>
        <c:crossBetween val="between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US!$A$3:$B$56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US!$J$3:$J$56</c:f>
              <c:numCache>
                <c:formatCode>General</c:formatCode>
                <c:ptCount val="54"/>
                <c:pt idx="0">
                  <c:v>400</c:v>
                </c:pt>
                <c:pt idx="1">
                  <c:v>400</c:v>
                </c:pt>
                <c:pt idx="2">
                  <c:v>450</c:v>
                </c:pt>
                <c:pt idx="3">
                  <c:v>1800</c:v>
                </c:pt>
                <c:pt idx="4">
                  <c:v>500</c:v>
                </c:pt>
                <c:pt idx="5">
                  <c:v>450</c:v>
                </c:pt>
                <c:pt idx="6">
                  <c:v>1200</c:v>
                </c:pt>
                <c:pt idx="7">
                  <c:v>600</c:v>
                </c:pt>
                <c:pt idx="8">
                  <c:v>1350</c:v>
                </c:pt>
                <c:pt idx="9">
                  <c:v>1000</c:v>
                </c:pt>
                <c:pt idx="10">
                  <c:v>200</c:v>
                </c:pt>
                <c:pt idx="12">
                  <c:v>1400</c:v>
                </c:pt>
                <c:pt idx="13">
                  <c:v>900</c:v>
                </c:pt>
                <c:pt idx="14">
                  <c:v>600</c:v>
                </c:pt>
                <c:pt idx="15">
                  <c:v>750</c:v>
                </c:pt>
                <c:pt idx="16">
                  <c:v>1000</c:v>
                </c:pt>
                <c:pt idx="17">
                  <c:v>200</c:v>
                </c:pt>
                <c:pt idx="18">
                  <c:v>600</c:v>
                </c:pt>
                <c:pt idx="19">
                  <c:v>1350</c:v>
                </c:pt>
                <c:pt idx="20">
                  <c:v>200</c:v>
                </c:pt>
                <c:pt idx="21">
                  <c:v>200</c:v>
                </c:pt>
                <c:pt idx="23">
                  <c:v>2000</c:v>
                </c:pt>
                <c:pt idx="24">
                  <c:v>1350</c:v>
                </c:pt>
                <c:pt idx="25">
                  <c:v>1400</c:v>
                </c:pt>
                <c:pt idx="26">
                  <c:v>600</c:v>
                </c:pt>
                <c:pt idx="27">
                  <c:v>750</c:v>
                </c:pt>
                <c:pt idx="28">
                  <c:v>1000</c:v>
                </c:pt>
                <c:pt idx="29">
                  <c:v>1000</c:v>
                </c:pt>
                <c:pt idx="30">
                  <c:v>1800</c:v>
                </c:pt>
                <c:pt idx="31">
                  <c:v>600</c:v>
                </c:pt>
                <c:pt idx="32">
                  <c:v>1500</c:v>
                </c:pt>
                <c:pt idx="33">
                  <c:v>750</c:v>
                </c:pt>
                <c:pt idx="34">
                  <c:v>3600</c:v>
                </c:pt>
                <c:pt idx="35">
                  <c:v>2500</c:v>
                </c:pt>
                <c:pt idx="36">
                  <c:v>2750</c:v>
                </c:pt>
                <c:pt idx="37">
                  <c:v>800</c:v>
                </c:pt>
                <c:pt idx="38">
                  <c:v>1350</c:v>
                </c:pt>
                <c:pt idx="39">
                  <c:v>1350</c:v>
                </c:pt>
                <c:pt idx="40">
                  <c:v>250</c:v>
                </c:pt>
                <c:pt idx="41">
                  <c:v>400</c:v>
                </c:pt>
                <c:pt idx="42">
                  <c:v>600</c:v>
                </c:pt>
                <c:pt idx="43">
                  <c:v>400</c:v>
                </c:pt>
                <c:pt idx="44">
                  <c:v>300</c:v>
                </c:pt>
                <c:pt idx="45">
                  <c:v>150</c:v>
                </c:pt>
                <c:pt idx="46">
                  <c:v>600</c:v>
                </c:pt>
                <c:pt idx="47">
                  <c:v>150</c:v>
                </c:pt>
                <c:pt idx="48">
                  <c:v>150</c:v>
                </c:pt>
                <c:pt idx="49">
                  <c:v>600</c:v>
                </c:pt>
                <c:pt idx="50">
                  <c:v>300</c:v>
                </c:pt>
                <c:pt idx="51">
                  <c:v>200</c:v>
                </c:pt>
                <c:pt idx="52">
                  <c:v>800</c:v>
                </c:pt>
                <c:pt idx="5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5-4588-BACC-97EB32A9BCA8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US!$A$3:$B$56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US!$R$3:$R$56</c:f>
              <c:numCache>
                <c:formatCode>General</c:formatCode>
                <c:ptCount val="54"/>
                <c:pt idx="0">
                  <c:v>329.88499999999999</c:v>
                </c:pt>
                <c:pt idx="1">
                  <c:v>199.39625000000001</c:v>
                </c:pt>
                <c:pt idx="2">
                  <c:v>253.80925000000002</c:v>
                </c:pt>
                <c:pt idx="3">
                  <c:v>1483.4749999999999</c:v>
                </c:pt>
                <c:pt idx="4">
                  <c:v>413.84999999999997</c:v>
                </c:pt>
                <c:pt idx="5">
                  <c:v>253.80925000000002</c:v>
                </c:pt>
                <c:pt idx="6">
                  <c:v>825.09299999999996</c:v>
                </c:pt>
                <c:pt idx="7">
                  <c:v>500.27500000000003</c:v>
                </c:pt>
                <c:pt idx="8">
                  <c:v>1040.3695</c:v>
                </c:pt>
                <c:pt idx="9">
                  <c:v>801.94999999999993</c:v>
                </c:pt>
                <c:pt idx="10">
                  <c:v>55.875</c:v>
                </c:pt>
                <c:pt idx="11">
                  <c:v>0</c:v>
                </c:pt>
                <c:pt idx="12">
                  <c:v>1036.26875</c:v>
                </c:pt>
                <c:pt idx="13">
                  <c:v>622.65049999999997</c:v>
                </c:pt>
                <c:pt idx="14">
                  <c:v>463.58550000000002</c:v>
                </c:pt>
                <c:pt idx="15">
                  <c:v>534.62075000000004</c:v>
                </c:pt>
                <c:pt idx="16">
                  <c:v>801.95425</c:v>
                </c:pt>
                <c:pt idx="17">
                  <c:v>55.875</c:v>
                </c:pt>
                <c:pt idx="18">
                  <c:v>500.28050000000002</c:v>
                </c:pt>
                <c:pt idx="19">
                  <c:v>1040.3695</c:v>
                </c:pt>
                <c:pt idx="20">
                  <c:v>60.257500000000007</c:v>
                </c:pt>
                <c:pt idx="21">
                  <c:v>55.875</c:v>
                </c:pt>
                <c:pt idx="22">
                  <c:v>0</c:v>
                </c:pt>
                <c:pt idx="23">
                  <c:v>1661.2855</c:v>
                </c:pt>
                <c:pt idx="24">
                  <c:v>1061.67075</c:v>
                </c:pt>
                <c:pt idx="25">
                  <c:v>1036.26875</c:v>
                </c:pt>
                <c:pt idx="26">
                  <c:v>463.58550000000002</c:v>
                </c:pt>
                <c:pt idx="27">
                  <c:v>534.62075000000004</c:v>
                </c:pt>
                <c:pt idx="28">
                  <c:v>801.95425</c:v>
                </c:pt>
                <c:pt idx="29">
                  <c:v>693.93550000000005</c:v>
                </c:pt>
                <c:pt idx="30">
                  <c:v>1483.4749999999999</c:v>
                </c:pt>
                <c:pt idx="31">
                  <c:v>463.58550000000002</c:v>
                </c:pt>
                <c:pt idx="32">
                  <c:v>1228.6892500000001</c:v>
                </c:pt>
                <c:pt idx="33">
                  <c:v>534.62075000000004</c:v>
                </c:pt>
                <c:pt idx="34">
                  <c:v>2878.3199999999997</c:v>
                </c:pt>
                <c:pt idx="35">
                  <c:v>1948.8082499999998</c:v>
                </c:pt>
                <c:pt idx="36">
                  <c:v>2215.38625</c:v>
                </c:pt>
                <c:pt idx="37">
                  <c:v>584.51749999999993</c:v>
                </c:pt>
                <c:pt idx="38">
                  <c:v>1040.3695</c:v>
                </c:pt>
                <c:pt idx="39">
                  <c:v>1061.67075</c:v>
                </c:pt>
                <c:pt idx="40">
                  <c:v>200.84167500000001</c:v>
                </c:pt>
                <c:pt idx="41">
                  <c:v>168.10457499999998</c:v>
                </c:pt>
                <c:pt idx="42">
                  <c:v>439.798</c:v>
                </c:pt>
                <c:pt idx="43">
                  <c:v>287.78575000000001</c:v>
                </c:pt>
                <c:pt idx="44">
                  <c:v>218.92124999999999</c:v>
                </c:pt>
                <c:pt idx="45">
                  <c:v>115.41</c:v>
                </c:pt>
                <c:pt idx="46">
                  <c:v>439.798</c:v>
                </c:pt>
                <c:pt idx="47">
                  <c:v>115.41</c:v>
                </c:pt>
                <c:pt idx="48">
                  <c:v>115.41</c:v>
                </c:pt>
                <c:pt idx="49">
                  <c:v>342.18825000000004</c:v>
                </c:pt>
                <c:pt idx="50">
                  <c:v>218.92124999999999</c:v>
                </c:pt>
                <c:pt idx="51">
                  <c:v>83.245824999999996</c:v>
                </c:pt>
                <c:pt idx="52">
                  <c:v>584.51749999999993</c:v>
                </c:pt>
                <c:pt idx="53">
                  <c:v>342.18825000000004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5-4588-BACC-97EB32A9B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74176"/>
        <c:axId val="191875712"/>
      </c:barChart>
      <c:catAx>
        <c:axId val="19187417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1875712"/>
        <c:crosses val="autoZero"/>
        <c:auto val="1"/>
        <c:lblAlgn val="ctr"/>
        <c:lblOffset val="100"/>
        <c:noMultiLvlLbl val="0"/>
      </c:catAx>
      <c:valAx>
        <c:axId val="191875712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87417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US!$A$3:$B$56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US!$F$3:$F$56</c:f>
              <c:numCache>
                <c:formatCode>General</c:formatCode>
                <c:ptCount val="54"/>
                <c:pt idx="0">
                  <c:v>131.95400000000001</c:v>
                </c:pt>
                <c:pt idx="1">
                  <c:v>79.758499999999998</c:v>
                </c:pt>
                <c:pt idx="2">
                  <c:v>101.52370000000001</c:v>
                </c:pt>
                <c:pt idx="3">
                  <c:v>593.39</c:v>
                </c:pt>
                <c:pt idx="4">
                  <c:v>165.54</c:v>
                </c:pt>
                <c:pt idx="5">
                  <c:v>101.52370000000001</c:v>
                </c:pt>
                <c:pt idx="6">
                  <c:v>330.03719999999998</c:v>
                </c:pt>
                <c:pt idx="7">
                  <c:v>200.11</c:v>
                </c:pt>
                <c:pt idx="8">
                  <c:v>416.14780000000002</c:v>
                </c:pt>
                <c:pt idx="9">
                  <c:v>320.77999999999997</c:v>
                </c:pt>
                <c:pt idx="10">
                  <c:v>22.35</c:v>
                </c:pt>
                <c:pt idx="12">
                  <c:v>414.50749999999999</c:v>
                </c:pt>
                <c:pt idx="13">
                  <c:v>249.06020000000001</c:v>
                </c:pt>
                <c:pt idx="14">
                  <c:v>185.4342</c:v>
                </c:pt>
                <c:pt idx="15">
                  <c:v>213.84829999999999</c:v>
                </c:pt>
                <c:pt idx="16">
                  <c:v>320.7817</c:v>
                </c:pt>
                <c:pt idx="17">
                  <c:v>22.35</c:v>
                </c:pt>
                <c:pt idx="18">
                  <c:v>200.1122</c:v>
                </c:pt>
                <c:pt idx="19">
                  <c:v>416.14780000000002</c:v>
                </c:pt>
                <c:pt idx="20">
                  <c:v>24.103000000000002</c:v>
                </c:pt>
                <c:pt idx="21">
                  <c:v>22.35</c:v>
                </c:pt>
                <c:pt idx="23">
                  <c:v>664.51419999999996</c:v>
                </c:pt>
                <c:pt idx="24">
                  <c:v>424.66829999999999</c:v>
                </c:pt>
                <c:pt idx="25">
                  <c:v>414.50749999999999</c:v>
                </c:pt>
                <c:pt idx="26">
                  <c:v>185.4342</c:v>
                </c:pt>
                <c:pt idx="27">
                  <c:v>213.84829999999999</c:v>
                </c:pt>
                <c:pt idx="28">
                  <c:v>320.7817</c:v>
                </c:pt>
                <c:pt idx="29">
                  <c:v>277.57420000000002</c:v>
                </c:pt>
                <c:pt idx="30">
                  <c:v>593.39</c:v>
                </c:pt>
                <c:pt idx="31">
                  <c:v>185.4342</c:v>
                </c:pt>
                <c:pt idx="32">
                  <c:v>491.47570000000002</c:v>
                </c:pt>
                <c:pt idx="33">
                  <c:v>213.84829999999999</c:v>
                </c:pt>
                <c:pt idx="34">
                  <c:v>1151.328</c:v>
                </c:pt>
                <c:pt idx="35">
                  <c:v>779.52329999999995</c:v>
                </c:pt>
                <c:pt idx="36">
                  <c:v>886.15449999999998</c:v>
                </c:pt>
                <c:pt idx="37">
                  <c:v>233.80699999999999</c:v>
                </c:pt>
                <c:pt idx="38">
                  <c:v>416.14780000000002</c:v>
                </c:pt>
                <c:pt idx="39">
                  <c:v>424.66829999999999</c:v>
                </c:pt>
                <c:pt idx="40">
                  <c:v>80.336669999999998</c:v>
                </c:pt>
                <c:pt idx="41">
                  <c:v>67.241829999999993</c:v>
                </c:pt>
                <c:pt idx="42">
                  <c:v>175.91919999999999</c:v>
                </c:pt>
                <c:pt idx="43">
                  <c:v>115.1143</c:v>
                </c:pt>
                <c:pt idx="44">
                  <c:v>87.5685</c:v>
                </c:pt>
                <c:pt idx="45">
                  <c:v>46.164000000000001</c:v>
                </c:pt>
                <c:pt idx="46">
                  <c:v>175.91919999999999</c:v>
                </c:pt>
                <c:pt idx="47">
                  <c:v>46.164000000000001</c:v>
                </c:pt>
                <c:pt idx="48">
                  <c:v>46.164000000000001</c:v>
                </c:pt>
                <c:pt idx="49">
                  <c:v>136.87530000000001</c:v>
                </c:pt>
                <c:pt idx="50">
                  <c:v>87.5685</c:v>
                </c:pt>
                <c:pt idx="51">
                  <c:v>33.29833</c:v>
                </c:pt>
                <c:pt idx="52">
                  <c:v>233.80699999999999</c:v>
                </c:pt>
                <c:pt idx="53">
                  <c:v>136.87530000000001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3-4246-AE9B-2D4E340ACD09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US!$A$3:$B$56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US!$N$3:$N$56</c:f>
              <c:numCache>
                <c:formatCode>General</c:formatCode>
                <c:ptCount val="54"/>
                <c:pt idx="0">
                  <c:v>598.85</c:v>
                </c:pt>
                <c:pt idx="1">
                  <c:v>561.44000000000005</c:v>
                </c:pt>
                <c:pt idx="2">
                  <c:v>691.82</c:v>
                </c:pt>
                <c:pt idx="3">
                  <c:v>778.62</c:v>
                </c:pt>
                <c:pt idx="4">
                  <c:v>904.18</c:v>
                </c:pt>
                <c:pt idx="5">
                  <c:v>691.82</c:v>
                </c:pt>
                <c:pt idx="6">
                  <c:v>243.73500000000001</c:v>
                </c:pt>
                <c:pt idx="7">
                  <c:v>614.06500000000005</c:v>
                </c:pt>
                <c:pt idx="8">
                  <c:v>692.19500000000005</c:v>
                </c:pt>
                <c:pt idx="9">
                  <c:v>440.09</c:v>
                </c:pt>
                <c:pt idx="10">
                  <c:v>541.49</c:v>
                </c:pt>
                <c:pt idx="12">
                  <c:v>527.53499999999997</c:v>
                </c:pt>
                <c:pt idx="13">
                  <c:v>258.625</c:v>
                </c:pt>
                <c:pt idx="14">
                  <c:v>975.03499999999997</c:v>
                </c:pt>
                <c:pt idx="15">
                  <c:v>1025.3</c:v>
                </c:pt>
                <c:pt idx="16">
                  <c:v>440.09</c:v>
                </c:pt>
                <c:pt idx="17">
                  <c:v>541.49</c:v>
                </c:pt>
                <c:pt idx="18">
                  <c:v>733.18499999999995</c:v>
                </c:pt>
                <c:pt idx="19">
                  <c:v>692.19500000000005</c:v>
                </c:pt>
                <c:pt idx="20">
                  <c:v>820.63</c:v>
                </c:pt>
                <c:pt idx="21">
                  <c:v>660.63</c:v>
                </c:pt>
                <c:pt idx="23">
                  <c:v>799.22</c:v>
                </c:pt>
                <c:pt idx="24">
                  <c:v>973.76</c:v>
                </c:pt>
                <c:pt idx="25">
                  <c:v>849.47500000000002</c:v>
                </c:pt>
                <c:pt idx="26">
                  <c:v>975.03499999999997</c:v>
                </c:pt>
                <c:pt idx="27">
                  <c:v>1347.24</c:v>
                </c:pt>
                <c:pt idx="28">
                  <c:v>762.03</c:v>
                </c:pt>
                <c:pt idx="29">
                  <c:v>922.03</c:v>
                </c:pt>
                <c:pt idx="30">
                  <c:v>778.62</c:v>
                </c:pt>
                <c:pt idx="31">
                  <c:v>975.03499999999997</c:v>
                </c:pt>
                <c:pt idx="32">
                  <c:v>660.12</c:v>
                </c:pt>
                <c:pt idx="33">
                  <c:v>844.89</c:v>
                </c:pt>
                <c:pt idx="34">
                  <c:v>503.42500000000001</c:v>
                </c:pt>
                <c:pt idx="35">
                  <c:v>539.80499999999995</c:v>
                </c:pt>
                <c:pt idx="36">
                  <c:v>585.61500000000001</c:v>
                </c:pt>
                <c:pt idx="37">
                  <c:v>673.16499999999996</c:v>
                </c:pt>
                <c:pt idx="38">
                  <c:v>692.19500000000005</c:v>
                </c:pt>
                <c:pt idx="39">
                  <c:v>1033.6600000000001</c:v>
                </c:pt>
                <c:pt idx="40">
                  <c:v>811.21</c:v>
                </c:pt>
                <c:pt idx="41">
                  <c:v>607.995</c:v>
                </c:pt>
                <c:pt idx="42">
                  <c:v>1051.23</c:v>
                </c:pt>
                <c:pt idx="43">
                  <c:v>838.745</c:v>
                </c:pt>
                <c:pt idx="44">
                  <c:v>792.93499999999995</c:v>
                </c:pt>
                <c:pt idx="45">
                  <c:v>934.80499999999995</c:v>
                </c:pt>
                <c:pt idx="46">
                  <c:v>992.44500000000005</c:v>
                </c:pt>
                <c:pt idx="47">
                  <c:v>817.04499999999996</c:v>
                </c:pt>
                <c:pt idx="48">
                  <c:v>817.04499999999996</c:v>
                </c:pt>
                <c:pt idx="49">
                  <c:v>518.48</c:v>
                </c:pt>
                <c:pt idx="50">
                  <c:v>792.93499999999995</c:v>
                </c:pt>
                <c:pt idx="51">
                  <c:v>524.75</c:v>
                </c:pt>
                <c:pt idx="52">
                  <c:v>673.16499999999996</c:v>
                </c:pt>
                <c:pt idx="53">
                  <c:v>518.48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3-4246-AE9B-2D4E340AC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01696"/>
        <c:axId val="191903232"/>
      </c:barChart>
      <c:catAx>
        <c:axId val="19190169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1903232"/>
        <c:crosses val="autoZero"/>
        <c:auto val="1"/>
        <c:lblAlgn val="ctr"/>
        <c:lblOffset val="100"/>
        <c:noMultiLvlLbl val="0"/>
      </c:catAx>
      <c:valAx>
        <c:axId val="191903232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90169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US!$Z$28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US!$Y$29:$Y$34</c:f>
              <c:strCache>
                <c:ptCount val="6"/>
                <c:pt idx="0">
                  <c:v>F - N</c:v>
                </c:pt>
                <c:pt idx="3">
                  <c:v>L - S</c:v>
                </c:pt>
                <c:pt idx="5">
                  <c:v>Total </c:v>
                </c:pt>
              </c:strCache>
            </c:strRef>
          </c:cat>
          <c:val>
            <c:numRef>
              <c:f>US!$Z$29:$Z$34</c:f>
              <c:numCache>
                <c:formatCode>General</c:formatCode>
                <c:ptCount val="6"/>
                <c:pt idx="0">
                  <c:v>220</c:v>
                </c:pt>
                <c:pt idx="3">
                  <c:v>110</c:v>
                </c:pt>
                <c:pt idx="5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E-46E7-9F29-890A82AB2E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949440"/>
        <c:axId val="192414080"/>
      </c:barChart>
      <c:catAx>
        <c:axId val="191949440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2414080"/>
        <c:crosses val="autoZero"/>
        <c:auto val="1"/>
        <c:lblAlgn val="ctr"/>
        <c:lblOffset val="100"/>
        <c:noMultiLvlLbl val="0"/>
      </c:catAx>
      <c:valAx>
        <c:axId val="192414080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949440"/>
        <c:crosses val="autoZero"/>
        <c:crossBetween val="between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FlowThinning!$H$4</c:f>
              <c:strCache>
                <c:ptCount val="1"/>
                <c:pt idx="0">
                  <c:v>Extra Capacity Needed(G)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FlowThinning!$G$5:$G$7</c:f>
              <c:numCache>
                <c:formatCode>General</c:formatCode>
                <c:ptCount val="3"/>
              </c:numCache>
            </c:numRef>
          </c:cat>
          <c:val>
            <c:numRef>
              <c:f>FlowThinning!$H$5:$H$7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2833-43DE-8F90-4D3337B749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190240"/>
        <c:axId val="513189584"/>
      </c:barChart>
      <c:catAx>
        <c:axId val="51319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89584"/>
        <c:crosses val="autoZero"/>
        <c:auto val="1"/>
        <c:lblAlgn val="ctr"/>
        <c:lblOffset val="100"/>
        <c:noMultiLvlLbl val="0"/>
      </c:catAx>
      <c:valAx>
        <c:axId val="5131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9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FlowThinningModularCapacities!$G$5</c:f>
              <c:strCache>
                <c:ptCount val="1"/>
                <c:pt idx="0">
                  <c:v>Extra Capacity Needed(G)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FlowThinningModularCapacities!$F$6:$F$8</c:f>
              <c:numCache>
                <c:formatCode>General</c:formatCode>
                <c:ptCount val="3"/>
              </c:numCache>
            </c:numRef>
          </c:cat>
          <c:val>
            <c:numRef>
              <c:f>FlowThinningModularCapacities!$G$6:$G$8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1F1D-458A-96FB-0618CBD639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190240"/>
        <c:axId val="513189584"/>
      </c:barChart>
      <c:catAx>
        <c:axId val="51319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89584"/>
        <c:crosses val="autoZero"/>
        <c:auto val="1"/>
        <c:lblAlgn val="ctr"/>
        <c:lblOffset val="100"/>
        <c:noMultiLvlLbl val="0"/>
      </c:catAx>
      <c:valAx>
        <c:axId val="5131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9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'Multiple-path Reroute'!$A$3:$B$56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'Multiple-path Reroute'!$K$3:$K$56</c:f>
              <c:numCache>
                <c:formatCode>General</c:formatCode>
                <c:ptCount val="54"/>
                <c:pt idx="0">
                  <c:v>70.115000000000009</c:v>
                </c:pt>
                <c:pt idx="1">
                  <c:v>200.60374999999999</c:v>
                </c:pt>
                <c:pt idx="2">
                  <c:v>196.19074999999998</c:v>
                </c:pt>
                <c:pt idx="3">
                  <c:v>316.52500000000009</c:v>
                </c:pt>
                <c:pt idx="4">
                  <c:v>86.150000000000034</c:v>
                </c:pt>
                <c:pt idx="5">
                  <c:v>196.19074999999998</c:v>
                </c:pt>
                <c:pt idx="6">
                  <c:v>374.90700000000004</c:v>
                </c:pt>
                <c:pt idx="7">
                  <c:v>99.724999999999966</c:v>
                </c:pt>
                <c:pt idx="8">
                  <c:v>309.63049999999998</c:v>
                </c:pt>
                <c:pt idx="9">
                  <c:v>198.05000000000007</c:v>
                </c:pt>
                <c:pt idx="10">
                  <c:v>144.125</c:v>
                </c:pt>
                <c:pt idx="12">
                  <c:v>363.73125000000005</c:v>
                </c:pt>
                <c:pt idx="13">
                  <c:v>277.34950000000003</c:v>
                </c:pt>
                <c:pt idx="14">
                  <c:v>136.41449999999998</c:v>
                </c:pt>
                <c:pt idx="15">
                  <c:v>215.37924999999996</c:v>
                </c:pt>
                <c:pt idx="16">
                  <c:v>198.04575</c:v>
                </c:pt>
                <c:pt idx="17">
                  <c:v>144.125</c:v>
                </c:pt>
                <c:pt idx="18">
                  <c:v>99.719499999999982</c:v>
                </c:pt>
                <c:pt idx="19">
                  <c:v>309.63049999999998</c:v>
                </c:pt>
                <c:pt idx="20">
                  <c:v>139.74250000000001</c:v>
                </c:pt>
                <c:pt idx="21">
                  <c:v>144.125</c:v>
                </c:pt>
                <c:pt idx="23">
                  <c:v>338.71450000000004</c:v>
                </c:pt>
                <c:pt idx="24">
                  <c:v>288.32925</c:v>
                </c:pt>
                <c:pt idx="25">
                  <c:v>363.73125000000005</c:v>
                </c:pt>
                <c:pt idx="26">
                  <c:v>136.41449999999998</c:v>
                </c:pt>
                <c:pt idx="27">
                  <c:v>215.37924999999996</c:v>
                </c:pt>
                <c:pt idx="28">
                  <c:v>198.04575</c:v>
                </c:pt>
                <c:pt idx="29">
                  <c:v>306.06449999999995</c:v>
                </c:pt>
                <c:pt idx="30">
                  <c:v>316.52500000000009</c:v>
                </c:pt>
                <c:pt idx="31">
                  <c:v>136.41449999999998</c:v>
                </c:pt>
                <c:pt idx="32">
                  <c:v>271.31074999999987</c:v>
                </c:pt>
                <c:pt idx="33">
                  <c:v>215.37924999999996</c:v>
                </c:pt>
                <c:pt idx="34">
                  <c:v>721.68000000000029</c:v>
                </c:pt>
                <c:pt idx="35">
                  <c:v>551.19175000000018</c:v>
                </c:pt>
                <c:pt idx="36">
                  <c:v>534.61374999999998</c:v>
                </c:pt>
                <c:pt idx="37">
                  <c:v>215.48250000000007</c:v>
                </c:pt>
                <c:pt idx="38">
                  <c:v>309.63049999999998</c:v>
                </c:pt>
                <c:pt idx="39">
                  <c:v>288.32925</c:v>
                </c:pt>
                <c:pt idx="40">
                  <c:v>49.158324999999991</c:v>
                </c:pt>
                <c:pt idx="41">
                  <c:v>231.89542500000002</c:v>
                </c:pt>
                <c:pt idx="42">
                  <c:v>160.202</c:v>
                </c:pt>
                <c:pt idx="43">
                  <c:v>112.21424999999999</c:v>
                </c:pt>
                <c:pt idx="44">
                  <c:v>81.078750000000014</c:v>
                </c:pt>
                <c:pt idx="45">
                  <c:v>34.590000000000003</c:v>
                </c:pt>
                <c:pt idx="46">
                  <c:v>160.202</c:v>
                </c:pt>
                <c:pt idx="47">
                  <c:v>34.590000000000003</c:v>
                </c:pt>
                <c:pt idx="48">
                  <c:v>34.590000000000003</c:v>
                </c:pt>
                <c:pt idx="49">
                  <c:v>257.81174999999996</c:v>
                </c:pt>
                <c:pt idx="50">
                  <c:v>81.078750000000014</c:v>
                </c:pt>
                <c:pt idx="51">
                  <c:v>116.754175</c:v>
                </c:pt>
                <c:pt idx="52">
                  <c:v>215.48250000000007</c:v>
                </c:pt>
                <c:pt idx="53">
                  <c:v>257.81174999999996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9-413E-8CFE-811908472AFD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'Multiple-path Reroute'!$A$3:$B$56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'Multiple-path Reroute'!$Q$3:$Q$56</c:f>
              <c:numCache>
                <c:formatCode>General</c:formatCode>
                <c:ptCount val="54"/>
                <c:pt idx="0">
                  <c:v>-29.884999999999991</c:v>
                </c:pt>
                <c:pt idx="1">
                  <c:v>100.60374999999999</c:v>
                </c:pt>
                <c:pt idx="2">
                  <c:v>196.19074999999998</c:v>
                </c:pt>
                <c:pt idx="3">
                  <c:v>316.52500000000009</c:v>
                </c:pt>
                <c:pt idx="4">
                  <c:v>-113.84999999999997</c:v>
                </c:pt>
                <c:pt idx="5">
                  <c:v>196.19074999999998</c:v>
                </c:pt>
                <c:pt idx="6">
                  <c:v>174.90700000000004</c:v>
                </c:pt>
                <c:pt idx="7">
                  <c:v>-50.275000000000034</c:v>
                </c:pt>
                <c:pt idx="8">
                  <c:v>309.63049999999998</c:v>
                </c:pt>
                <c:pt idx="9">
                  <c:v>198.05000000000007</c:v>
                </c:pt>
                <c:pt idx="10">
                  <c:v>94.125</c:v>
                </c:pt>
                <c:pt idx="12">
                  <c:v>363.73125000000005</c:v>
                </c:pt>
                <c:pt idx="13">
                  <c:v>127.34950000000003</c:v>
                </c:pt>
                <c:pt idx="14">
                  <c:v>136.41449999999998</c:v>
                </c:pt>
                <c:pt idx="15">
                  <c:v>215.37924999999996</c:v>
                </c:pt>
                <c:pt idx="16">
                  <c:v>198.04575</c:v>
                </c:pt>
                <c:pt idx="17">
                  <c:v>94.125</c:v>
                </c:pt>
                <c:pt idx="18">
                  <c:v>-50.280500000000018</c:v>
                </c:pt>
                <c:pt idx="19">
                  <c:v>309.63049999999998</c:v>
                </c:pt>
                <c:pt idx="20">
                  <c:v>89.742499999999993</c:v>
                </c:pt>
                <c:pt idx="21">
                  <c:v>94.125</c:v>
                </c:pt>
                <c:pt idx="23">
                  <c:v>-161.28549999999996</c:v>
                </c:pt>
                <c:pt idx="24">
                  <c:v>288.32925</c:v>
                </c:pt>
                <c:pt idx="25">
                  <c:v>13.731250000000045</c:v>
                </c:pt>
                <c:pt idx="26">
                  <c:v>136.41449999999998</c:v>
                </c:pt>
                <c:pt idx="27">
                  <c:v>-34.620750000000044</c:v>
                </c:pt>
                <c:pt idx="28">
                  <c:v>-51.954250000000002</c:v>
                </c:pt>
                <c:pt idx="29">
                  <c:v>-93.935500000000047</c:v>
                </c:pt>
                <c:pt idx="30">
                  <c:v>316.52500000000009</c:v>
                </c:pt>
                <c:pt idx="31">
                  <c:v>136.41449999999998</c:v>
                </c:pt>
                <c:pt idx="32">
                  <c:v>271.31074999999987</c:v>
                </c:pt>
                <c:pt idx="33">
                  <c:v>215.37924999999996</c:v>
                </c:pt>
                <c:pt idx="34">
                  <c:v>721.68000000000029</c:v>
                </c:pt>
                <c:pt idx="35">
                  <c:v>-448.80824999999982</c:v>
                </c:pt>
                <c:pt idx="36">
                  <c:v>-565.38625000000002</c:v>
                </c:pt>
                <c:pt idx="37">
                  <c:v>15.482500000000073</c:v>
                </c:pt>
                <c:pt idx="38">
                  <c:v>309.63049999999998</c:v>
                </c:pt>
                <c:pt idx="39">
                  <c:v>288.32925</c:v>
                </c:pt>
                <c:pt idx="40">
                  <c:v>-50.841675000000009</c:v>
                </c:pt>
                <c:pt idx="41">
                  <c:v>131.89542500000002</c:v>
                </c:pt>
                <c:pt idx="42">
                  <c:v>160.202</c:v>
                </c:pt>
                <c:pt idx="43">
                  <c:v>12.214249999999993</c:v>
                </c:pt>
                <c:pt idx="44">
                  <c:v>81.078750000000014</c:v>
                </c:pt>
                <c:pt idx="45">
                  <c:v>34.590000000000003</c:v>
                </c:pt>
                <c:pt idx="46">
                  <c:v>160.202</c:v>
                </c:pt>
                <c:pt idx="47">
                  <c:v>34.590000000000003</c:v>
                </c:pt>
                <c:pt idx="48">
                  <c:v>34.590000000000003</c:v>
                </c:pt>
                <c:pt idx="49">
                  <c:v>257.81174999999996</c:v>
                </c:pt>
                <c:pt idx="50">
                  <c:v>81.078750000000014</c:v>
                </c:pt>
                <c:pt idx="51">
                  <c:v>116.754175</c:v>
                </c:pt>
                <c:pt idx="52">
                  <c:v>15.482500000000073</c:v>
                </c:pt>
                <c:pt idx="53">
                  <c:v>257.81174999999996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19-413E-8CFE-811908472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454912"/>
        <c:axId val="180456448"/>
      </c:barChart>
      <c:catAx>
        <c:axId val="18045491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80456448"/>
        <c:crosses val="autoZero"/>
        <c:auto val="1"/>
        <c:lblAlgn val="ctr"/>
        <c:lblOffset val="100"/>
        <c:noMultiLvlLbl val="0"/>
      </c:catAx>
      <c:valAx>
        <c:axId val="180456448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45491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35811474843564"/>
          <c:y val="2.64026311157433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AffineFlowThinning!$G$5</c:f>
              <c:strCache>
                <c:ptCount val="1"/>
                <c:pt idx="0">
                  <c:v>Extra Capacity Needed(G)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AffineFlowThinning!$F$6:$F$13</c:f>
              <c:strCache>
                <c:ptCount val="8"/>
                <c:pt idx="0">
                  <c:v>D - DO</c:v>
                </c:pt>
                <c:pt idx="1">
                  <c:v>DO - F</c:v>
                </c:pt>
                <c:pt idx="2">
                  <c:v>F - H</c:v>
                </c:pt>
                <c:pt idx="3">
                  <c:v>F - K</c:v>
                </c:pt>
                <c:pt idx="4">
                  <c:v>F - N</c:v>
                </c:pt>
                <c:pt idx="5">
                  <c:v>F - S</c:v>
                </c:pt>
                <c:pt idx="6">
                  <c:v>F - U</c:v>
                </c:pt>
                <c:pt idx="7">
                  <c:v>H - HH</c:v>
                </c:pt>
              </c:strCache>
            </c:strRef>
          </c:cat>
          <c:val>
            <c:numRef>
              <c:f>AffineFlowThinning!$G$6:$G$13</c:f>
              <c:numCache>
                <c:formatCode>0</c:formatCode>
                <c:ptCount val="8"/>
                <c:pt idx="0">
                  <c:v>122</c:v>
                </c:pt>
                <c:pt idx="1">
                  <c:v>196</c:v>
                </c:pt>
                <c:pt idx="2">
                  <c:v>280</c:v>
                </c:pt>
                <c:pt idx="3">
                  <c:v>274</c:v>
                </c:pt>
                <c:pt idx="4">
                  <c:v>934</c:v>
                </c:pt>
                <c:pt idx="5">
                  <c:v>1189</c:v>
                </c:pt>
                <c:pt idx="6">
                  <c:v>158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D-44AF-B536-A6EB9823C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969856"/>
        <c:axId val="373971824"/>
      </c:barChart>
      <c:catAx>
        <c:axId val="3739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71824"/>
        <c:crosses val="autoZero"/>
        <c:auto val="1"/>
        <c:lblAlgn val="ctr"/>
        <c:lblOffset val="100"/>
        <c:noMultiLvlLbl val="0"/>
      </c:catAx>
      <c:valAx>
        <c:axId val="3739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6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AffineFlowThinningModularCapaci!$H$4</c:f>
              <c:strCache>
                <c:ptCount val="1"/>
                <c:pt idx="0">
                  <c:v>Extra Capacity Needed(G)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AffineFlowThinningModularCapaci!$G$5:$G$26</c:f>
              <c:strCache>
                <c:ptCount val="22"/>
                <c:pt idx="0">
                  <c:v>B - HH</c:v>
                </c:pt>
                <c:pt idx="1">
                  <c:v>B - L</c:v>
                </c:pt>
                <c:pt idx="2">
                  <c:v>D - DO</c:v>
                </c:pt>
                <c:pt idx="3">
                  <c:v>D - F</c:v>
                </c:pt>
                <c:pt idx="4">
                  <c:v>D - K</c:v>
                </c:pt>
                <c:pt idx="5">
                  <c:v>D - L</c:v>
                </c:pt>
                <c:pt idx="6">
                  <c:v>D - M</c:v>
                </c:pt>
                <c:pt idx="7">
                  <c:v>DO - F</c:v>
                </c:pt>
                <c:pt idx="8">
                  <c:v>DO - H</c:v>
                </c:pt>
                <c:pt idx="9">
                  <c:v>F - H</c:v>
                </c:pt>
                <c:pt idx="10">
                  <c:v>F - HH</c:v>
                </c:pt>
                <c:pt idx="11">
                  <c:v>F - K</c:v>
                </c:pt>
                <c:pt idx="12">
                  <c:v>F - N</c:v>
                </c:pt>
                <c:pt idx="13">
                  <c:v>F - S</c:v>
                </c:pt>
                <c:pt idx="14">
                  <c:v>F - U</c:v>
                </c:pt>
                <c:pt idx="15">
                  <c:v>H - HH</c:v>
                </c:pt>
                <c:pt idx="16">
                  <c:v>H - K</c:v>
                </c:pt>
                <c:pt idx="17">
                  <c:v>H - L</c:v>
                </c:pt>
                <c:pt idx="18">
                  <c:v>HH - L</c:v>
                </c:pt>
                <c:pt idx="19">
                  <c:v>L - N</c:v>
                </c:pt>
                <c:pt idx="20">
                  <c:v>L - S</c:v>
                </c:pt>
                <c:pt idx="21">
                  <c:v>N - S</c:v>
                </c:pt>
              </c:strCache>
            </c:strRef>
          </c:cat>
          <c:val>
            <c:numRef>
              <c:f>AffineFlowThinningModularCapaci!$H$5:$H$26</c:f>
              <c:numCache>
                <c:formatCode>0</c:formatCode>
                <c:ptCount val="22"/>
                <c:pt idx="0">
                  <c:v>29</c:v>
                </c:pt>
                <c:pt idx="1">
                  <c:v>3</c:v>
                </c:pt>
                <c:pt idx="2">
                  <c:v>124</c:v>
                </c:pt>
                <c:pt idx="3">
                  <c:v>240</c:v>
                </c:pt>
                <c:pt idx="4">
                  <c:v>76</c:v>
                </c:pt>
                <c:pt idx="5">
                  <c:v>2</c:v>
                </c:pt>
                <c:pt idx="6">
                  <c:v>222</c:v>
                </c:pt>
                <c:pt idx="7">
                  <c:v>213</c:v>
                </c:pt>
                <c:pt idx="8">
                  <c:v>13</c:v>
                </c:pt>
                <c:pt idx="9">
                  <c:v>364</c:v>
                </c:pt>
                <c:pt idx="10">
                  <c:v>1</c:v>
                </c:pt>
                <c:pt idx="11">
                  <c:v>428</c:v>
                </c:pt>
                <c:pt idx="12">
                  <c:v>1207</c:v>
                </c:pt>
                <c:pt idx="13">
                  <c:v>1359</c:v>
                </c:pt>
                <c:pt idx="14">
                  <c:v>178</c:v>
                </c:pt>
                <c:pt idx="15">
                  <c:v>51</c:v>
                </c:pt>
                <c:pt idx="16">
                  <c:v>4</c:v>
                </c:pt>
                <c:pt idx="17">
                  <c:v>6</c:v>
                </c:pt>
                <c:pt idx="18">
                  <c:v>12</c:v>
                </c:pt>
                <c:pt idx="19">
                  <c:v>2</c:v>
                </c:pt>
                <c:pt idx="20">
                  <c:v>25</c:v>
                </c:pt>
                <c:pt idx="2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2-4F09-8639-5E93DC2E3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969856"/>
        <c:axId val="373971824"/>
      </c:barChart>
      <c:catAx>
        <c:axId val="3739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71824"/>
        <c:crosses val="autoZero"/>
        <c:auto val="1"/>
        <c:lblAlgn val="ctr"/>
        <c:lblOffset val="100"/>
        <c:noMultiLvlLbl val="0"/>
      </c:catAx>
      <c:valAx>
        <c:axId val="3739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6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Extra Capacity Needed for All Five Approaches (G)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alpha = 0 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conclusion!#REF!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F-4899-93CB-BDDFCA9BBF4F}"/>
            </c:ext>
          </c:extLst>
        </c:ser>
        <c:ser>
          <c:idx val="1"/>
          <c:order val="1"/>
          <c:tx>
            <c:v>0&lt;alpha&lt;1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conclusion!#REF!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F-4899-93CB-BDDFCA9BBF4F}"/>
            </c:ext>
          </c:extLst>
        </c:ser>
        <c:ser>
          <c:idx val="2"/>
          <c:order val="2"/>
          <c:tx>
            <c:v>Reroute highest demand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conclusion!#REF!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AF-4899-93CB-BDDFCA9BBF4F}"/>
            </c:ext>
          </c:extLst>
        </c:ser>
        <c:ser>
          <c:idx val="3"/>
          <c:order val="3"/>
          <c:tx>
            <c:v>Reroute Lowest demand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conclusion!$Q$16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62AF-4899-93CB-BDDFCA9BBF4F}"/>
            </c:ext>
          </c:extLst>
        </c:ser>
        <c:ser>
          <c:idx val="5"/>
          <c:order val="4"/>
          <c:tx>
            <c:v>Direct Link Demands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conclusion!$R$46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62AF-4899-93CB-BDDFCA9BBF4F}"/>
            </c:ext>
          </c:extLst>
        </c:ser>
        <c:ser>
          <c:idx val="4"/>
          <c:order val="5"/>
          <c:tx>
            <c:strRef>
              <c:f>conclusion!$Z$13</c:f>
              <c:strCache>
                <c:ptCount val="1"/>
                <c:pt idx="0">
                  <c:v>ES-EP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conclusion!$AA$13</c:f>
              <c:numCache>
                <c:formatCode>General</c:formatCode>
                <c:ptCount val="1"/>
                <c:pt idx="0">
                  <c:v>1023.13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AF-4899-93CB-BDDFCA9BBF4F}"/>
            </c:ext>
          </c:extLst>
        </c:ser>
        <c:ser>
          <c:idx val="6"/>
          <c:order val="6"/>
          <c:tx>
            <c:strRef>
              <c:f>conclusion!$Z$14</c:f>
              <c:strCache>
                <c:ptCount val="1"/>
                <c:pt idx="0">
                  <c:v>US-EP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conclusion!$AA$14</c:f>
              <c:numCache>
                <c:formatCode>General</c:formatCode>
                <c:ptCount val="1"/>
                <c:pt idx="0">
                  <c:v>792.86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AF-4899-93CB-BDDFCA9BBF4F}"/>
            </c:ext>
          </c:extLst>
        </c:ser>
        <c:ser>
          <c:idx val="7"/>
          <c:order val="7"/>
          <c:tx>
            <c:strRef>
              <c:f>conclusion!$Z$15</c:f>
              <c:strCache>
                <c:ptCount val="1"/>
                <c:pt idx="0">
                  <c:v>US-UP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conclusion!$AA$15</c:f>
              <c:numCache>
                <c:formatCode>General</c:formatCode>
                <c:ptCount val="1"/>
                <c:pt idx="0">
                  <c:v>564.07500000000005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AF-4899-93CB-BDDFCA9BBF4F}"/>
            </c:ext>
          </c:extLst>
        </c:ser>
        <c:ser>
          <c:idx val="8"/>
          <c:order val="8"/>
          <c:tx>
            <c:strRef>
              <c:f>conclusion!$Z$16</c:f>
              <c:strCache>
                <c:ptCount val="1"/>
                <c:pt idx="0">
                  <c:v>US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conclusion!$AA$16</c:f>
              <c:numCache>
                <c:formatCode>General</c:formatCode>
                <c:ptCount val="1"/>
                <c:pt idx="0">
                  <c:v>325.67500000000001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AF-4899-93CB-BDDFCA9BBF4F}"/>
            </c:ext>
          </c:extLst>
        </c:ser>
        <c:ser>
          <c:idx val="9"/>
          <c:order val="9"/>
          <c:tx>
            <c:v>Reduced Cap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conclusion!#REF!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AF-4899-93CB-BDDFCA9BBF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426688"/>
        <c:axId val="189444864"/>
      </c:barChart>
      <c:catAx>
        <c:axId val="189426688"/>
        <c:scaling>
          <c:orientation val="maxMin"/>
        </c:scaling>
        <c:delete val="0"/>
        <c:axPos val="b"/>
        <c:majorTickMark val="out"/>
        <c:minorTickMark val="none"/>
        <c:tickLblPos val="nextTo"/>
        <c:crossAx val="189444864"/>
        <c:crosses val="autoZero"/>
        <c:auto val="1"/>
        <c:lblAlgn val="ctr"/>
        <c:lblOffset val="100"/>
        <c:noMultiLvlLbl val="0"/>
      </c:catAx>
      <c:valAx>
        <c:axId val="189444864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894266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conclusion!$P$43</c:f>
              <c:strCache>
                <c:ptCount val="1"/>
                <c:pt idx="0">
                  <c:v>C_failure</c:v>
                </c:pt>
              </c:strCache>
            </c:strRef>
          </c:tx>
          <c:invertIfNegative val="0"/>
          <c:cat>
            <c:strRef>
              <c:f>conclusion!$O$44:$O$58</c:f>
              <c:strCache>
                <c:ptCount val="15"/>
                <c:pt idx="0">
                  <c:v>Shut-off lambda</c:v>
                </c:pt>
                <c:pt idx="1">
                  <c:v>Multiple-path Reroute</c:v>
                </c:pt>
                <c:pt idx="2">
                  <c:v>Selective 0&lt;alpha&lt;1</c:v>
                </c:pt>
                <c:pt idx="3">
                  <c:v>BDF</c:v>
                </c:pt>
                <c:pt idx="4">
                  <c:v>SDF</c:v>
                </c:pt>
                <c:pt idx="5">
                  <c:v>Single-hop Reroute</c:v>
                </c:pt>
                <c:pt idx="6">
                  <c:v>NoRerouting</c:v>
                </c:pt>
                <c:pt idx="7">
                  <c:v>ES-EP</c:v>
                </c:pt>
                <c:pt idx="8">
                  <c:v>US-EP</c:v>
                </c:pt>
                <c:pt idx="9">
                  <c:v>US-UP</c:v>
                </c:pt>
                <c:pt idx="10">
                  <c:v>US</c:v>
                </c:pt>
                <c:pt idx="11">
                  <c:v>Flow Thinning</c:v>
                </c:pt>
                <c:pt idx="12">
                  <c:v>Affine Flow Thinning</c:v>
                </c:pt>
                <c:pt idx="13">
                  <c:v>Flow Thinning with modular capacities</c:v>
                </c:pt>
                <c:pt idx="14">
                  <c:v>Affine Flow Thinning with modular capacities</c:v>
                </c:pt>
              </c:strCache>
            </c:strRef>
          </c:cat>
          <c:val>
            <c:numRef>
              <c:f>conclusion!$P$44:$P$58</c:f>
              <c:numCache>
                <c:formatCode>General</c:formatCode>
                <c:ptCount val="15"/>
                <c:pt idx="0">
                  <c:v>13450</c:v>
                </c:pt>
                <c:pt idx="1">
                  <c:v>1950</c:v>
                </c:pt>
                <c:pt idx="2">
                  <c:v>2250</c:v>
                </c:pt>
                <c:pt idx="3">
                  <c:v>7350</c:v>
                </c:pt>
                <c:pt idx="4">
                  <c:v>5000</c:v>
                </c:pt>
                <c:pt idx="5">
                  <c:v>8550</c:v>
                </c:pt>
                <c:pt idx="6">
                  <c:v>2650</c:v>
                </c:pt>
                <c:pt idx="7">
                  <c:v>1850</c:v>
                </c:pt>
                <c:pt idx="8">
                  <c:v>1750</c:v>
                </c:pt>
                <c:pt idx="9">
                  <c:v>1100</c:v>
                </c:pt>
                <c:pt idx="10">
                  <c:v>800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E-4F7B-857E-80A6D5348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65472"/>
        <c:axId val="190667008"/>
      </c:barChart>
      <c:catAx>
        <c:axId val="19066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667008"/>
        <c:crosses val="autoZero"/>
        <c:auto val="1"/>
        <c:lblAlgn val="ctr"/>
        <c:lblOffset val="100"/>
        <c:noMultiLvlLbl val="0"/>
      </c:catAx>
      <c:valAx>
        <c:axId val="19066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65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conclusion!$Q$43</c:f>
              <c:strCache>
                <c:ptCount val="1"/>
                <c:pt idx="0">
                  <c:v>CAPEX (SCU)</c:v>
                </c:pt>
              </c:strCache>
            </c:strRef>
          </c:tx>
          <c:invertIfNegative val="0"/>
          <c:cat>
            <c:strRef>
              <c:f>conclusion!$O$44:$O$58</c:f>
              <c:strCache>
                <c:ptCount val="15"/>
                <c:pt idx="0">
                  <c:v>Shut-off lambda</c:v>
                </c:pt>
                <c:pt idx="1">
                  <c:v>Multiple-path Reroute</c:v>
                </c:pt>
                <c:pt idx="2">
                  <c:v>Selective 0&lt;alpha&lt;1</c:v>
                </c:pt>
                <c:pt idx="3">
                  <c:v>BDF</c:v>
                </c:pt>
                <c:pt idx="4">
                  <c:v>SDF</c:v>
                </c:pt>
                <c:pt idx="5">
                  <c:v>Single-hop Reroute</c:v>
                </c:pt>
                <c:pt idx="6">
                  <c:v>NoRerouting</c:v>
                </c:pt>
                <c:pt idx="7">
                  <c:v>ES-EP</c:v>
                </c:pt>
                <c:pt idx="8">
                  <c:v>US-EP</c:v>
                </c:pt>
                <c:pt idx="9">
                  <c:v>US-UP</c:v>
                </c:pt>
                <c:pt idx="10">
                  <c:v>US</c:v>
                </c:pt>
                <c:pt idx="11">
                  <c:v>Flow Thinning</c:v>
                </c:pt>
                <c:pt idx="12">
                  <c:v>Affine Flow Thinning</c:v>
                </c:pt>
                <c:pt idx="13">
                  <c:v>Flow Thinning with modular capacities</c:v>
                </c:pt>
                <c:pt idx="14">
                  <c:v>Affine Flow Thinning with modular capacities</c:v>
                </c:pt>
              </c:strCache>
            </c:strRef>
          </c:cat>
          <c:val>
            <c:numRef>
              <c:f>conclusion!$Q$44:$Q$58</c:f>
              <c:numCache>
                <c:formatCode>General</c:formatCode>
                <c:ptCount val="15"/>
                <c:pt idx="0">
                  <c:v>1281.5930000000001</c:v>
                </c:pt>
                <c:pt idx="1">
                  <c:v>249.5823</c:v>
                </c:pt>
                <c:pt idx="2">
                  <c:v>282.32010000000002</c:v>
                </c:pt>
                <c:pt idx="3">
                  <c:v>774.94740000000002</c:v>
                </c:pt>
                <c:pt idx="4">
                  <c:v>507.10719999999998</c:v>
                </c:pt>
                <c:pt idx="5">
                  <c:v>863.6807</c:v>
                </c:pt>
                <c:pt idx="6">
                  <c:v>317.79570000000001</c:v>
                </c:pt>
                <c:pt idx="7">
                  <c:v>246.84</c:v>
                </c:pt>
                <c:pt idx="8">
                  <c:v>219.58</c:v>
                </c:pt>
                <c:pt idx="9">
                  <c:v>140.47999999999999</c:v>
                </c:pt>
                <c:pt idx="10">
                  <c:v>95.475999999999999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F-495A-A7A9-0BC705E74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79296"/>
        <c:axId val="190697472"/>
      </c:barChart>
      <c:catAx>
        <c:axId val="19067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697472"/>
        <c:crosses val="autoZero"/>
        <c:auto val="1"/>
        <c:lblAlgn val="ctr"/>
        <c:lblOffset val="100"/>
        <c:noMultiLvlLbl val="0"/>
      </c:catAx>
      <c:valAx>
        <c:axId val="19069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79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634661034349589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conclusion!$R$83</c:f>
              <c:strCache>
                <c:ptCount val="1"/>
                <c:pt idx="0">
                  <c:v>Total Capacity (Gbps)</c:v>
                </c:pt>
              </c:strCache>
            </c:strRef>
          </c:tx>
          <c:invertIfNegative val="0"/>
          <c:cat>
            <c:strRef>
              <c:f>conclusion!$O$84:$O$98</c:f>
              <c:strCache>
                <c:ptCount val="15"/>
                <c:pt idx="0">
                  <c:v>Shut-off lambda</c:v>
                </c:pt>
                <c:pt idx="1">
                  <c:v>Multiple-path Reroute</c:v>
                </c:pt>
                <c:pt idx="2">
                  <c:v>Selective 0&lt;alpha&lt;1</c:v>
                </c:pt>
                <c:pt idx="3">
                  <c:v>BDF</c:v>
                </c:pt>
                <c:pt idx="4">
                  <c:v>SDF</c:v>
                </c:pt>
                <c:pt idx="5">
                  <c:v>Single-hop Reroute</c:v>
                </c:pt>
                <c:pt idx="6">
                  <c:v>NoRerouting</c:v>
                </c:pt>
                <c:pt idx="7">
                  <c:v>ES-ES</c:v>
                </c:pt>
                <c:pt idx="8">
                  <c:v>US-EP</c:v>
                </c:pt>
                <c:pt idx="9">
                  <c:v>US-UP</c:v>
                </c:pt>
                <c:pt idx="10">
                  <c:v>US</c:v>
                </c:pt>
                <c:pt idx="11">
                  <c:v>Flow Thinning</c:v>
                </c:pt>
                <c:pt idx="12">
                  <c:v>Flow Thinning with modular capacities</c:v>
                </c:pt>
                <c:pt idx="13">
                  <c:v>Affine Flow Thinning</c:v>
                </c:pt>
                <c:pt idx="14">
                  <c:v>Affine Flow Thinning with modular capacities</c:v>
                </c:pt>
              </c:strCache>
            </c:strRef>
          </c:cat>
          <c:val>
            <c:numRef>
              <c:f>conclusion!$R$84:$R$98</c:f>
              <c:numCache>
                <c:formatCode>General</c:formatCode>
                <c:ptCount val="15"/>
                <c:pt idx="0">
                  <c:v>73750</c:v>
                </c:pt>
                <c:pt idx="1">
                  <c:v>62250</c:v>
                </c:pt>
                <c:pt idx="2">
                  <c:v>62550</c:v>
                </c:pt>
                <c:pt idx="3">
                  <c:v>67650</c:v>
                </c:pt>
                <c:pt idx="4">
                  <c:v>65300</c:v>
                </c:pt>
                <c:pt idx="5">
                  <c:v>68850</c:v>
                </c:pt>
                <c:pt idx="6">
                  <c:v>62950</c:v>
                </c:pt>
                <c:pt idx="7">
                  <c:v>62150</c:v>
                </c:pt>
                <c:pt idx="8">
                  <c:v>62050</c:v>
                </c:pt>
                <c:pt idx="9">
                  <c:v>61400</c:v>
                </c:pt>
                <c:pt idx="10">
                  <c:v>61100</c:v>
                </c:pt>
                <c:pt idx="12">
                  <c:v>56600</c:v>
                </c:pt>
                <c:pt idx="14">
                  <c:v>56600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7B-42C5-A58A-300157C5C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07072"/>
        <c:axId val="191108608"/>
      </c:barChart>
      <c:catAx>
        <c:axId val="19110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108608"/>
        <c:crosses val="autoZero"/>
        <c:auto val="1"/>
        <c:lblAlgn val="ctr"/>
        <c:lblOffset val="100"/>
        <c:noMultiLvlLbl val="0"/>
      </c:catAx>
      <c:valAx>
        <c:axId val="19110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0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conclusion!$P$83</c:f>
              <c:strCache>
                <c:ptCount val="1"/>
                <c:pt idx="0">
                  <c:v>Working Capacity (Gbps)</c:v>
                </c:pt>
              </c:strCache>
            </c:strRef>
          </c:tx>
          <c:invertIfNegative val="0"/>
          <c:cat>
            <c:strRef>
              <c:f>conclusion!$O$84:$O$98</c:f>
              <c:strCache>
                <c:ptCount val="15"/>
                <c:pt idx="0">
                  <c:v>Shut-off lambda</c:v>
                </c:pt>
                <c:pt idx="1">
                  <c:v>Multiple-path Reroute</c:v>
                </c:pt>
                <c:pt idx="2">
                  <c:v>Selective 0&lt;alpha&lt;1</c:v>
                </c:pt>
                <c:pt idx="3">
                  <c:v>BDF</c:v>
                </c:pt>
                <c:pt idx="4">
                  <c:v>SDF</c:v>
                </c:pt>
                <c:pt idx="5">
                  <c:v>Single-hop Reroute</c:v>
                </c:pt>
                <c:pt idx="6">
                  <c:v>NoRerouting</c:v>
                </c:pt>
                <c:pt idx="7">
                  <c:v>ES-ES</c:v>
                </c:pt>
                <c:pt idx="8">
                  <c:v>US-EP</c:v>
                </c:pt>
                <c:pt idx="9">
                  <c:v>US-UP</c:v>
                </c:pt>
                <c:pt idx="10">
                  <c:v>US</c:v>
                </c:pt>
                <c:pt idx="11">
                  <c:v>Flow Thinning</c:v>
                </c:pt>
                <c:pt idx="12">
                  <c:v>Flow Thinning with modular capacities</c:v>
                </c:pt>
                <c:pt idx="13">
                  <c:v>Affine Flow Thinning</c:v>
                </c:pt>
                <c:pt idx="14">
                  <c:v>Affine Flow Thinning with modular capacities</c:v>
                </c:pt>
              </c:strCache>
            </c:strRef>
          </c:cat>
          <c:val>
            <c:numRef>
              <c:f>conclusion!$P$84:$P$98</c:f>
              <c:numCache>
                <c:formatCode>General</c:formatCode>
                <c:ptCount val="15"/>
                <c:pt idx="0">
                  <c:v>60300</c:v>
                </c:pt>
                <c:pt idx="1">
                  <c:v>60300</c:v>
                </c:pt>
                <c:pt idx="2">
                  <c:v>60300</c:v>
                </c:pt>
                <c:pt idx="3">
                  <c:v>60300</c:v>
                </c:pt>
                <c:pt idx="4">
                  <c:v>60300</c:v>
                </c:pt>
                <c:pt idx="5">
                  <c:v>60300</c:v>
                </c:pt>
                <c:pt idx="6">
                  <c:v>60300</c:v>
                </c:pt>
                <c:pt idx="7">
                  <c:v>60300</c:v>
                </c:pt>
                <c:pt idx="8">
                  <c:v>60300</c:v>
                </c:pt>
                <c:pt idx="9">
                  <c:v>60300</c:v>
                </c:pt>
                <c:pt idx="10">
                  <c:v>60300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A-4CF3-813E-B140BBFC0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07072"/>
        <c:axId val="191108608"/>
      </c:barChart>
      <c:catAx>
        <c:axId val="19110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108608"/>
        <c:crosses val="autoZero"/>
        <c:auto val="1"/>
        <c:lblAlgn val="ctr"/>
        <c:lblOffset val="100"/>
        <c:noMultiLvlLbl val="0"/>
      </c:catAx>
      <c:valAx>
        <c:axId val="19110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0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conclusion!$Q$83</c:f>
              <c:strCache>
                <c:ptCount val="1"/>
                <c:pt idx="0">
                  <c:v>Spare Capacity (Gbps)</c:v>
                </c:pt>
              </c:strCache>
            </c:strRef>
          </c:tx>
          <c:invertIfNegative val="0"/>
          <c:cat>
            <c:strRef>
              <c:f>conclusion!$O$84:$O$98</c:f>
              <c:strCache>
                <c:ptCount val="15"/>
                <c:pt idx="0">
                  <c:v>Shut-off lambda</c:v>
                </c:pt>
                <c:pt idx="1">
                  <c:v>Multiple-path Reroute</c:v>
                </c:pt>
                <c:pt idx="2">
                  <c:v>Selective 0&lt;alpha&lt;1</c:v>
                </c:pt>
                <c:pt idx="3">
                  <c:v>BDF</c:v>
                </c:pt>
                <c:pt idx="4">
                  <c:v>SDF</c:v>
                </c:pt>
                <c:pt idx="5">
                  <c:v>Single-hop Reroute</c:v>
                </c:pt>
                <c:pt idx="6">
                  <c:v>NoRerouting</c:v>
                </c:pt>
                <c:pt idx="7">
                  <c:v>ES-ES</c:v>
                </c:pt>
                <c:pt idx="8">
                  <c:v>US-EP</c:v>
                </c:pt>
                <c:pt idx="9">
                  <c:v>US-UP</c:v>
                </c:pt>
                <c:pt idx="10">
                  <c:v>US</c:v>
                </c:pt>
                <c:pt idx="11">
                  <c:v>Flow Thinning</c:v>
                </c:pt>
                <c:pt idx="12">
                  <c:v>Flow Thinning with modular capacities</c:v>
                </c:pt>
                <c:pt idx="13">
                  <c:v>Affine Flow Thinning</c:v>
                </c:pt>
                <c:pt idx="14">
                  <c:v>Affine Flow Thinning with modular capacities</c:v>
                </c:pt>
              </c:strCache>
            </c:strRef>
          </c:cat>
          <c:val>
            <c:numRef>
              <c:f>conclusion!$Q$84:$Q$98</c:f>
              <c:numCache>
                <c:formatCode>General</c:formatCode>
                <c:ptCount val="15"/>
                <c:pt idx="0">
                  <c:v>13450</c:v>
                </c:pt>
                <c:pt idx="1">
                  <c:v>1950</c:v>
                </c:pt>
                <c:pt idx="2">
                  <c:v>2250</c:v>
                </c:pt>
                <c:pt idx="3">
                  <c:v>7350</c:v>
                </c:pt>
                <c:pt idx="4">
                  <c:v>5000</c:v>
                </c:pt>
                <c:pt idx="5">
                  <c:v>8550</c:v>
                </c:pt>
                <c:pt idx="6">
                  <c:v>2650</c:v>
                </c:pt>
                <c:pt idx="7">
                  <c:v>1850</c:v>
                </c:pt>
                <c:pt idx="8">
                  <c:v>1750</c:v>
                </c:pt>
                <c:pt idx="9">
                  <c:v>1100</c:v>
                </c:pt>
                <c:pt idx="1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08-4786-BBAA-822FB9566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07072"/>
        <c:axId val="191108608"/>
      </c:barChart>
      <c:catAx>
        <c:axId val="19110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108608"/>
        <c:crosses val="autoZero"/>
        <c:auto val="1"/>
        <c:lblAlgn val="ctr"/>
        <c:lblOffset val="100"/>
        <c:noMultiLvlLbl val="0"/>
      </c:catAx>
      <c:valAx>
        <c:axId val="19110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0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conclusion!$Q$101</c:f>
              <c:strCache>
                <c:ptCount val="1"/>
                <c:pt idx="0">
                  <c:v>CAPEX (SCU)</c:v>
                </c:pt>
              </c:strCache>
            </c:strRef>
          </c:tx>
          <c:invertIfNegative val="0"/>
          <c:cat>
            <c:strRef>
              <c:f>conclusion!$O$102:$O$116</c:f>
              <c:strCache>
                <c:ptCount val="15"/>
                <c:pt idx="0">
                  <c:v>Shut-off lambda</c:v>
                </c:pt>
                <c:pt idx="1">
                  <c:v>Multiple-path Reroute</c:v>
                </c:pt>
                <c:pt idx="2">
                  <c:v>Selective 0&lt;alpha&lt;1</c:v>
                </c:pt>
                <c:pt idx="3">
                  <c:v>BDF</c:v>
                </c:pt>
                <c:pt idx="4">
                  <c:v>SDF</c:v>
                </c:pt>
                <c:pt idx="5">
                  <c:v>Single-hop Reroute</c:v>
                </c:pt>
                <c:pt idx="6">
                  <c:v>NoRerouting</c:v>
                </c:pt>
                <c:pt idx="7">
                  <c:v>ES-ES</c:v>
                </c:pt>
                <c:pt idx="8">
                  <c:v>US-EP</c:v>
                </c:pt>
                <c:pt idx="9">
                  <c:v>US-UP</c:v>
                </c:pt>
                <c:pt idx="10">
                  <c:v>US</c:v>
                </c:pt>
                <c:pt idx="11">
                  <c:v>Flow Thinning</c:v>
                </c:pt>
                <c:pt idx="12">
                  <c:v>Flow Thinning with modular capacities</c:v>
                </c:pt>
                <c:pt idx="13">
                  <c:v>Affine Flow Thinning</c:v>
                </c:pt>
                <c:pt idx="14">
                  <c:v>Affine Flow Thinning with modular capacities</c:v>
                </c:pt>
              </c:strCache>
            </c:strRef>
          </c:cat>
          <c:val>
            <c:numRef>
              <c:f>conclusion!$Q$102:$Q$116</c:f>
              <c:numCache>
                <c:formatCode>General</c:formatCode>
                <c:ptCount val="15"/>
                <c:pt idx="0">
                  <c:v>6440</c:v>
                </c:pt>
                <c:pt idx="1">
                  <c:v>5408</c:v>
                </c:pt>
                <c:pt idx="2">
                  <c:v>5441</c:v>
                </c:pt>
                <c:pt idx="3">
                  <c:v>5933</c:v>
                </c:pt>
                <c:pt idx="4">
                  <c:v>5665</c:v>
                </c:pt>
                <c:pt idx="5">
                  <c:v>6022</c:v>
                </c:pt>
                <c:pt idx="6">
                  <c:v>5476</c:v>
                </c:pt>
                <c:pt idx="7">
                  <c:v>5405</c:v>
                </c:pt>
                <c:pt idx="8">
                  <c:v>5378</c:v>
                </c:pt>
                <c:pt idx="9">
                  <c:v>5299</c:v>
                </c:pt>
                <c:pt idx="10">
                  <c:v>5254</c:v>
                </c:pt>
                <c:pt idx="12">
                  <c:v>3429</c:v>
                </c:pt>
                <c:pt idx="14">
                  <c:v>3429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E3-4EFB-B9C0-824F9FEF6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07072"/>
        <c:axId val="191108608"/>
      </c:barChart>
      <c:catAx>
        <c:axId val="19110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108608"/>
        <c:crosses val="autoZero"/>
        <c:auto val="1"/>
        <c:lblAlgn val="ctr"/>
        <c:lblOffset val="100"/>
        <c:noMultiLvlLbl val="0"/>
      </c:catAx>
      <c:valAx>
        <c:axId val="19110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0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'Multiple-path Reroute'!$A$3:$B$56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'Multiple-path Reroute'!$J$3:$J$56</c:f>
              <c:numCache>
                <c:formatCode>General</c:formatCode>
                <c:ptCount val="54"/>
                <c:pt idx="0">
                  <c:v>400</c:v>
                </c:pt>
                <c:pt idx="1">
                  <c:v>400</c:v>
                </c:pt>
                <c:pt idx="2">
                  <c:v>450</c:v>
                </c:pt>
                <c:pt idx="3">
                  <c:v>1800</c:v>
                </c:pt>
                <c:pt idx="4">
                  <c:v>500</c:v>
                </c:pt>
                <c:pt idx="5">
                  <c:v>450</c:v>
                </c:pt>
                <c:pt idx="6">
                  <c:v>1200</c:v>
                </c:pt>
                <c:pt idx="7">
                  <c:v>600</c:v>
                </c:pt>
                <c:pt idx="8">
                  <c:v>1350</c:v>
                </c:pt>
                <c:pt idx="9">
                  <c:v>1000</c:v>
                </c:pt>
                <c:pt idx="10">
                  <c:v>200</c:v>
                </c:pt>
                <c:pt idx="11">
                  <c:v>0</c:v>
                </c:pt>
                <c:pt idx="12">
                  <c:v>1400</c:v>
                </c:pt>
                <c:pt idx="13">
                  <c:v>900</c:v>
                </c:pt>
                <c:pt idx="14">
                  <c:v>600</c:v>
                </c:pt>
                <c:pt idx="15">
                  <c:v>750</c:v>
                </c:pt>
                <c:pt idx="16">
                  <c:v>1000</c:v>
                </c:pt>
                <c:pt idx="17">
                  <c:v>200</c:v>
                </c:pt>
                <c:pt idx="18">
                  <c:v>600</c:v>
                </c:pt>
                <c:pt idx="19">
                  <c:v>1350</c:v>
                </c:pt>
                <c:pt idx="20">
                  <c:v>200</c:v>
                </c:pt>
                <c:pt idx="21">
                  <c:v>200</c:v>
                </c:pt>
                <c:pt idx="22">
                  <c:v>0</c:v>
                </c:pt>
                <c:pt idx="23">
                  <c:v>2000</c:v>
                </c:pt>
                <c:pt idx="24">
                  <c:v>1350</c:v>
                </c:pt>
                <c:pt idx="25">
                  <c:v>1400</c:v>
                </c:pt>
                <c:pt idx="26">
                  <c:v>600</c:v>
                </c:pt>
                <c:pt idx="27">
                  <c:v>750</c:v>
                </c:pt>
                <c:pt idx="28">
                  <c:v>1000</c:v>
                </c:pt>
                <c:pt idx="29">
                  <c:v>1000</c:v>
                </c:pt>
                <c:pt idx="30">
                  <c:v>1800</c:v>
                </c:pt>
                <c:pt idx="31">
                  <c:v>600</c:v>
                </c:pt>
                <c:pt idx="32">
                  <c:v>1500</c:v>
                </c:pt>
                <c:pt idx="33">
                  <c:v>750</c:v>
                </c:pt>
                <c:pt idx="34">
                  <c:v>3600</c:v>
                </c:pt>
                <c:pt idx="35">
                  <c:v>2500</c:v>
                </c:pt>
                <c:pt idx="36">
                  <c:v>2750</c:v>
                </c:pt>
                <c:pt idx="37">
                  <c:v>800</c:v>
                </c:pt>
                <c:pt idx="38">
                  <c:v>1350</c:v>
                </c:pt>
                <c:pt idx="39">
                  <c:v>1350</c:v>
                </c:pt>
                <c:pt idx="40">
                  <c:v>250</c:v>
                </c:pt>
                <c:pt idx="41">
                  <c:v>400</c:v>
                </c:pt>
                <c:pt idx="42">
                  <c:v>600</c:v>
                </c:pt>
                <c:pt idx="43">
                  <c:v>400</c:v>
                </c:pt>
                <c:pt idx="44">
                  <c:v>300</c:v>
                </c:pt>
                <c:pt idx="45">
                  <c:v>150</c:v>
                </c:pt>
                <c:pt idx="46">
                  <c:v>600</c:v>
                </c:pt>
                <c:pt idx="47">
                  <c:v>150</c:v>
                </c:pt>
                <c:pt idx="48">
                  <c:v>150</c:v>
                </c:pt>
                <c:pt idx="49">
                  <c:v>600</c:v>
                </c:pt>
                <c:pt idx="50">
                  <c:v>300</c:v>
                </c:pt>
                <c:pt idx="51">
                  <c:v>200</c:v>
                </c:pt>
                <c:pt idx="52">
                  <c:v>800</c:v>
                </c:pt>
                <c:pt idx="5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4-4F01-836C-491B2951E116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'Multiple-path Reroute'!$A$3:$B$56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'Multiple-path Reroute'!$P$3:$P$56</c:f>
              <c:numCache>
                <c:formatCode>General</c:formatCode>
                <c:ptCount val="54"/>
                <c:pt idx="0">
                  <c:v>300</c:v>
                </c:pt>
                <c:pt idx="1">
                  <c:v>300</c:v>
                </c:pt>
                <c:pt idx="2">
                  <c:v>450</c:v>
                </c:pt>
                <c:pt idx="3">
                  <c:v>1800</c:v>
                </c:pt>
                <c:pt idx="4">
                  <c:v>300</c:v>
                </c:pt>
                <c:pt idx="5">
                  <c:v>450</c:v>
                </c:pt>
                <c:pt idx="6">
                  <c:v>1000</c:v>
                </c:pt>
                <c:pt idx="7">
                  <c:v>450</c:v>
                </c:pt>
                <c:pt idx="8">
                  <c:v>1350</c:v>
                </c:pt>
                <c:pt idx="9">
                  <c:v>1000</c:v>
                </c:pt>
                <c:pt idx="10">
                  <c:v>150</c:v>
                </c:pt>
                <c:pt idx="11">
                  <c:v>0</c:v>
                </c:pt>
                <c:pt idx="12">
                  <c:v>1400</c:v>
                </c:pt>
                <c:pt idx="13">
                  <c:v>750</c:v>
                </c:pt>
                <c:pt idx="14">
                  <c:v>600</c:v>
                </c:pt>
                <c:pt idx="15">
                  <c:v>750</c:v>
                </c:pt>
                <c:pt idx="16">
                  <c:v>1000</c:v>
                </c:pt>
                <c:pt idx="17">
                  <c:v>150</c:v>
                </c:pt>
                <c:pt idx="18">
                  <c:v>450</c:v>
                </c:pt>
                <c:pt idx="19">
                  <c:v>1350</c:v>
                </c:pt>
                <c:pt idx="20">
                  <c:v>150</c:v>
                </c:pt>
                <c:pt idx="21">
                  <c:v>150</c:v>
                </c:pt>
                <c:pt idx="22">
                  <c:v>0</c:v>
                </c:pt>
                <c:pt idx="23">
                  <c:v>1500</c:v>
                </c:pt>
                <c:pt idx="24">
                  <c:v>1350</c:v>
                </c:pt>
                <c:pt idx="25">
                  <c:v>1050</c:v>
                </c:pt>
                <c:pt idx="26">
                  <c:v>600</c:v>
                </c:pt>
                <c:pt idx="27">
                  <c:v>500</c:v>
                </c:pt>
                <c:pt idx="28">
                  <c:v>750</c:v>
                </c:pt>
                <c:pt idx="29">
                  <c:v>600</c:v>
                </c:pt>
                <c:pt idx="30">
                  <c:v>1800</c:v>
                </c:pt>
                <c:pt idx="31">
                  <c:v>600</c:v>
                </c:pt>
                <c:pt idx="32">
                  <c:v>1500</c:v>
                </c:pt>
                <c:pt idx="33">
                  <c:v>750</c:v>
                </c:pt>
                <c:pt idx="34">
                  <c:v>3600</c:v>
                </c:pt>
                <c:pt idx="35">
                  <c:v>1500</c:v>
                </c:pt>
                <c:pt idx="36">
                  <c:v>1650</c:v>
                </c:pt>
                <c:pt idx="37">
                  <c:v>600</c:v>
                </c:pt>
                <c:pt idx="38">
                  <c:v>1350</c:v>
                </c:pt>
                <c:pt idx="39">
                  <c:v>1350</c:v>
                </c:pt>
                <c:pt idx="40">
                  <c:v>150</c:v>
                </c:pt>
                <c:pt idx="41">
                  <c:v>300</c:v>
                </c:pt>
                <c:pt idx="42">
                  <c:v>600</c:v>
                </c:pt>
                <c:pt idx="43">
                  <c:v>300</c:v>
                </c:pt>
                <c:pt idx="44">
                  <c:v>300</c:v>
                </c:pt>
                <c:pt idx="45">
                  <c:v>150</c:v>
                </c:pt>
                <c:pt idx="46">
                  <c:v>600</c:v>
                </c:pt>
                <c:pt idx="47">
                  <c:v>150</c:v>
                </c:pt>
                <c:pt idx="48">
                  <c:v>150</c:v>
                </c:pt>
                <c:pt idx="49">
                  <c:v>600</c:v>
                </c:pt>
                <c:pt idx="50">
                  <c:v>300</c:v>
                </c:pt>
                <c:pt idx="51">
                  <c:v>200</c:v>
                </c:pt>
                <c:pt idx="52">
                  <c:v>600</c:v>
                </c:pt>
                <c:pt idx="5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4-4F01-836C-491B2951E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466496"/>
        <c:axId val="189468032"/>
      </c:barChart>
      <c:catAx>
        <c:axId val="18946649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89468032"/>
        <c:crosses val="autoZero"/>
        <c:auto val="1"/>
        <c:lblAlgn val="ctr"/>
        <c:lblOffset val="100"/>
        <c:noMultiLvlLbl val="0"/>
      </c:catAx>
      <c:valAx>
        <c:axId val="189468032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46649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Multiple-path Extra Capacity Needed (G)"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Extra Capacity Needed (G)"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'Multiple-path Reroute'!$U$4:$U$20</c:f>
              <c:strCache>
                <c:ptCount val="17"/>
                <c:pt idx="3">
                  <c:v>F - H</c:v>
                </c:pt>
                <c:pt idx="4">
                  <c:v>D - F</c:v>
                </c:pt>
                <c:pt idx="5">
                  <c:v>F - K</c:v>
                </c:pt>
                <c:pt idx="6">
                  <c:v>L - M</c:v>
                </c:pt>
                <c:pt idx="7">
                  <c:v>F - N</c:v>
                </c:pt>
                <c:pt idx="8">
                  <c:v>L - N</c:v>
                </c:pt>
                <c:pt idx="9">
                  <c:v>F - S</c:v>
                </c:pt>
                <c:pt idx="10">
                  <c:v>L - S</c:v>
                </c:pt>
                <c:pt idx="16">
                  <c:v>Total</c:v>
                </c:pt>
              </c:strCache>
            </c:strRef>
          </c:cat>
          <c:val>
            <c:numRef>
              <c:f>'Multiple-path Reroute'!$V$4:$V$20</c:f>
              <c:numCache>
                <c:formatCode>General</c:formatCode>
                <c:ptCount val="17"/>
                <c:pt idx="3">
                  <c:v>55.39</c:v>
                </c:pt>
                <c:pt idx="4">
                  <c:v>40.64</c:v>
                </c:pt>
                <c:pt idx="5">
                  <c:v>11.97</c:v>
                </c:pt>
                <c:pt idx="6">
                  <c:v>8.82</c:v>
                </c:pt>
                <c:pt idx="7">
                  <c:v>232.5</c:v>
                </c:pt>
                <c:pt idx="8">
                  <c:v>83.57</c:v>
                </c:pt>
                <c:pt idx="9">
                  <c:v>420</c:v>
                </c:pt>
                <c:pt idx="10">
                  <c:v>37.32</c:v>
                </c:pt>
                <c:pt idx="16">
                  <c:v>890.21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F-4A9D-A1BC-2073869031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510784"/>
        <c:axId val="189512320"/>
      </c:barChart>
      <c:catAx>
        <c:axId val="18951078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89512320"/>
        <c:crosses val="autoZero"/>
        <c:auto val="1"/>
        <c:lblAlgn val="ctr"/>
        <c:lblOffset val="100"/>
        <c:noMultiLvlLbl val="0"/>
      </c:catAx>
      <c:valAx>
        <c:axId val="189512320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8951078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'Selective 0&lt;alpha&lt;1'!$A$3:$B$56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'Selective 0&lt;alpha&lt;1'!$K$3:$K$56</c:f>
              <c:numCache>
                <c:formatCode>General</c:formatCode>
                <c:ptCount val="54"/>
                <c:pt idx="0">
                  <c:v>70.115000000000009</c:v>
                </c:pt>
                <c:pt idx="1">
                  <c:v>200.60374999999999</c:v>
                </c:pt>
                <c:pt idx="2">
                  <c:v>196.19074999999998</c:v>
                </c:pt>
                <c:pt idx="3">
                  <c:v>316.52500000000009</c:v>
                </c:pt>
                <c:pt idx="4">
                  <c:v>86.150000000000034</c:v>
                </c:pt>
                <c:pt idx="5">
                  <c:v>196.19074999999998</c:v>
                </c:pt>
                <c:pt idx="6">
                  <c:v>374.90700000000004</c:v>
                </c:pt>
                <c:pt idx="7">
                  <c:v>99.724999999999966</c:v>
                </c:pt>
                <c:pt idx="8">
                  <c:v>309.63049999999998</c:v>
                </c:pt>
                <c:pt idx="9">
                  <c:v>198.05000000000007</c:v>
                </c:pt>
                <c:pt idx="10">
                  <c:v>144.125</c:v>
                </c:pt>
                <c:pt idx="12">
                  <c:v>363.73125000000005</c:v>
                </c:pt>
                <c:pt idx="13">
                  <c:v>277.34950000000003</c:v>
                </c:pt>
                <c:pt idx="14">
                  <c:v>136.41449999999998</c:v>
                </c:pt>
                <c:pt idx="15">
                  <c:v>215.37924999999996</c:v>
                </c:pt>
                <c:pt idx="16">
                  <c:v>198.04575</c:v>
                </c:pt>
                <c:pt idx="17">
                  <c:v>144.125</c:v>
                </c:pt>
                <c:pt idx="18">
                  <c:v>99.719499999999982</c:v>
                </c:pt>
                <c:pt idx="19">
                  <c:v>309.63049999999998</c:v>
                </c:pt>
                <c:pt idx="20">
                  <c:v>139.74250000000001</c:v>
                </c:pt>
                <c:pt idx="21">
                  <c:v>144.125</c:v>
                </c:pt>
                <c:pt idx="23">
                  <c:v>338.71450000000004</c:v>
                </c:pt>
                <c:pt idx="24">
                  <c:v>288.32925</c:v>
                </c:pt>
                <c:pt idx="25">
                  <c:v>363.73125000000005</c:v>
                </c:pt>
                <c:pt idx="26">
                  <c:v>136.41449999999998</c:v>
                </c:pt>
                <c:pt idx="27">
                  <c:v>215.37924999999996</c:v>
                </c:pt>
                <c:pt idx="28">
                  <c:v>198.04575</c:v>
                </c:pt>
                <c:pt idx="29">
                  <c:v>306.06449999999995</c:v>
                </c:pt>
                <c:pt idx="30">
                  <c:v>316.52500000000009</c:v>
                </c:pt>
                <c:pt idx="31">
                  <c:v>136.41449999999998</c:v>
                </c:pt>
                <c:pt idx="32">
                  <c:v>271.31074999999987</c:v>
                </c:pt>
                <c:pt idx="33">
                  <c:v>215.37924999999996</c:v>
                </c:pt>
                <c:pt idx="34">
                  <c:v>721.68000000000029</c:v>
                </c:pt>
                <c:pt idx="35">
                  <c:v>551.19175000000018</c:v>
                </c:pt>
                <c:pt idx="36">
                  <c:v>534.61374999999998</c:v>
                </c:pt>
                <c:pt idx="37">
                  <c:v>215.48250000000007</c:v>
                </c:pt>
                <c:pt idx="38">
                  <c:v>309.63049999999998</c:v>
                </c:pt>
                <c:pt idx="39">
                  <c:v>288.32925</c:v>
                </c:pt>
                <c:pt idx="40">
                  <c:v>49.158324999999991</c:v>
                </c:pt>
                <c:pt idx="41">
                  <c:v>231.89542500000002</c:v>
                </c:pt>
                <c:pt idx="42">
                  <c:v>160.202</c:v>
                </c:pt>
                <c:pt idx="43">
                  <c:v>112.21424999999999</c:v>
                </c:pt>
                <c:pt idx="44">
                  <c:v>81.078750000000014</c:v>
                </c:pt>
                <c:pt idx="45">
                  <c:v>34.590000000000003</c:v>
                </c:pt>
                <c:pt idx="46">
                  <c:v>160.202</c:v>
                </c:pt>
                <c:pt idx="47">
                  <c:v>34.590000000000003</c:v>
                </c:pt>
                <c:pt idx="48">
                  <c:v>34.590000000000003</c:v>
                </c:pt>
                <c:pt idx="49">
                  <c:v>257.81174999999996</c:v>
                </c:pt>
                <c:pt idx="50">
                  <c:v>81.078750000000014</c:v>
                </c:pt>
                <c:pt idx="51">
                  <c:v>116.754175</c:v>
                </c:pt>
                <c:pt idx="52">
                  <c:v>215.48250000000007</c:v>
                </c:pt>
                <c:pt idx="53">
                  <c:v>257.81174999999996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2-4B12-B5A1-B2150E225356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'Selective 0&lt;alpha&lt;1'!$A$3:$B$56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'Selective 0&lt;alpha&lt;1'!$Q$3:$Q$56</c:f>
              <c:numCache>
                <c:formatCode>General</c:formatCode>
                <c:ptCount val="54"/>
                <c:pt idx="0">
                  <c:v>-29.884999999999991</c:v>
                </c:pt>
                <c:pt idx="1">
                  <c:v>100.60374999999999</c:v>
                </c:pt>
                <c:pt idx="2">
                  <c:v>196.19074999999998</c:v>
                </c:pt>
                <c:pt idx="3">
                  <c:v>316.52500000000009</c:v>
                </c:pt>
                <c:pt idx="4">
                  <c:v>-113.84999999999997</c:v>
                </c:pt>
                <c:pt idx="5">
                  <c:v>196.19074999999998</c:v>
                </c:pt>
                <c:pt idx="6">
                  <c:v>174.90700000000004</c:v>
                </c:pt>
                <c:pt idx="7">
                  <c:v>-50.275000000000034</c:v>
                </c:pt>
                <c:pt idx="8">
                  <c:v>309.63049999999998</c:v>
                </c:pt>
                <c:pt idx="9">
                  <c:v>198.05000000000007</c:v>
                </c:pt>
                <c:pt idx="10">
                  <c:v>94.125</c:v>
                </c:pt>
                <c:pt idx="12">
                  <c:v>363.73125000000005</c:v>
                </c:pt>
                <c:pt idx="13">
                  <c:v>127.34950000000003</c:v>
                </c:pt>
                <c:pt idx="14">
                  <c:v>136.41449999999998</c:v>
                </c:pt>
                <c:pt idx="15">
                  <c:v>215.37924999999996</c:v>
                </c:pt>
                <c:pt idx="16">
                  <c:v>198.04575</c:v>
                </c:pt>
                <c:pt idx="17">
                  <c:v>94.125</c:v>
                </c:pt>
                <c:pt idx="18">
                  <c:v>-50.280500000000018</c:v>
                </c:pt>
                <c:pt idx="19">
                  <c:v>309.63049999999998</c:v>
                </c:pt>
                <c:pt idx="20">
                  <c:v>89.742499999999993</c:v>
                </c:pt>
                <c:pt idx="21">
                  <c:v>94.125</c:v>
                </c:pt>
                <c:pt idx="23">
                  <c:v>-161.28549999999996</c:v>
                </c:pt>
                <c:pt idx="24">
                  <c:v>288.32925</c:v>
                </c:pt>
                <c:pt idx="25">
                  <c:v>13.731250000000045</c:v>
                </c:pt>
                <c:pt idx="26">
                  <c:v>136.41449999999998</c:v>
                </c:pt>
                <c:pt idx="27">
                  <c:v>-34.620750000000044</c:v>
                </c:pt>
                <c:pt idx="28">
                  <c:v>-51.954250000000002</c:v>
                </c:pt>
                <c:pt idx="29">
                  <c:v>-93.935500000000047</c:v>
                </c:pt>
                <c:pt idx="30">
                  <c:v>316.52500000000009</c:v>
                </c:pt>
                <c:pt idx="31">
                  <c:v>136.41449999999998</c:v>
                </c:pt>
                <c:pt idx="32">
                  <c:v>271.31074999999987</c:v>
                </c:pt>
                <c:pt idx="33">
                  <c:v>215.37924999999996</c:v>
                </c:pt>
                <c:pt idx="34">
                  <c:v>721.68000000000029</c:v>
                </c:pt>
                <c:pt idx="35">
                  <c:v>-448.80824999999982</c:v>
                </c:pt>
                <c:pt idx="36">
                  <c:v>-565.38625000000002</c:v>
                </c:pt>
                <c:pt idx="37">
                  <c:v>15.482500000000073</c:v>
                </c:pt>
                <c:pt idx="38">
                  <c:v>309.63049999999998</c:v>
                </c:pt>
                <c:pt idx="39">
                  <c:v>288.32925</c:v>
                </c:pt>
                <c:pt idx="40">
                  <c:v>-50.841675000000009</c:v>
                </c:pt>
                <c:pt idx="41">
                  <c:v>131.89542500000002</c:v>
                </c:pt>
                <c:pt idx="42">
                  <c:v>160.202</c:v>
                </c:pt>
                <c:pt idx="43">
                  <c:v>12.214249999999993</c:v>
                </c:pt>
                <c:pt idx="44">
                  <c:v>81.078750000000014</c:v>
                </c:pt>
                <c:pt idx="45">
                  <c:v>34.590000000000003</c:v>
                </c:pt>
                <c:pt idx="46">
                  <c:v>160.202</c:v>
                </c:pt>
                <c:pt idx="47">
                  <c:v>34.590000000000003</c:v>
                </c:pt>
                <c:pt idx="48">
                  <c:v>34.590000000000003</c:v>
                </c:pt>
                <c:pt idx="49">
                  <c:v>257.81174999999996</c:v>
                </c:pt>
                <c:pt idx="50">
                  <c:v>81.078750000000014</c:v>
                </c:pt>
                <c:pt idx="51">
                  <c:v>116.754175</c:v>
                </c:pt>
                <c:pt idx="52">
                  <c:v>15.482500000000073</c:v>
                </c:pt>
                <c:pt idx="53">
                  <c:v>257.81174999999996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22-4B12-B5A1-B2150E225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396032"/>
        <c:axId val="180397568"/>
      </c:barChart>
      <c:catAx>
        <c:axId val="18039603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80397568"/>
        <c:crosses val="autoZero"/>
        <c:auto val="1"/>
        <c:lblAlgn val="ctr"/>
        <c:lblOffset val="100"/>
        <c:noMultiLvlLbl val="0"/>
      </c:catAx>
      <c:valAx>
        <c:axId val="180397568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3960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'Selective 0&lt;alpha&lt;1'!$A$3:$B$56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'Selective 0&lt;alpha&lt;1'!$J$3:$J$56</c:f>
              <c:numCache>
                <c:formatCode>General</c:formatCode>
                <c:ptCount val="54"/>
                <c:pt idx="0">
                  <c:v>400</c:v>
                </c:pt>
                <c:pt idx="1">
                  <c:v>400</c:v>
                </c:pt>
                <c:pt idx="2">
                  <c:v>450</c:v>
                </c:pt>
                <c:pt idx="3">
                  <c:v>1800</c:v>
                </c:pt>
                <c:pt idx="4">
                  <c:v>500</c:v>
                </c:pt>
                <c:pt idx="5">
                  <c:v>450</c:v>
                </c:pt>
                <c:pt idx="6">
                  <c:v>1200</c:v>
                </c:pt>
                <c:pt idx="7">
                  <c:v>600</c:v>
                </c:pt>
                <c:pt idx="8">
                  <c:v>1350</c:v>
                </c:pt>
                <c:pt idx="9">
                  <c:v>1000</c:v>
                </c:pt>
                <c:pt idx="10">
                  <c:v>200</c:v>
                </c:pt>
                <c:pt idx="11">
                  <c:v>0</c:v>
                </c:pt>
                <c:pt idx="12">
                  <c:v>1400</c:v>
                </c:pt>
                <c:pt idx="13">
                  <c:v>900</c:v>
                </c:pt>
                <c:pt idx="14">
                  <c:v>600</c:v>
                </c:pt>
                <c:pt idx="15">
                  <c:v>750</c:v>
                </c:pt>
                <c:pt idx="16">
                  <c:v>1000</c:v>
                </c:pt>
                <c:pt idx="17">
                  <c:v>200</c:v>
                </c:pt>
                <c:pt idx="18">
                  <c:v>600</c:v>
                </c:pt>
                <c:pt idx="19">
                  <c:v>1350</c:v>
                </c:pt>
                <c:pt idx="20">
                  <c:v>200</c:v>
                </c:pt>
                <c:pt idx="21">
                  <c:v>200</c:v>
                </c:pt>
                <c:pt idx="22">
                  <c:v>0</c:v>
                </c:pt>
                <c:pt idx="23">
                  <c:v>2000</c:v>
                </c:pt>
                <c:pt idx="24">
                  <c:v>1350</c:v>
                </c:pt>
                <c:pt idx="25">
                  <c:v>1400</c:v>
                </c:pt>
                <c:pt idx="26">
                  <c:v>600</c:v>
                </c:pt>
                <c:pt idx="27">
                  <c:v>750</c:v>
                </c:pt>
                <c:pt idx="28">
                  <c:v>1000</c:v>
                </c:pt>
                <c:pt idx="29">
                  <c:v>1000</c:v>
                </c:pt>
                <c:pt idx="30">
                  <c:v>1800</c:v>
                </c:pt>
                <c:pt idx="31">
                  <c:v>600</c:v>
                </c:pt>
                <c:pt idx="32">
                  <c:v>1500</c:v>
                </c:pt>
                <c:pt idx="33">
                  <c:v>750</c:v>
                </c:pt>
                <c:pt idx="34">
                  <c:v>3600</c:v>
                </c:pt>
                <c:pt idx="35">
                  <c:v>2500</c:v>
                </c:pt>
                <c:pt idx="36">
                  <c:v>2750</c:v>
                </c:pt>
                <c:pt idx="37">
                  <c:v>800</c:v>
                </c:pt>
                <c:pt idx="38">
                  <c:v>1350</c:v>
                </c:pt>
                <c:pt idx="39">
                  <c:v>1350</c:v>
                </c:pt>
                <c:pt idx="40">
                  <c:v>250</c:v>
                </c:pt>
                <c:pt idx="41">
                  <c:v>400</c:v>
                </c:pt>
                <c:pt idx="42">
                  <c:v>600</c:v>
                </c:pt>
                <c:pt idx="43">
                  <c:v>400</c:v>
                </c:pt>
                <c:pt idx="44">
                  <c:v>300</c:v>
                </c:pt>
                <c:pt idx="45">
                  <c:v>150</c:v>
                </c:pt>
                <c:pt idx="46">
                  <c:v>600</c:v>
                </c:pt>
                <c:pt idx="47">
                  <c:v>150</c:v>
                </c:pt>
                <c:pt idx="48">
                  <c:v>150</c:v>
                </c:pt>
                <c:pt idx="49">
                  <c:v>600</c:v>
                </c:pt>
                <c:pt idx="50">
                  <c:v>300</c:v>
                </c:pt>
                <c:pt idx="51">
                  <c:v>200</c:v>
                </c:pt>
                <c:pt idx="52">
                  <c:v>800</c:v>
                </c:pt>
                <c:pt idx="5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9-4513-B51C-9FBCE3765AE7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'Selective 0&lt;alpha&lt;1'!$A$3:$B$56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'Selective 0&lt;alpha&lt;1'!$P$3:$P$56</c:f>
              <c:numCache>
                <c:formatCode>General</c:formatCode>
                <c:ptCount val="54"/>
                <c:pt idx="0">
                  <c:v>300</c:v>
                </c:pt>
                <c:pt idx="1">
                  <c:v>300</c:v>
                </c:pt>
                <c:pt idx="2">
                  <c:v>450</c:v>
                </c:pt>
                <c:pt idx="3">
                  <c:v>1800</c:v>
                </c:pt>
                <c:pt idx="4">
                  <c:v>300</c:v>
                </c:pt>
                <c:pt idx="5">
                  <c:v>450</c:v>
                </c:pt>
                <c:pt idx="6">
                  <c:v>1000</c:v>
                </c:pt>
                <c:pt idx="7">
                  <c:v>450</c:v>
                </c:pt>
                <c:pt idx="8">
                  <c:v>1350</c:v>
                </c:pt>
                <c:pt idx="9">
                  <c:v>1000</c:v>
                </c:pt>
                <c:pt idx="10">
                  <c:v>150</c:v>
                </c:pt>
                <c:pt idx="11">
                  <c:v>0</c:v>
                </c:pt>
                <c:pt idx="12">
                  <c:v>1400</c:v>
                </c:pt>
                <c:pt idx="13">
                  <c:v>750</c:v>
                </c:pt>
                <c:pt idx="14">
                  <c:v>600</c:v>
                </c:pt>
                <c:pt idx="15">
                  <c:v>750</c:v>
                </c:pt>
                <c:pt idx="16">
                  <c:v>1000</c:v>
                </c:pt>
                <c:pt idx="17">
                  <c:v>150</c:v>
                </c:pt>
                <c:pt idx="18">
                  <c:v>450</c:v>
                </c:pt>
                <c:pt idx="19">
                  <c:v>1350</c:v>
                </c:pt>
                <c:pt idx="20">
                  <c:v>150</c:v>
                </c:pt>
                <c:pt idx="21">
                  <c:v>150</c:v>
                </c:pt>
                <c:pt idx="22">
                  <c:v>0</c:v>
                </c:pt>
                <c:pt idx="23">
                  <c:v>1500</c:v>
                </c:pt>
                <c:pt idx="24">
                  <c:v>1350</c:v>
                </c:pt>
                <c:pt idx="25">
                  <c:v>1050</c:v>
                </c:pt>
                <c:pt idx="26">
                  <c:v>600</c:v>
                </c:pt>
                <c:pt idx="27">
                  <c:v>500</c:v>
                </c:pt>
                <c:pt idx="28">
                  <c:v>750</c:v>
                </c:pt>
                <c:pt idx="29">
                  <c:v>600</c:v>
                </c:pt>
                <c:pt idx="30">
                  <c:v>1800</c:v>
                </c:pt>
                <c:pt idx="31">
                  <c:v>600</c:v>
                </c:pt>
                <c:pt idx="32">
                  <c:v>1500</c:v>
                </c:pt>
                <c:pt idx="33">
                  <c:v>750</c:v>
                </c:pt>
                <c:pt idx="34">
                  <c:v>3600</c:v>
                </c:pt>
                <c:pt idx="35">
                  <c:v>1500</c:v>
                </c:pt>
                <c:pt idx="36">
                  <c:v>1650</c:v>
                </c:pt>
                <c:pt idx="37">
                  <c:v>600</c:v>
                </c:pt>
                <c:pt idx="38">
                  <c:v>1350</c:v>
                </c:pt>
                <c:pt idx="39">
                  <c:v>1350</c:v>
                </c:pt>
                <c:pt idx="40">
                  <c:v>150</c:v>
                </c:pt>
                <c:pt idx="41">
                  <c:v>300</c:v>
                </c:pt>
                <c:pt idx="42">
                  <c:v>600</c:v>
                </c:pt>
                <c:pt idx="43">
                  <c:v>300</c:v>
                </c:pt>
                <c:pt idx="44">
                  <c:v>300</c:v>
                </c:pt>
                <c:pt idx="45">
                  <c:v>150</c:v>
                </c:pt>
                <c:pt idx="46">
                  <c:v>600</c:v>
                </c:pt>
                <c:pt idx="47">
                  <c:v>150</c:v>
                </c:pt>
                <c:pt idx="48">
                  <c:v>150</c:v>
                </c:pt>
                <c:pt idx="49">
                  <c:v>600</c:v>
                </c:pt>
                <c:pt idx="50">
                  <c:v>300</c:v>
                </c:pt>
                <c:pt idx="51">
                  <c:v>200</c:v>
                </c:pt>
                <c:pt idx="52">
                  <c:v>600</c:v>
                </c:pt>
                <c:pt idx="5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69-4513-B51C-9FBCE3765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618816"/>
        <c:axId val="189641088"/>
      </c:barChart>
      <c:catAx>
        <c:axId val="18961881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89641088"/>
        <c:crosses val="autoZero"/>
        <c:auto val="1"/>
        <c:lblAlgn val="ctr"/>
        <c:lblOffset val="100"/>
        <c:noMultiLvlLbl val="0"/>
      </c:catAx>
      <c:valAx>
        <c:axId val="189641088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61881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0&lt;alpha&lt;1 Extra Capacity Needed(G)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'Selective 0&lt;alpha&lt;1'!$W$33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'Selective 0&lt;alpha&lt;1'!$V$34:$V$40</c:f>
              <c:strCache>
                <c:ptCount val="7"/>
                <c:pt idx="0">
                  <c:v>F - H </c:v>
                </c:pt>
                <c:pt idx="1">
                  <c:v>D - F</c:v>
                </c:pt>
                <c:pt idx="2">
                  <c:v>DO - F</c:v>
                </c:pt>
                <c:pt idx="3">
                  <c:v>F - K</c:v>
                </c:pt>
                <c:pt idx="4">
                  <c:v>F - N</c:v>
                </c:pt>
                <c:pt idx="5">
                  <c:v>F - S</c:v>
                </c:pt>
                <c:pt idx="6">
                  <c:v>Total </c:v>
                </c:pt>
              </c:strCache>
            </c:strRef>
          </c:cat>
          <c:val>
            <c:numRef>
              <c:f>'Selective 0&lt;alpha&lt;1'!$W$34:$W$40</c:f>
              <c:numCache>
                <c:formatCode>General</c:formatCode>
                <c:ptCount val="7"/>
                <c:pt idx="0">
                  <c:v>134.81</c:v>
                </c:pt>
                <c:pt idx="1">
                  <c:v>16.149999999999999</c:v>
                </c:pt>
                <c:pt idx="2">
                  <c:v>26.84</c:v>
                </c:pt>
                <c:pt idx="3">
                  <c:v>61.15</c:v>
                </c:pt>
                <c:pt idx="4">
                  <c:v>362.28</c:v>
                </c:pt>
                <c:pt idx="5">
                  <c:v>507.11</c:v>
                </c:pt>
                <c:pt idx="6">
                  <c:v>1108.3400000000001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E-49D7-97BF-0FE303C005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652352"/>
        <c:axId val="189674624"/>
      </c:barChart>
      <c:catAx>
        <c:axId val="18965235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89674624"/>
        <c:crosses val="autoZero"/>
        <c:auto val="1"/>
        <c:lblAlgn val="ctr"/>
        <c:lblOffset val="100"/>
        <c:noMultiLvlLbl val="0"/>
      </c:catAx>
      <c:valAx>
        <c:axId val="189674624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8965235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BDF!$A$3:$B$56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BDF!$K$3:$K$56</c:f>
              <c:numCache>
                <c:formatCode>General</c:formatCode>
                <c:ptCount val="54"/>
                <c:pt idx="0">
                  <c:v>70.115000000000009</c:v>
                </c:pt>
                <c:pt idx="1">
                  <c:v>200.60374999999999</c:v>
                </c:pt>
                <c:pt idx="2">
                  <c:v>196.19074999999998</c:v>
                </c:pt>
                <c:pt idx="3">
                  <c:v>316.52500000000009</c:v>
                </c:pt>
                <c:pt idx="4">
                  <c:v>86.150000000000034</c:v>
                </c:pt>
                <c:pt idx="5">
                  <c:v>196.19074999999998</c:v>
                </c:pt>
                <c:pt idx="6">
                  <c:v>374.90700000000004</c:v>
                </c:pt>
                <c:pt idx="7">
                  <c:v>99.724999999999966</c:v>
                </c:pt>
                <c:pt idx="8">
                  <c:v>309.63049999999998</c:v>
                </c:pt>
                <c:pt idx="9">
                  <c:v>198.05000000000007</c:v>
                </c:pt>
                <c:pt idx="10">
                  <c:v>144.125</c:v>
                </c:pt>
                <c:pt idx="11">
                  <c:v>0</c:v>
                </c:pt>
                <c:pt idx="12">
                  <c:v>363.73125000000005</c:v>
                </c:pt>
                <c:pt idx="13">
                  <c:v>277.34950000000003</c:v>
                </c:pt>
                <c:pt idx="14">
                  <c:v>136.41449999999998</c:v>
                </c:pt>
                <c:pt idx="15">
                  <c:v>215.37924999999996</c:v>
                </c:pt>
                <c:pt idx="16">
                  <c:v>198.04575</c:v>
                </c:pt>
                <c:pt idx="17">
                  <c:v>144.125</c:v>
                </c:pt>
                <c:pt idx="18">
                  <c:v>99.719499999999982</c:v>
                </c:pt>
                <c:pt idx="19">
                  <c:v>309.63049999999998</c:v>
                </c:pt>
                <c:pt idx="20">
                  <c:v>139.74250000000001</c:v>
                </c:pt>
                <c:pt idx="21">
                  <c:v>144.125</c:v>
                </c:pt>
                <c:pt idx="22">
                  <c:v>0</c:v>
                </c:pt>
                <c:pt idx="23">
                  <c:v>338.71450000000004</c:v>
                </c:pt>
                <c:pt idx="24">
                  <c:v>288.32925</c:v>
                </c:pt>
                <c:pt idx="25">
                  <c:v>363.73125000000005</c:v>
                </c:pt>
                <c:pt idx="26">
                  <c:v>136.41449999999998</c:v>
                </c:pt>
                <c:pt idx="27">
                  <c:v>215.37924999999996</c:v>
                </c:pt>
                <c:pt idx="28">
                  <c:v>198.04575</c:v>
                </c:pt>
                <c:pt idx="29">
                  <c:v>306.06449999999995</c:v>
                </c:pt>
                <c:pt idx="30">
                  <c:v>316.52500000000009</c:v>
                </c:pt>
                <c:pt idx="31">
                  <c:v>136.41449999999998</c:v>
                </c:pt>
                <c:pt idx="32">
                  <c:v>271.31074999999987</c:v>
                </c:pt>
                <c:pt idx="33">
                  <c:v>215.37924999999996</c:v>
                </c:pt>
                <c:pt idx="34">
                  <c:v>721.68000000000029</c:v>
                </c:pt>
                <c:pt idx="35">
                  <c:v>551.19175000000018</c:v>
                </c:pt>
                <c:pt idx="36">
                  <c:v>534.61374999999998</c:v>
                </c:pt>
                <c:pt idx="37">
                  <c:v>215.48250000000007</c:v>
                </c:pt>
                <c:pt idx="38">
                  <c:v>309.63049999999998</c:v>
                </c:pt>
                <c:pt idx="39">
                  <c:v>288.32925</c:v>
                </c:pt>
                <c:pt idx="40">
                  <c:v>49.158324999999991</c:v>
                </c:pt>
                <c:pt idx="41">
                  <c:v>231.89542500000002</c:v>
                </c:pt>
                <c:pt idx="42">
                  <c:v>160.202</c:v>
                </c:pt>
                <c:pt idx="43">
                  <c:v>112.21424999999999</c:v>
                </c:pt>
                <c:pt idx="44">
                  <c:v>81.078750000000014</c:v>
                </c:pt>
                <c:pt idx="45">
                  <c:v>34.590000000000003</c:v>
                </c:pt>
                <c:pt idx="46">
                  <c:v>160.202</c:v>
                </c:pt>
                <c:pt idx="47">
                  <c:v>34.590000000000003</c:v>
                </c:pt>
                <c:pt idx="48">
                  <c:v>34.590000000000003</c:v>
                </c:pt>
                <c:pt idx="49">
                  <c:v>257.81174999999996</c:v>
                </c:pt>
                <c:pt idx="50">
                  <c:v>81.078750000000014</c:v>
                </c:pt>
                <c:pt idx="51">
                  <c:v>116.754175</c:v>
                </c:pt>
                <c:pt idx="52">
                  <c:v>215.48250000000007</c:v>
                </c:pt>
                <c:pt idx="53">
                  <c:v>257.81174999999996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6-4C42-A4C5-FBB1C19741B7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BDF!$A$3:$B$56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BDF!$T$3:$T$56</c:f>
              <c:numCache>
                <c:formatCode>General</c:formatCode>
                <c:ptCount val="54"/>
                <c:pt idx="0">
                  <c:v>-29.884999999999991</c:v>
                </c:pt>
                <c:pt idx="1">
                  <c:v>100.60374999999999</c:v>
                </c:pt>
                <c:pt idx="2">
                  <c:v>196.19074999999998</c:v>
                </c:pt>
                <c:pt idx="3">
                  <c:v>316.52500000000009</c:v>
                </c:pt>
                <c:pt idx="4">
                  <c:v>-113.84999999999997</c:v>
                </c:pt>
                <c:pt idx="5">
                  <c:v>196.19074999999998</c:v>
                </c:pt>
                <c:pt idx="6">
                  <c:v>174.90700000000004</c:v>
                </c:pt>
                <c:pt idx="7">
                  <c:v>-50.275000000000034</c:v>
                </c:pt>
                <c:pt idx="8">
                  <c:v>309.63049999999998</c:v>
                </c:pt>
                <c:pt idx="9">
                  <c:v>198.05000000000007</c:v>
                </c:pt>
                <c:pt idx="10">
                  <c:v>94.125</c:v>
                </c:pt>
                <c:pt idx="12">
                  <c:v>363.73125000000005</c:v>
                </c:pt>
                <c:pt idx="13">
                  <c:v>127.34950000000003</c:v>
                </c:pt>
                <c:pt idx="14">
                  <c:v>136.41449999999998</c:v>
                </c:pt>
                <c:pt idx="15">
                  <c:v>215.37924999999996</c:v>
                </c:pt>
                <c:pt idx="16">
                  <c:v>198.04575</c:v>
                </c:pt>
                <c:pt idx="17">
                  <c:v>94.125</c:v>
                </c:pt>
                <c:pt idx="18">
                  <c:v>-50.280500000000018</c:v>
                </c:pt>
                <c:pt idx="19">
                  <c:v>309.63049999999998</c:v>
                </c:pt>
                <c:pt idx="20">
                  <c:v>89.742499999999993</c:v>
                </c:pt>
                <c:pt idx="21">
                  <c:v>94.125</c:v>
                </c:pt>
                <c:pt idx="23">
                  <c:v>-161.28549999999996</c:v>
                </c:pt>
                <c:pt idx="24">
                  <c:v>288.32925</c:v>
                </c:pt>
                <c:pt idx="25">
                  <c:v>13.731250000000045</c:v>
                </c:pt>
                <c:pt idx="26">
                  <c:v>136.41449999999998</c:v>
                </c:pt>
                <c:pt idx="27">
                  <c:v>-34.620750000000044</c:v>
                </c:pt>
                <c:pt idx="28">
                  <c:v>-51.954250000000002</c:v>
                </c:pt>
                <c:pt idx="29">
                  <c:v>-93.935500000000047</c:v>
                </c:pt>
                <c:pt idx="30">
                  <c:v>316.52500000000009</c:v>
                </c:pt>
                <c:pt idx="31">
                  <c:v>136.41449999999998</c:v>
                </c:pt>
                <c:pt idx="32">
                  <c:v>271.31074999999987</c:v>
                </c:pt>
                <c:pt idx="33">
                  <c:v>215.37924999999996</c:v>
                </c:pt>
                <c:pt idx="34">
                  <c:v>721.68000000000029</c:v>
                </c:pt>
                <c:pt idx="35">
                  <c:v>-448.80824999999982</c:v>
                </c:pt>
                <c:pt idx="36">
                  <c:v>-565.38625000000002</c:v>
                </c:pt>
                <c:pt idx="37">
                  <c:v>15.482500000000073</c:v>
                </c:pt>
                <c:pt idx="38">
                  <c:v>309.63049999999998</c:v>
                </c:pt>
                <c:pt idx="39">
                  <c:v>288.32925</c:v>
                </c:pt>
                <c:pt idx="40">
                  <c:v>-50.841675000000009</c:v>
                </c:pt>
                <c:pt idx="41">
                  <c:v>131.89542500000002</c:v>
                </c:pt>
                <c:pt idx="42">
                  <c:v>160.202</c:v>
                </c:pt>
                <c:pt idx="43">
                  <c:v>12.214249999999993</c:v>
                </c:pt>
                <c:pt idx="44">
                  <c:v>81.078750000000014</c:v>
                </c:pt>
                <c:pt idx="45">
                  <c:v>34.590000000000003</c:v>
                </c:pt>
                <c:pt idx="46">
                  <c:v>160.202</c:v>
                </c:pt>
                <c:pt idx="47">
                  <c:v>34.590000000000003</c:v>
                </c:pt>
                <c:pt idx="48">
                  <c:v>34.590000000000003</c:v>
                </c:pt>
                <c:pt idx="49">
                  <c:v>257.81174999999996</c:v>
                </c:pt>
                <c:pt idx="50">
                  <c:v>81.078750000000014</c:v>
                </c:pt>
                <c:pt idx="51">
                  <c:v>116.754175</c:v>
                </c:pt>
                <c:pt idx="52">
                  <c:v>15.482500000000073</c:v>
                </c:pt>
                <c:pt idx="53">
                  <c:v>257.81174999999996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F6-4C42-A4C5-FBB1C1974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831808"/>
        <c:axId val="189841792"/>
      </c:barChart>
      <c:catAx>
        <c:axId val="189831808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89841792"/>
        <c:crosses val="autoZero"/>
        <c:auto val="1"/>
        <c:lblAlgn val="ctr"/>
        <c:lblOffset val="100"/>
        <c:noMultiLvlLbl val="0"/>
      </c:catAx>
      <c:valAx>
        <c:axId val="189841792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8318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171450</xdr:colOff>
      <xdr:row>2</xdr:row>
      <xdr:rowOff>95250</xdr:rowOff>
    </xdr:from>
    <xdr:to>
      <xdr:col>18</xdr:col>
      <xdr:colOff>461010</xdr:colOff>
      <xdr:row>25</xdr:row>
      <xdr:rowOff>123825</xdr:rowOff>
    </xdr:to>
    <xdr:pic>
      <xdr:nvPicPr>
        <xdr:cNvPr id="350" name="Picture 349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476250"/>
          <a:ext cx="3718560" cy="4200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21</xdr:col>
      <xdr:colOff>38100</xdr:colOff>
      <xdr:row>2</xdr:row>
      <xdr:rowOff>129267</xdr:rowOff>
    </xdr:from>
    <xdr:to>
      <xdr:col>26</xdr:col>
      <xdr:colOff>636494</xdr:colOff>
      <xdr:row>25</xdr:row>
      <xdr:rowOff>171450</xdr:rowOff>
    </xdr:to>
    <xdr:pic>
      <xdr:nvPicPr>
        <xdr:cNvPr id="352" name="Picture 351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4100" y="500742"/>
          <a:ext cx="4027394" cy="4214133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19</xdr:col>
      <xdr:colOff>647700</xdr:colOff>
      <xdr:row>9</xdr:row>
      <xdr:rowOff>76201</xdr:rowOff>
    </xdr:from>
    <xdr:to>
      <xdr:col>20</xdr:col>
      <xdr:colOff>126410</xdr:colOff>
      <xdr:row>22</xdr:row>
      <xdr:rowOff>22106</xdr:rowOff>
    </xdr:to>
    <xdr:sp macro="" textlink="">
      <xdr:nvSpPr>
        <xdr:cNvPr id="353" name="AutoShape 39"/>
        <xdr:cNvSpPr>
          <a:spLocks noChangeArrowheads="1"/>
        </xdr:cNvSpPr>
      </xdr:nvSpPr>
      <xdr:spPr bwMode="gray">
        <a:xfrm rot="5400000">
          <a:off x="15730302" y="2919649"/>
          <a:ext cx="2422405" cy="164510"/>
        </a:xfrm>
        <a:prstGeom prst="triangle">
          <a:avLst>
            <a:gd name="adj" fmla="val 50000"/>
          </a:avLst>
        </a:prstGeom>
        <a:gradFill rotWithShape="0">
          <a:gsLst>
            <a:gs pos="0">
              <a:srgbClr val="FFCCFF"/>
            </a:gs>
            <a:gs pos="78999">
              <a:srgbClr val="E20074"/>
            </a:gs>
            <a:gs pos="100000">
              <a:schemeClr val="tx2"/>
            </a:gs>
          </a:gsLst>
          <a:lin ang="10800000"/>
        </a:gradFill>
        <a:ln w="12700" algn="ctr">
          <a:solidFill>
            <a:schemeClr val="tx2"/>
          </a:solidFill>
          <a:round/>
          <a:headEnd/>
          <a:tailEnd/>
        </a:ln>
      </xdr:spPr>
      <xdr:txBody>
        <a:bodyPr rot="10800000" vert="eaVert" wrap="square" lIns="79383" tIns="0" rIns="0" bIns="0"/>
        <a:lstStyle>
          <a:defPPr>
            <a:defRPr lang="de-DE"/>
          </a:defPPr>
          <a:lvl1pPr marL="0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576072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152144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728216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304288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880360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456432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032504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4608576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243259" indent="-243259" algn="ctr">
            <a:spcBef>
              <a:spcPct val="0"/>
            </a:spcBef>
            <a:defRPr/>
          </a:pPr>
          <a:endParaRPr lang="en-GB" sz="1800">
            <a:solidFill>
              <a:schemeClr val="bg1"/>
            </a:solidFill>
            <a:latin typeface="Tele-GroteskFet" pitchFamily="2" charset="0"/>
            <a:cs typeface="Arial" charset="0"/>
          </a:endParaRPr>
        </a:p>
      </xdr:txBody>
    </xdr:sp>
    <xdr:clientData/>
  </xdr:twoCellAnchor>
  <xdr:oneCellAnchor>
    <xdr:from>
      <xdr:col>17</xdr:col>
      <xdr:colOff>190500</xdr:colOff>
      <xdr:row>6</xdr:row>
      <xdr:rowOff>95250</xdr:rowOff>
    </xdr:from>
    <xdr:ext cx="519693" cy="264560"/>
    <xdr:sp macro="" textlink="">
      <xdr:nvSpPr>
        <xdr:cNvPr id="2" name="TextBox 1"/>
        <xdr:cNvSpPr txBox="1"/>
      </xdr:nvSpPr>
      <xdr:spPr>
        <a:xfrm>
          <a:off x="14973300" y="1200150"/>
          <a:ext cx="5196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Berlin</a:t>
          </a:r>
          <a:endParaRPr lang="ur-PK" sz="1100"/>
        </a:p>
      </xdr:txBody>
    </xdr:sp>
    <xdr:clientData/>
  </xdr:oneCellAnchor>
  <xdr:oneCellAnchor>
    <xdr:from>
      <xdr:col>15</xdr:col>
      <xdr:colOff>238125</xdr:colOff>
      <xdr:row>8</xdr:row>
      <xdr:rowOff>38100</xdr:rowOff>
    </xdr:from>
    <xdr:ext cx="745910" cy="264560"/>
    <xdr:sp macro="" textlink="">
      <xdr:nvSpPr>
        <xdr:cNvPr id="7" name="TextBox 6"/>
        <xdr:cNvSpPr txBox="1"/>
      </xdr:nvSpPr>
      <xdr:spPr>
        <a:xfrm>
          <a:off x="13649325" y="1504950"/>
          <a:ext cx="7459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Hannover</a:t>
          </a:r>
          <a:endParaRPr lang="ur-PK" sz="1100"/>
        </a:p>
      </xdr:txBody>
    </xdr:sp>
    <xdr:clientData/>
  </xdr:oneCellAnchor>
  <xdr:oneCellAnchor>
    <xdr:from>
      <xdr:col>15</xdr:col>
      <xdr:colOff>361950</xdr:colOff>
      <xdr:row>4</xdr:row>
      <xdr:rowOff>85725</xdr:rowOff>
    </xdr:from>
    <xdr:ext cx="716671" cy="264560"/>
    <xdr:sp macro="" textlink="">
      <xdr:nvSpPr>
        <xdr:cNvPr id="8" name="TextBox 7"/>
        <xdr:cNvSpPr txBox="1"/>
      </xdr:nvSpPr>
      <xdr:spPr>
        <a:xfrm>
          <a:off x="13773150" y="819150"/>
          <a:ext cx="7166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Hamburg</a:t>
          </a:r>
          <a:endParaRPr lang="ur-PK" sz="1100"/>
        </a:p>
      </xdr:txBody>
    </xdr:sp>
    <xdr:clientData/>
  </xdr:oneCellAnchor>
  <xdr:oneCellAnchor>
    <xdr:from>
      <xdr:col>16</xdr:col>
      <xdr:colOff>676275</xdr:colOff>
      <xdr:row>11</xdr:row>
      <xdr:rowOff>133350</xdr:rowOff>
    </xdr:from>
    <xdr:ext cx="575222" cy="264560"/>
    <xdr:sp macro="" textlink="">
      <xdr:nvSpPr>
        <xdr:cNvPr id="9" name="TextBox 8"/>
        <xdr:cNvSpPr txBox="1"/>
      </xdr:nvSpPr>
      <xdr:spPr>
        <a:xfrm>
          <a:off x="14773275" y="2143125"/>
          <a:ext cx="5752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Leipzig</a:t>
          </a:r>
          <a:endParaRPr lang="ur-PK" sz="1100"/>
        </a:p>
      </xdr:txBody>
    </xdr:sp>
    <xdr:clientData/>
  </xdr:oneCellAnchor>
  <xdr:oneCellAnchor>
    <xdr:from>
      <xdr:col>14</xdr:col>
      <xdr:colOff>171450</xdr:colOff>
      <xdr:row>9</xdr:row>
      <xdr:rowOff>123825</xdr:rowOff>
    </xdr:from>
    <xdr:ext cx="777329" cy="264560"/>
    <xdr:sp macro="" textlink="">
      <xdr:nvSpPr>
        <xdr:cNvPr id="10" name="TextBox 9"/>
        <xdr:cNvSpPr txBox="1"/>
      </xdr:nvSpPr>
      <xdr:spPr>
        <a:xfrm>
          <a:off x="12896850" y="1771650"/>
          <a:ext cx="7773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Dortmund</a:t>
          </a:r>
          <a:endParaRPr lang="ur-PK" sz="1100"/>
        </a:p>
      </xdr:txBody>
    </xdr:sp>
    <xdr:clientData/>
  </xdr:oneCellAnchor>
  <xdr:oneCellAnchor>
    <xdr:from>
      <xdr:col>13</xdr:col>
      <xdr:colOff>85725</xdr:colOff>
      <xdr:row>10</xdr:row>
      <xdr:rowOff>85725</xdr:rowOff>
    </xdr:from>
    <xdr:ext cx="869405" cy="264560"/>
    <xdr:sp macro="" textlink="">
      <xdr:nvSpPr>
        <xdr:cNvPr id="11" name="TextBox 10"/>
        <xdr:cNvSpPr txBox="1"/>
      </xdr:nvSpPr>
      <xdr:spPr>
        <a:xfrm>
          <a:off x="12125325" y="1914525"/>
          <a:ext cx="8694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050"/>
            <a:t>Duesseldorf</a:t>
          </a:r>
          <a:endParaRPr lang="ur-PK" sz="1050"/>
        </a:p>
      </xdr:txBody>
    </xdr:sp>
    <xdr:clientData/>
  </xdr:oneCellAnchor>
  <xdr:oneCellAnchor>
    <xdr:from>
      <xdr:col>21</xdr:col>
      <xdr:colOff>666750</xdr:colOff>
      <xdr:row>10</xdr:row>
      <xdr:rowOff>104775</xdr:rowOff>
    </xdr:from>
    <xdr:ext cx="777329" cy="264560"/>
    <xdr:sp macro="" textlink="">
      <xdr:nvSpPr>
        <xdr:cNvPr id="12" name="TextBox 11"/>
        <xdr:cNvSpPr txBox="1"/>
      </xdr:nvSpPr>
      <xdr:spPr>
        <a:xfrm>
          <a:off x="18192750" y="1933575"/>
          <a:ext cx="7773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Dortmund</a:t>
          </a:r>
          <a:endParaRPr lang="ur-PK" sz="1100"/>
        </a:p>
      </xdr:txBody>
    </xdr:sp>
    <xdr:clientData/>
  </xdr:oneCellAnchor>
  <xdr:oneCellAnchor>
    <xdr:from>
      <xdr:col>13</xdr:col>
      <xdr:colOff>457200</xdr:colOff>
      <xdr:row>14</xdr:row>
      <xdr:rowOff>171450</xdr:rowOff>
    </xdr:from>
    <xdr:ext cx="438838" cy="264560"/>
    <xdr:sp macro="" textlink="">
      <xdr:nvSpPr>
        <xdr:cNvPr id="13" name="TextBox 12"/>
        <xdr:cNvSpPr txBox="1"/>
      </xdr:nvSpPr>
      <xdr:spPr>
        <a:xfrm>
          <a:off x="12496800" y="2724150"/>
          <a:ext cx="4388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Koln</a:t>
          </a:r>
          <a:endParaRPr lang="ur-PK" sz="1100"/>
        </a:p>
      </xdr:txBody>
    </xdr:sp>
    <xdr:clientData/>
  </xdr:oneCellAnchor>
  <xdr:oneCellAnchor>
    <xdr:from>
      <xdr:col>21</xdr:col>
      <xdr:colOff>581025</xdr:colOff>
      <xdr:row>15</xdr:row>
      <xdr:rowOff>85725</xdr:rowOff>
    </xdr:from>
    <xdr:ext cx="438838" cy="264560"/>
    <xdr:sp macro="" textlink="">
      <xdr:nvSpPr>
        <xdr:cNvPr id="14" name="TextBox 13"/>
        <xdr:cNvSpPr txBox="1"/>
      </xdr:nvSpPr>
      <xdr:spPr>
        <a:xfrm>
          <a:off x="18107025" y="2819400"/>
          <a:ext cx="4388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Koln</a:t>
          </a:r>
          <a:endParaRPr lang="ur-PK" sz="1100"/>
        </a:p>
      </xdr:txBody>
    </xdr:sp>
    <xdr:clientData/>
  </xdr:oneCellAnchor>
  <xdr:oneCellAnchor>
    <xdr:from>
      <xdr:col>24</xdr:col>
      <xdr:colOff>552450</xdr:colOff>
      <xdr:row>11</xdr:row>
      <xdr:rowOff>133350</xdr:rowOff>
    </xdr:from>
    <xdr:ext cx="575222" cy="264560"/>
    <xdr:sp macro="" textlink="">
      <xdr:nvSpPr>
        <xdr:cNvPr id="15" name="TextBox 14"/>
        <xdr:cNvSpPr txBox="1"/>
      </xdr:nvSpPr>
      <xdr:spPr>
        <a:xfrm>
          <a:off x="20135850" y="2143125"/>
          <a:ext cx="5752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Leipzig</a:t>
          </a:r>
          <a:endParaRPr lang="ur-PK" sz="1100"/>
        </a:p>
      </xdr:txBody>
    </xdr:sp>
    <xdr:clientData/>
  </xdr:oneCellAnchor>
  <xdr:oneCellAnchor>
    <xdr:from>
      <xdr:col>24</xdr:col>
      <xdr:colOff>657225</xdr:colOff>
      <xdr:row>7</xdr:row>
      <xdr:rowOff>104775</xdr:rowOff>
    </xdr:from>
    <xdr:ext cx="519693" cy="264560"/>
    <xdr:sp macro="" textlink="">
      <xdr:nvSpPr>
        <xdr:cNvPr id="16" name="TextBox 15"/>
        <xdr:cNvSpPr txBox="1"/>
      </xdr:nvSpPr>
      <xdr:spPr>
        <a:xfrm>
          <a:off x="20240625" y="1390650"/>
          <a:ext cx="5196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Berlin</a:t>
          </a:r>
          <a:endParaRPr lang="ur-PK" sz="1100"/>
        </a:p>
      </xdr:txBody>
    </xdr:sp>
    <xdr:clientData/>
  </xdr:oneCellAnchor>
  <xdr:oneCellAnchor>
    <xdr:from>
      <xdr:col>23</xdr:col>
      <xdr:colOff>371475</xdr:colOff>
      <xdr:row>6</xdr:row>
      <xdr:rowOff>9525</xdr:rowOff>
    </xdr:from>
    <xdr:ext cx="716671" cy="264560"/>
    <xdr:sp macro="" textlink="">
      <xdr:nvSpPr>
        <xdr:cNvPr id="17" name="TextBox 16"/>
        <xdr:cNvSpPr txBox="1"/>
      </xdr:nvSpPr>
      <xdr:spPr>
        <a:xfrm>
          <a:off x="19269075" y="1114425"/>
          <a:ext cx="7166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Hamburg</a:t>
          </a:r>
          <a:endParaRPr lang="ur-PK" sz="1100"/>
        </a:p>
      </xdr:txBody>
    </xdr:sp>
    <xdr:clientData/>
  </xdr:oneCellAnchor>
  <xdr:oneCellAnchor>
    <xdr:from>
      <xdr:col>23</xdr:col>
      <xdr:colOff>333375</xdr:colOff>
      <xdr:row>9</xdr:row>
      <xdr:rowOff>66675</xdr:rowOff>
    </xdr:from>
    <xdr:ext cx="745910" cy="264560"/>
    <xdr:sp macro="" textlink="">
      <xdr:nvSpPr>
        <xdr:cNvPr id="18" name="TextBox 17"/>
        <xdr:cNvSpPr txBox="1"/>
      </xdr:nvSpPr>
      <xdr:spPr>
        <a:xfrm>
          <a:off x="19230975" y="1714500"/>
          <a:ext cx="7459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Hannover</a:t>
          </a:r>
          <a:endParaRPr lang="ur-PK" sz="1100"/>
        </a:p>
      </xdr:txBody>
    </xdr:sp>
    <xdr:clientData/>
  </xdr:oneCellAnchor>
  <xdr:oneCellAnchor>
    <xdr:from>
      <xdr:col>22</xdr:col>
      <xdr:colOff>561975</xdr:colOff>
      <xdr:row>15</xdr:row>
      <xdr:rowOff>123825</xdr:rowOff>
    </xdr:from>
    <xdr:ext cx="718082" cy="264560"/>
    <xdr:sp macro="" textlink="">
      <xdr:nvSpPr>
        <xdr:cNvPr id="20" name="TextBox 19"/>
        <xdr:cNvSpPr txBox="1"/>
      </xdr:nvSpPr>
      <xdr:spPr>
        <a:xfrm>
          <a:off x="18773775" y="2857500"/>
          <a:ext cx="7180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Frankfurt</a:t>
          </a:r>
          <a:endParaRPr lang="ur-PK" sz="1100"/>
        </a:p>
      </xdr:txBody>
    </xdr:sp>
    <xdr:clientData/>
  </xdr:oneCellAnchor>
  <xdr:oneCellAnchor>
    <xdr:from>
      <xdr:col>14</xdr:col>
      <xdr:colOff>466725</xdr:colOff>
      <xdr:row>15</xdr:row>
      <xdr:rowOff>28575</xdr:rowOff>
    </xdr:from>
    <xdr:ext cx="718082" cy="264560"/>
    <xdr:sp macro="" textlink="">
      <xdr:nvSpPr>
        <xdr:cNvPr id="21" name="TextBox 20"/>
        <xdr:cNvSpPr txBox="1"/>
      </xdr:nvSpPr>
      <xdr:spPr>
        <a:xfrm>
          <a:off x="13192125" y="2762250"/>
          <a:ext cx="7180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Frankfurt</a:t>
          </a:r>
          <a:endParaRPr lang="ur-PK" sz="1100"/>
        </a:p>
      </xdr:txBody>
    </xdr:sp>
    <xdr:clientData/>
  </xdr:oneCellAnchor>
  <xdr:oneCellAnchor>
    <xdr:from>
      <xdr:col>20</xdr:col>
      <xdr:colOff>666750</xdr:colOff>
      <xdr:row>11</xdr:row>
      <xdr:rowOff>133350</xdr:rowOff>
    </xdr:from>
    <xdr:ext cx="869405" cy="264560"/>
    <xdr:sp macro="" textlink="">
      <xdr:nvSpPr>
        <xdr:cNvPr id="22" name="TextBox 21"/>
        <xdr:cNvSpPr txBox="1"/>
      </xdr:nvSpPr>
      <xdr:spPr>
        <a:xfrm>
          <a:off x="17506950" y="2143125"/>
          <a:ext cx="8694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Duesseldorf</a:t>
          </a:r>
          <a:endParaRPr lang="ur-PK" sz="1100"/>
        </a:p>
      </xdr:txBody>
    </xdr:sp>
    <xdr:clientData/>
  </xdr:oneCellAnchor>
  <xdr:oneCellAnchor>
    <xdr:from>
      <xdr:col>24</xdr:col>
      <xdr:colOff>47625</xdr:colOff>
      <xdr:row>17</xdr:row>
      <xdr:rowOff>114300</xdr:rowOff>
    </xdr:from>
    <xdr:ext cx="733085" cy="264560"/>
    <xdr:sp macro="" textlink="">
      <xdr:nvSpPr>
        <xdr:cNvPr id="23" name="TextBox 22"/>
        <xdr:cNvSpPr txBox="1"/>
      </xdr:nvSpPr>
      <xdr:spPr>
        <a:xfrm>
          <a:off x="19631025" y="3209925"/>
          <a:ext cx="7330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Nurnberg</a:t>
          </a:r>
          <a:endParaRPr lang="ur-PK" sz="1100"/>
        </a:p>
      </xdr:txBody>
    </xdr:sp>
    <xdr:clientData/>
  </xdr:oneCellAnchor>
  <xdr:oneCellAnchor>
    <xdr:from>
      <xdr:col>16</xdr:col>
      <xdr:colOff>0</xdr:colOff>
      <xdr:row>17</xdr:row>
      <xdr:rowOff>85725</xdr:rowOff>
    </xdr:from>
    <xdr:ext cx="733085" cy="264560"/>
    <xdr:sp macro="" textlink="">
      <xdr:nvSpPr>
        <xdr:cNvPr id="24" name="TextBox 23"/>
        <xdr:cNvSpPr txBox="1"/>
      </xdr:nvSpPr>
      <xdr:spPr>
        <a:xfrm>
          <a:off x="14097000" y="3181350"/>
          <a:ext cx="7330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Nurnberg</a:t>
          </a:r>
          <a:endParaRPr lang="ur-PK" sz="1100"/>
        </a:p>
      </xdr:txBody>
    </xdr:sp>
    <xdr:clientData/>
  </xdr:oneCellAnchor>
  <xdr:oneCellAnchor>
    <xdr:from>
      <xdr:col>14</xdr:col>
      <xdr:colOff>314325</xdr:colOff>
      <xdr:row>19</xdr:row>
      <xdr:rowOff>9525</xdr:rowOff>
    </xdr:from>
    <xdr:ext cx="695832" cy="264560"/>
    <xdr:sp macro="" textlink="">
      <xdr:nvSpPr>
        <xdr:cNvPr id="25" name="TextBox 24"/>
        <xdr:cNvSpPr txBox="1"/>
      </xdr:nvSpPr>
      <xdr:spPr>
        <a:xfrm>
          <a:off x="13039725" y="3467100"/>
          <a:ext cx="6958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Stuttgart</a:t>
          </a:r>
          <a:endParaRPr lang="ur-PK" sz="1100"/>
        </a:p>
      </xdr:txBody>
    </xdr:sp>
    <xdr:clientData/>
  </xdr:oneCellAnchor>
  <xdr:oneCellAnchor>
    <xdr:from>
      <xdr:col>15</xdr:col>
      <xdr:colOff>180975</xdr:colOff>
      <xdr:row>23</xdr:row>
      <xdr:rowOff>47625</xdr:rowOff>
    </xdr:from>
    <xdr:ext cx="420243" cy="264560"/>
    <xdr:sp macro="" textlink="">
      <xdr:nvSpPr>
        <xdr:cNvPr id="26" name="TextBox 25"/>
        <xdr:cNvSpPr txBox="1"/>
      </xdr:nvSpPr>
      <xdr:spPr>
        <a:xfrm>
          <a:off x="13592175" y="4229100"/>
          <a:ext cx="4202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Ulm</a:t>
          </a:r>
          <a:endParaRPr lang="ur-PK" sz="1100"/>
        </a:p>
      </xdr:txBody>
    </xdr:sp>
    <xdr:clientData/>
  </xdr:oneCellAnchor>
  <xdr:oneCellAnchor>
    <xdr:from>
      <xdr:col>23</xdr:col>
      <xdr:colOff>238125</xdr:colOff>
      <xdr:row>23</xdr:row>
      <xdr:rowOff>28575</xdr:rowOff>
    </xdr:from>
    <xdr:ext cx="420243" cy="264560"/>
    <xdr:sp macro="" textlink="">
      <xdr:nvSpPr>
        <xdr:cNvPr id="27" name="TextBox 26"/>
        <xdr:cNvSpPr txBox="1"/>
      </xdr:nvSpPr>
      <xdr:spPr>
        <a:xfrm>
          <a:off x="19135725" y="4210050"/>
          <a:ext cx="4202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Ulm</a:t>
          </a:r>
          <a:endParaRPr lang="ur-PK" sz="1100"/>
        </a:p>
      </xdr:txBody>
    </xdr:sp>
    <xdr:clientData/>
  </xdr:oneCellAnchor>
  <xdr:oneCellAnchor>
    <xdr:from>
      <xdr:col>22</xdr:col>
      <xdr:colOff>171450</xdr:colOff>
      <xdr:row>19</xdr:row>
      <xdr:rowOff>95250</xdr:rowOff>
    </xdr:from>
    <xdr:ext cx="695832" cy="264560"/>
    <xdr:sp macro="" textlink="">
      <xdr:nvSpPr>
        <xdr:cNvPr id="28" name="TextBox 27"/>
        <xdr:cNvSpPr txBox="1"/>
      </xdr:nvSpPr>
      <xdr:spPr>
        <a:xfrm>
          <a:off x="18383250" y="3552825"/>
          <a:ext cx="6958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Stuttgart</a:t>
          </a:r>
          <a:endParaRPr lang="ur-PK" sz="1100"/>
        </a:p>
      </xdr:txBody>
    </xdr:sp>
    <xdr:clientData/>
  </xdr:oneCellAnchor>
  <xdr:oneCellAnchor>
    <xdr:from>
      <xdr:col>24</xdr:col>
      <xdr:colOff>457200</xdr:colOff>
      <xdr:row>22</xdr:row>
      <xdr:rowOff>85725</xdr:rowOff>
    </xdr:from>
    <xdr:ext cx="619657" cy="264560"/>
    <xdr:sp macro="" textlink="">
      <xdr:nvSpPr>
        <xdr:cNvPr id="29" name="TextBox 28"/>
        <xdr:cNvSpPr txBox="1"/>
      </xdr:nvSpPr>
      <xdr:spPr>
        <a:xfrm>
          <a:off x="20040600" y="4086225"/>
          <a:ext cx="6196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Munich</a:t>
          </a:r>
          <a:endParaRPr lang="ur-PK" sz="1100"/>
        </a:p>
      </xdr:txBody>
    </xdr:sp>
    <xdr:clientData/>
  </xdr:oneCellAnchor>
  <xdr:oneCellAnchor>
    <xdr:from>
      <xdr:col>16</xdr:col>
      <xdr:colOff>476250</xdr:colOff>
      <xdr:row>22</xdr:row>
      <xdr:rowOff>66675</xdr:rowOff>
    </xdr:from>
    <xdr:ext cx="619657" cy="264560"/>
    <xdr:sp macro="" textlink="">
      <xdr:nvSpPr>
        <xdr:cNvPr id="30" name="TextBox 29"/>
        <xdr:cNvSpPr txBox="1"/>
      </xdr:nvSpPr>
      <xdr:spPr>
        <a:xfrm>
          <a:off x="14573250" y="4067175"/>
          <a:ext cx="6196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Munich</a:t>
          </a:r>
          <a:endParaRPr lang="ur-PK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21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21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101865</xdr:colOff>
      <xdr:row>21</xdr:row>
      <xdr:rowOff>168274</xdr:rowOff>
    </xdr:from>
    <xdr:to>
      <xdr:col>42</xdr:col>
      <xdr:colOff>508000</xdr:colOff>
      <xdr:row>38</xdr:row>
      <xdr:rowOff>46302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21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21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6614</xdr:colOff>
      <xdr:row>15</xdr:row>
      <xdr:rowOff>120648</xdr:rowOff>
    </xdr:from>
    <xdr:to>
      <xdr:col>44</xdr:col>
      <xdr:colOff>412749</xdr:colOff>
      <xdr:row>31</xdr:row>
      <xdr:rowOff>153458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101865</xdr:colOff>
      <xdr:row>12</xdr:row>
      <xdr:rowOff>106098</xdr:rowOff>
    </xdr:from>
    <xdr:to>
      <xdr:col>9</xdr:col>
      <xdr:colOff>393097</xdr:colOff>
      <xdr:row>27</xdr:row>
      <xdr:rowOff>110860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694531</xdr:colOff>
      <xdr:row>13</xdr:row>
      <xdr:rowOff>169598</xdr:rowOff>
    </xdr:from>
    <xdr:to>
      <xdr:col>8</xdr:col>
      <xdr:colOff>162719</xdr:colOff>
      <xdr:row>28</xdr:row>
      <xdr:rowOff>174360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162716</xdr:colOff>
      <xdr:row>18</xdr:row>
      <xdr:rowOff>96837</xdr:rowOff>
    </xdr:from>
    <xdr:to>
      <xdr:col>10</xdr:col>
      <xdr:colOff>416718</xdr:colOff>
      <xdr:row>33</xdr:row>
      <xdr:rowOff>125413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30</xdr:row>
      <xdr:rowOff>15081</xdr:rowOff>
    </xdr:from>
    <xdr:to>
      <xdr:col>10</xdr:col>
      <xdr:colOff>523875</xdr:colOff>
      <xdr:row>45</xdr:row>
      <xdr:rowOff>794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678656</xdr:colOff>
      <xdr:row>11</xdr:row>
      <xdr:rowOff>176212</xdr:rowOff>
    </xdr:from>
    <xdr:to>
      <xdr:col>38</xdr:col>
      <xdr:colOff>476251</xdr:colOff>
      <xdr:row>32</xdr:row>
      <xdr:rowOff>83343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190499</xdr:colOff>
      <xdr:row>41</xdr:row>
      <xdr:rowOff>69057</xdr:rowOff>
    </xdr:from>
    <xdr:to>
      <xdr:col>25</xdr:col>
      <xdr:colOff>416718</xdr:colOff>
      <xdr:row>55</xdr:row>
      <xdr:rowOff>145257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250031</xdr:colOff>
      <xdr:row>57</xdr:row>
      <xdr:rowOff>9525</xdr:rowOff>
    </xdr:from>
    <xdr:to>
      <xdr:col>25</xdr:col>
      <xdr:colOff>476250</xdr:colOff>
      <xdr:row>71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616959</xdr:colOff>
      <xdr:row>77</xdr:row>
      <xdr:rowOff>151535</xdr:rowOff>
    </xdr:from>
    <xdr:to>
      <xdr:col>29</xdr:col>
      <xdr:colOff>181841</xdr:colOff>
      <xdr:row>92</xdr:row>
      <xdr:rowOff>46760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572582</xdr:colOff>
      <xdr:row>109</xdr:row>
      <xdr:rowOff>34636</xdr:rowOff>
    </xdr:from>
    <xdr:to>
      <xdr:col>28</xdr:col>
      <xdr:colOff>571499</xdr:colOff>
      <xdr:row>123</xdr:row>
      <xdr:rowOff>120361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614796</xdr:colOff>
      <xdr:row>93</xdr:row>
      <xdr:rowOff>43295</xdr:rowOff>
    </xdr:from>
    <xdr:to>
      <xdr:col>29</xdr:col>
      <xdr:colOff>179678</xdr:colOff>
      <xdr:row>107</xdr:row>
      <xdr:rowOff>129020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675409</xdr:colOff>
      <xdr:row>117</xdr:row>
      <xdr:rowOff>17318</xdr:rowOff>
    </xdr:from>
    <xdr:to>
      <xdr:col>17</xdr:col>
      <xdr:colOff>501144</xdr:colOff>
      <xdr:row>131</xdr:row>
      <xdr:rowOff>103043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19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19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19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19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656166</xdr:colOff>
      <xdr:row>2</xdr:row>
      <xdr:rowOff>179917</xdr:rowOff>
    </xdr:from>
    <xdr:to>
      <xdr:col>40</xdr:col>
      <xdr:colOff>10583</xdr:colOff>
      <xdr:row>19</xdr:row>
      <xdr:rowOff>59266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20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20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22</xdr:row>
      <xdr:rowOff>120649</xdr:rowOff>
    </xdr:from>
    <xdr:to>
      <xdr:col>41</xdr:col>
      <xdr:colOff>52916</xdr:colOff>
      <xdr:row>38</xdr:row>
      <xdr:rowOff>69849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23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23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113771</xdr:colOff>
      <xdr:row>41</xdr:row>
      <xdr:rowOff>83344</xdr:rowOff>
    </xdr:from>
    <xdr:to>
      <xdr:col>27</xdr:col>
      <xdr:colOff>476249</xdr:colOff>
      <xdr:row>59</xdr:row>
      <xdr:rowOff>46302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21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21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66146</xdr:colOff>
      <xdr:row>17</xdr:row>
      <xdr:rowOff>37304</xdr:rowOff>
    </xdr:from>
    <xdr:to>
      <xdr:col>42</xdr:col>
      <xdr:colOff>472281</xdr:colOff>
      <xdr:row>33</xdr:row>
      <xdr:rowOff>10584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147638</xdr:colOff>
      <xdr:row>31</xdr:row>
      <xdr:rowOff>119062</xdr:rowOff>
    </xdr:from>
    <xdr:to>
      <xdr:col>53</xdr:col>
      <xdr:colOff>335756</xdr:colOff>
      <xdr:row>50</xdr:row>
      <xdr:rowOff>11905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21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21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351895</xdr:colOff>
      <xdr:row>9</xdr:row>
      <xdr:rowOff>108743</xdr:rowOff>
    </xdr:from>
    <xdr:to>
      <xdr:col>43</xdr:col>
      <xdr:colOff>162717</xdr:colOff>
      <xdr:row>25</xdr:row>
      <xdr:rowOff>189178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21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21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399520</xdr:colOff>
      <xdr:row>19</xdr:row>
      <xdr:rowOff>1586</xdr:rowOff>
    </xdr:from>
    <xdr:to>
      <xdr:col>42</xdr:col>
      <xdr:colOff>210343</xdr:colOff>
      <xdr:row>35</xdr:row>
      <xdr:rowOff>46302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638" displayName="Table638" ref="A3:C4" totalsRowShown="0" headerRowDxfId="24" dataDxfId="22" headerRowBorderDxfId="23" headerRowCellStyle="Neutral" dataCellStyle="Comma">
  <tableColumns count="3">
    <tableColumn id="1" name="IP Links" dataDxfId="21" dataCellStyle="Comma"/>
    <tableColumn id="2" name="Working capacity of IP link e [Gbit/s]:" dataDxfId="20" dataCellStyle="Comma"/>
    <tableColumn id="4" name="Spare capacity of IP link e [Gbit/s]:" dataDxfId="19" dataCellStyle="Comma">
      <calculatedColumnFormula>D4-B4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34"/>
  <sheetViews>
    <sheetView topLeftCell="C1" zoomScale="60" zoomScaleNormal="60" workbookViewId="0">
      <selection activeCell="M56" sqref="M56"/>
    </sheetView>
  </sheetViews>
  <sheetFormatPr defaultRowHeight="15"/>
  <cols>
    <col min="2" max="2" width="13.140625" customWidth="1"/>
    <col min="3" max="3" width="12.42578125" customWidth="1"/>
    <col min="4" max="4" width="18.42578125" customWidth="1"/>
    <col min="5" max="5" width="17.42578125" customWidth="1"/>
    <col min="6" max="8" width="22.28515625" customWidth="1"/>
    <col min="9" max="9" width="18.5703125" customWidth="1"/>
    <col min="10" max="10" width="17.140625" customWidth="1"/>
    <col min="11" max="12" width="17" customWidth="1"/>
  </cols>
  <sheetData>
    <row r="1" spans="1:23">
      <c r="A1" s="4" t="s">
        <v>32</v>
      </c>
      <c r="B1" s="4" t="s">
        <v>35</v>
      </c>
      <c r="C1" s="4" t="s">
        <v>34</v>
      </c>
      <c r="D1" s="4" t="s">
        <v>1</v>
      </c>
      <c r="E1" s="4" t="s">
        <v>41</v>
      </c>
      <c r="F1" s="4" t="s">
        <v>37</v>
      </c>
      <c r="G1" s="264" t="s">
        <v>456</v>
      </c>
      <c r="H1" s="264" t="s">
        <v>458</v>
      </c>
      <c r="I1" s="264" t="s">
        <v>43</v>
      </c>
      <c r="J1" s="4" t="s">
        <v>33</v>
      </c>
      <c r="K1" s="4" t="s">
        <v>42</v>
      </c>
      <c r="L1" s="4" t="s">
        <v>79</v>
      </c>
    </row>
    <row r="2" spans="1:23">
      <c r="A2" s="5" t="s">
        <v>0</v>
      </c>
      <c r="B2" s="6" t="s">
        <v>72</v>
      </c>
      <c r="C2" s="7">
        <v>774.56</v>
      </c>
      <c r="D2" s="8" t="s">
        <v>75</v>
      </c>
      <c r="E2" s="7">
        <v>150</v>
      </c>
      <c r="F2" s="7">
        <v>593.39250000000004</v>
      </c>
      <c r="G2" s="11">
        <v>2.5</v>
      </c>
      <c r="H2" s="11">
        <f>G2*F2</f>
        <v>1483.48125</v>
      </c>
      <c r="I2" s="11">
        <f>CEILING(H2/(E2*0.84),1)</f>
        <v>12</v>
      </c>
      <c r="J2" s="7">
        <f>I2*E2</f>
        <v>1800</v>
      </c>
      <c r="K2" s="7">
        <f>J2-H2</f>
        <v>316.51874999999995</v>
      </c>
      <c r="L2" s="9">
        <f>(H2/J2)*100</f>
        <v>82.415625000000006</v>
      </c>
      <c r="P2" s="3" t="s">
        <v>39</v>
      </c>
      <c r="W2" s="3" t="s">
        <v>40</v>
      </c>
    </row>
    <row r="3" spans="1:23">
      <c r="A3" s="5" t="s">
        <v>2</v>
      </c>
      <c r="B3" s="10" t="s">
        <v>73</v>
      </c>
      <c r="C3" s="11">
        <v>386.9</v>
      </c>
      <c r="D3" s="11" t="s">
        <v>76</v>
      </c>
      <c r="E3" s="11">
        <v>200</v>
      </c>
      <c r="F3" s="11">
        <v>131.95400000000001</v>
      </c>
      <c r="G3" s="315">
        <v>2.5</v>
      </c>
      <c r="H3" s="11">
        <f t="shared" ref="H3:H32" si="0">G3*F3</f>
        <v>329.88499999999999</v>
      </c>
      <c r="I3" s="11">
        <f t="shared" ref="I3:I32" si="1">CEILING(H3/(E3*0.84),1)</f>
        <v>2</v>
      </c>
      <c r="J3" s="11">
        <f t="shared" ref="J3:J32" si="2">I3*E3</f>
        <v>400</v>
      </c>
      <c r="K3" s="385">
        <f t="shared" ref="K3:K32" si="3">J3-H3</f>
        <v>70.115000000000009</v>
      </c>
      <c r="L3" s="12">
        <f t="shared" ref="L3:L32" si="4">(H3/J3)*100</f>
        <v>82.471249999999998</v>
      </c>
    </row>
    <row r="4" spans="1:23">
      <c r="A4" s="5" t="s">
        <v>3</v>
      </c>
      <c r="B4" s="10" t="s">
        <v>44</v>
      </c>
      <c r="C4" s="11">
        <v>424.31</v>
      </c>
      <c r="D4" s="13" t="s">
        <v>76</v>
      </c>
      <c r="E4" s="11">
        <v>200</v>
      </c>
      <c r="F4" s="11">
        <v>79.758499999999998</v>
      </c>
      <c r="G4" s="315">
        <v>2.5</v>
      </c>
      <c r="H4" s="11">
        <f t="shared" si="0"/>
        <v>199.39625000000001</v>
      </c>
      <c r="I4" s="11">
        <f t="shared" si="1"/>
        <v>2</v>
      </c>
      <c r="J4" s="11">
        <f t="shared" si="2"/>
        <v>400</v>
      </c>
      <c r="K4" s="385">
        <f t="shared" si="3"/>
        <v>200.60374999999999</v>
      </c>
      <c r="L4" s="12">
        <f t="shared" si="4"/>
        <v>49.849062500000002</v>
      </c>
      <c r="P4" s="1"/>
    </row>
    <row r="5" spans="1:23">
      <c r="A5" s="5" t="s">
        <v>4</v>
      </c>
      <c r="B5" s="10" t="s">
        <v>45</v>
      </c>
      <c r="C5" s="11">
        <v>221.095</v>
      </c>
      <c r="D5" s="11" t="s">
        <v>77</v>
      </c>
      <c r="E5" s="11">
        <v>250</v>
      </c>
      <c r="F5" s="11">
        <v>165.54</v>
      </c>
      <c r="G5" s="315">
        <v>2.5</v>
      </c>
      <c r="H5" s="11">
        <f t="shared" si="0"/>
        <v>413.84999999999997</v>
      </c>
      <c r="I5" s="11">
        <f t="shared" si="1"/>
        <v>2</v>
      </c>
      <c r="J5" s="11">
        <f t="shared" si="2"/>
        <v>500</v>
      </c>
      <c r="K5" s="385">
        <f t="shared" si="3"/>
        <v>86.150000000000034</v>
      </c>
      <c r="L5" s="12">
        <f t="shared" si="4"/>
        <v>82.769999999999982</v>
      </c>
      <c r="O5" s="2" t="s">
        <v>38</v>
      </c>
      <c r="P5" s="1"/>
    </row>
    <row r="6" spans="1:23">
      <c r="A6" s="5" t="s">
        <v>5</v>
      </c>
      <c r="B6" s="10" t="s">
        <v>46</v>
      </c>
      <c r="C6" s="11">
        <v>87.444999999999993</v>
      </c>
      <c r="D6" s="11" t="s">
        <v>78</v>
      </c>
      <c r="E6" s="11">
        <v>300</v>
      </c>
      <c r="F6" s="11">
        <v>330.03719999999998</v>
      </c>
      <c r="G6" s="315">
        <v>2.5</v>
      </c>
      <c r="H6" s="11">
        <f t="shared" si="0"/>
        <v>825.09299999999996</v>
      </c>
      <c r="I6" s="11">
        <f t="shared" si="1"/>
        <v>4</v>
      </c>
      <c r="J6" s="11">
        <f t="shared" si="2"/>
        <v>1200</v>
      </c>
      <c r="K6" s="385">
        <f t="shared" si="3"/>
        <v>374.90700000000004</v>
      </c>
      <c r="L6" s="12">
        <f t="shared" si="4"/>
        <v>68.757750000000001</v>
      </c>
      <c r="P6" s="1"/>
    </row>
    <row r="7" spans="1:23">
      <c r="A7" s="5" t="s">
        <v>6</v>
      </c>
      <c r="B7" s="10" t="s">
        <v>47</v>
      </c>
      <c r="C7" s="11">
        <v>341.46499999999997</v>
      </c>
      <c r="D7" s="11" t="s">
        <v>76</v>
      </c>
      <c r="E7" s="11">
        <v>200</v>
      </c>
      <c r="F7" s="11">
        <v>414.50749999999999</v>
      </c>
      <c r="G7" s="315">
        <v>2.5</v>
      </c>
      <c r="H7" s="11">
        <f t="shared" si="0"/>
        <v>1036.26875</v>
      </c>
      <c r="I7" s="11">
        <f t="shared" si="1"/>
        <v>7</v>
      </c>
      <c r="J7" s="11">
        <f t="shared" si="2"/>
        <v>1400</v>
      </c>
      <c r="K7" s="385">
        <f t="shared" si="3"/>
        <v>363.73125000000005</v>
      </c>
      <c r="L7" s="12">
        <f t="shared" si="4"/>
        <v>74.019196428571419</v>
      </c>
      <c r="P7" s="1"/>
    </row>
    <row r="8" spans="1:23">
      <c r="A8" s="5" t="s">
        <v>7</v>
      </c>
      <c r="B8" s="10" t="s">
        <v>48</v>
      </c>
      <c r="C8" s="11">
        <v>457.755</v>
      </c>
      <c r="D8" s="13" t="s">
        <v>76</v>
      </c>
      <c r="E8" s="11">
        <v>200</v>
      </c>
      <c r="F8" s="11">
        <v>200.1122</v>
      </c>
      <c r="G8" s="315">
        <v>2.5</v>
      </c>
      <c r="H8" s="11">
        <f t="shared" si="0"/>
        <v>500.28050000000002</v>
      </c>
      <c r="I8" s="11">
        <f t="shared" si="1"/>
        <v>3</v>
      </c>
      <c r="J8" s="11">
        <f t="shared" si="2"/>
        <v>600</v>
      </c>
      <c r="K8" s="385">
        <f t="shared" si="3"/>
        <v>99.719499999999982</v>
      </c>
      <c r="L8" s="12">
        <f t="shared" si="4"/>
        <v>83.380083333333332</v>
      </c>
      <c r="P8" s="1"/>
    </row>
    <row r="9" spans="1:23">
      <c r="A9" s="5" t="s">
        <v>8</v>
      </c>
      <c r="B9" s="10" t="s">
        <v>74</v>
      </c>
      <c r="C9" s="11">
        <v>632.29499999999996</v>
      </c>
      <c r="D9" s="13" t="s">
        <v>75</v>
      </c>
      <c r="E9" s="11">
        <v>150</v>
      </c>
      <c r="F9" s="20">
        <v>416.14780000000002</v>
      </c>
      <c r="G9" s="315">
        <v>2.5</v>
      </c>
      <c r="H9" s="11">
        <f t="shared" si="0"/>
        <v>1040.3695</v>
      </c>
      <c r="I9" s="11">
        <f t="shared" si="1"/>
        <v>9</v>
      </c>
      <c r="J9" s="11">
        <f t="shared" si="2"/>
        <v>1350</v>
      </c>
      <c r="K9" s="385">
        <f t="shared" si="3"/>
        <v>309.63049999999998</v>
      </c>
      <c r="L9" s="12">
        <f t="shared" si="4"/>
        <v>77.064407407407415</v>
      </c>
      <c r="P9" s="1"/>
    </row>
    <row r="10" spans="1:23">
      <c r="A10" s="5" t="s">
        <v>9</v>
      </c>
      <c r="B10" s="10" t="s">
        <v>49</v>
      </c>
      <c r="C10" s="11">
        <v>72.555000000000007</v>
      </c>
      <c r="D10" s="11" t="s">
        <v>78</v>
      </c>
      <c r="E10" s="11">
        <v>300</v>
      </c>
      <c r="F10" s="11">
        <v>249.06020000000001</v>
      </c>
      <c r="G10" s="315">
        <v>2.5</v>
      </c>
      <c r="H10" s="11">
        <f t="shared" si="0"/>
        <v>622.65049999999997</v>
      </c>
      <c r="I10" s="11">
        <f t="shared" si="1"/>
        <v>3</v>
      </c>
      <c r="J10" s="11">
        <f t="shared" si="2"/>
        <v>900</v>
      </c>
      <c r="K10" s="385">
        <f t="shared" si="3"/>
        <v>277.34950000000003</v>
      </c>
      <c r="L10" s="12">
        <f t="shared" si="4"/>
        <v>69.183388888888885</v>
      </c>
      <c r="P10" s="1"/>
    </row>
    <row r="11" spans="1:23">
      <c r="A11" s="5" t="s">
        <v>10</v>
      </c>
      <c r="B11" s="10" t="s">
        <v>50</v>
      </c>
      <c r="C11" s="11">
        <v>894.93</v>
      </c>
      <c r="D11" s="13" t="s">
        <v>75</v>
      </c>
      <c r="E11" s="11">
        <v>150</v>
      </c>
      <c r="F11" s="11">
        <v>185.4342</v>
      </c>
      <c r="G11" s="315">
        <v>2.5</v>
      </c>
      <c r="H11" s="11">
        <f t="shared" si="0"/>
        <v>463.58550000000002</v>
      </c>
      <c r="I11" s="11">
        <f t="shared" si="1"/>
        <v>4</v>
      </c>
      <c r="J11" s="11">
        <f t="shared" si="2"/>
        <v>600</v>
      </c>
      <c r="K11" s="385">
        <f t="shared" si="3"/>
        <v>136.41449999999998</v>
      </c>
      <c r="L11" s="12">
        <f t="shared" si="4"/>
        <v>77.264250000000004</v>
      </c>
      <c r="P11" s="1"/>
    </row>
    <row r="12" spans="1:23">
      <c r="A12" s="5" t="s">
        <v>11</v>
      </c>
      <c r="B12" s="10" t="s">
        <v>51</v>
      </c>
      <c r="C12" s="11">
        <v>839.23</v>
      </c>
      <c r="D12" s="13" t="s">
        <v>75</v>
      </c>
      <c r="E12" s="11">
        <v>150</v>
      </c>
      <c r="F12" s="11">
        <v>213.84829999999999</v>
      </c>
      <c r="G12" s="315">
        <v>2.5</v>
      </c>
      <c r="H12" s="11">
        <f t="shared" si="0"/>
        <v>534.62075000000004</v>
      </c>
      <c r="I12" s="11">
        <f t="shared" si="1"/>
        <v>5</v>
      </c>
      <c r="J12" s="11">
        <f t="shared" si="2"/>
        <v>750</v>
      </c>
      <c r="K12" s="385">
        <f t="shared" si="3"/>
        <v>215.37924999999996</v>
      </c>
      <c r="L12" s="12">
        <f t="shared" si="4"/>
        <v>71.282766666666674</v>
      </c>
      <c r="P12" s="1"/>
    </row>
    <row r="13" spans="1:23">
      <c r="A13" s="5" t="s">
        <v>12</v>
      </c>
      <c r="B13" s="10" t="s">
        <v>52</v>
      </c>
      <c r="C13" s="11">
        <v>428.91</v>
      </c>
      <c r="D13" s="13" t="s">
        <v>76</v>
      </c>
      <c r="E13" s="11">
        <v>200</v>
      </c>
      <c r="F13" s="11">
        <v>320.7817</v>
      </c>
      <c r="G13" s="315">
        <v>2.5</v>
      </c>
      <c r="H13" s="11">
        <f t="shared" si="0"/>
        <v>801.95425</v>
      </c>
      <c r="I13" s="11">
        <f t="shared" si="1"/>
        <v>5</v>
      </c>
      <c r="J13" s="11">
        <f t="shared" si="2"/>
        <v>1000</v>
      </c>
      <c r="K13" s="385">
        <f t="shared" si="3"/>
        <v>198.04575</v>
      </c>
      <c r="L13" s="12">
        <f t="shared" si="4"/>
        <v>80.195425</v>
      </c>
      <c r="P13" s="1"/>
    </row>
    <row r="14" spans="1:23">
      <c r="A14" s="5" t="s">
        <v>13</v>
      </c>
      <c r="B14" s="10" t="s">
        <v>53</v>
      </c>
      <c r="C14" s="11">
        <v>370.31</v>
      </c>
      <c r="D14" s="11" t="s">
        <v>76</v>
      </c>
      <c r="E14" s="11">
        <v>200</v>
      </c>
      <c r="F14" s="11">
        <v>24.103169999999999</v>
      </c>
      <c r="G14" s="315">
        <v>2.5</v>
      </c>
      <c r="H14" s="11">
        <f t="shared" si="0"/>
        <v>60.257925</v>
      </c>
      <c r="I14" s="11">
        <f t="shared" si="1"/>
        <v>1</v>
      </c>
      <c r="J14" s="11">
        <f t="shared" si="2"/>
        <v>200</v>
      </c>
      <c r="K14" s="385">
        <f t="shared" si="3"/>
        <v>139.742075</v>
      </c>
      <c r="L14" s="12">
        <f t="shared" si="4"/>
        <v>30.1289625</v>
      </c>
    </row>
    <row r="15" spans="1:23">
      <c r="A15" s="5" t="s">
        <v>14</v>
      </c>
      <c r="B15" s="10" t="s">
        <v>54</v>
      </c>
      <c r="C15" s="11">
        <v>391.72</v>
      </c>
      <c r="D15" s="11" t="s">
        <v>76</v>
      </c>
      <c r="E15" s="11">
        <v>200</v>
      </c>
      <c r="F15" s="11">
        <v>664.51419999999996</v>
      </c>
      <c r="G15" s="315">
        <v>2.5</v>
      </c>
      <c r="H15" s="11">
        <f t="shared" si="0"/>
        <v>1661.2855</v>
      </c>
      <c r="I15" s="11">
        <f t="shared" si="1"/>
        <v>10</v>
      </c>
      <c r="J15" s="11">
        <f t="shared" si="2"/>
        <v>2000</v>
      </c>
      <c r="K15" s="385">
        <f t="shared" si="3"/>
        <v>338.71450000000004</v>
      </c>
      <c r="L15" s="12">
        <f t="shared" si="4"/>
        <v>83.064274999999995</v>
      </c>
    </row>
    <row r="16" spans="1:23">
      <c r="A16" s="5" t="s">
        <v>15</v>
      </c>
      <c r="B16" s="10" t="s">
        <v>55</v>
      </c>
      <c r="C16" s="11">
        <v>566.26</v>
      </c>
      <c r="D16" s="13" t="s">
        <v>75</v>
      </c>
      <c r="E16" s="11">
        <v>150</v>
      </c>
      <c r="F16" s="11">
        <v>424.66829999999999</v>
      </c>
      <c r="G16" s="315">
        <v>2.5</v>
      </c>
      <c r="H16" s="11">
        <f t="shared" si="0"/>
        <v>1061.67075</v>
      </c>
      <c r="I16" s="11">
        <f t="shared" si="1"/>
        <v>9</v>
      </c>
      <c r="J16" s="11">
        <f t="shared" si="2"/>
        <v>1350</v>
      </c>
      <c r="K16" s="385">
        <f t="shared" si="3"/>
        <v>288.32925</v>
      </c>
      <c r="L16" s="12">
        <f t="shared" si="4"/>
        <v>78.642277777777778</v>
      </c>
    </row>
    <row r="17" spans="1:12">
      <c r="A17" s="5" t="s">
        <v>16</v>
      </c>
      <c r="B17" s="10" t="s">
        <v>56</v>
      </c>
      <c r="C17" s="11">
        <v>268.91000000000003</v>
      </c>
      <c r="D17" s="11" t="s">
        <v>77</v>
      </c>
      <c r="E17" s="11">
        <v>250</v>
      </c>
      <c r="F17" s="11">
        <v>277.57420000000002</v>
      </c>
      <c r="G17" s="315">
        <v>2.5</v>
      </c>
      <c r="H17" s="11">
        <f t="shared" si="0"/>
        <v>693.93550000000005</v>
      </c>
      <c r="I17" s="11">
        <f t="shared" si="1"/>
        <v>4</v>
      </c>
      <c r="J17" s="11">
        <f t="shared" si="2"/>
        <v>1000</v>
      </c>
      <c r="K17" s="385">
        <f t="shared" si="3"/>
        <v>306.06449999999995</v>
      </c>
      <c r="L17" s="12">
        <f t="shared" si="4"/>
        <v>69.393550000000005</v>
      </c>
    </row>
    <row r="18" spans="1:12">
      <c r="A18" s="5" t="s">
        <v>17</v>
      </c>
      <c r="B18" s="10" t="s">
        <v>57</v>
      </c>
      <c r="C18" s="11">
        <v>553.46500000000003</v>
      </c>
      <c r="D18" s="13" t="s">
        <v>75</v>
      </c>
      <c r="E18" s="11">
        <v>150</v>
      </c>
      <c r="F18" s="11">
        <v>491.47570000000002</v>
      </c>
      <c r="G18" s="315">
        <v>2.5</v>
      </c>
      <c r="H18" s="11">
        <f t="shared" si="0"/>
        <v>1228.6892500000001</v>
      </c>
      <c r="I18" s="11">
        <f t="shared" si="1"/>
        <v>10</v>
      </c>
      <c r="J18" s="11">
        <f t="shared" si="2"/>
        <v>1500</v>
      </c>
      <c r="K18" s="385">
        <f t="shared" si="3"/>
        <v>271.31074999999987</v>
      </c>
      <c r="L18" s="12">
        <f t="shared" si="4"/>
        <v>81.912616666666665</v>
      </c>
    </row>
    <row r="19" spans="1:12">
      <c r="A19" s="5" t="s">
        <v>18</v>
      </c>
      <c r="B19" s="10" t="s">
        <v>58</v>
      </c>
      <c r="C19" s="11">
        <v>497.76499999999999</v>
      </c>
      <c r="D19" s="13" t="s">
        <v>76</v>
      </c>
      <c r="E19" s="11">
        <v>200</v>
      </c>
      <c r="F19" s="20">
        <v>1151.328</v>
      </c>
      <c r="G19" s="315">
        <v>2.5</v>
      </c>
      <c r="H19" s="11">
        <f t="shared" si="0"/>
        <v>2878.3199999999997</v>
      </c>
      <c r="I19" s="11">
        <f t="shared" si="1"/>
        <v>18</v>
      </c>
      <c r="J19" s="11">
        <f t="shared" si="2"/>
        <v>3600</v>
      </c>
      <c r="K19" s="385">
        <f t="shared" si="3"/>
        <v>721.68000000000029</v>
      </c>
      <c r="L19" s="12">
        <f t="shared" si="4"/>
        <v>79.953333333333319</v>
      </c>
    </row>
    <row r="20" spans="1:12">
      <c r="A20" s="5" t="s">
        <v>19</v>
      </c>
      <c r="B20" s="10" t="s">
        <v>59</v>
      </c>
      <c r="C20" s="11">
        <v>285.27999999999997</v>
      </c>
      <c r="D20" s="11" t="s">
        <v>77</v>
      </c>
      <c r="E20" s="11">
        <v>250</v>
      </c>
      <c r="F20" s="11">
        <v>779.52329999999995</v>
      </c>
      <c r="G20" s="315">
        <v>2.5</v>
      </c>
      <c r="H20" s="11">
        <f t="shared" si="0"/>
        <v>1948.8082499999998</v>
      </c>
      <c r="I20" s="11">
        <f t="shared" si="1"/>
        <v>10</v>
      </c>
      <c r="J20" s="11">
        <f t="shared" si="2"/>
        <v>2500</v>
      </c>
      <c r="K20" s="385">
        <f t="shared" si="3"/>
        <v>551.19175000000018</v>
      </c>
      <c r="L20" s="12">
        <f t="shared" si="4"/>
        <v>77.952329999999989</v>
      </c>
    </row>
    <row r="21" spans="1:12">
      <c r="A21" s="5" t="s">
        <v>20</v>
      </c>
      <c r="B21" s="10" t="s">
        <v>60</v>
      </c>
      <c r="C21" s="11">
        <v>239.47</v>
      </c>
      <c r="D21" s="11" t="s">
        <v>77</v>
      </c>
      <c r="E21" s="11">
        <v>250</v>
      </c>
      <c r="F21" s="11">
        <v>886.15449999999998</v>
      </c>
      <c r="G21" s="315">
        <v>2.5</v>
      </c>
      <c r="H21" s="11">
        <f t="shared" si="0"/>
        <v>2215.38625</v>
      </c>
      <c r="I21" s="11">
        <f t="shared" si="1"/>
        <v>11</v>
      </c>
      <c r="J21" s="11">
        <f t="shared" si="2"/>
        <v>2750</v>
      </c>
      <c r="K21" s="385">
        <f t="shared" si="3"/>
        <v>534.61374999999998</v>
      </c>
      <c r="L21" s="12">
        <f t="shared" si="4"/>
        <v>80.5595</v>
      </c>
    </row>
    <row r="22" spans="1:12">
      <c r="A22" s="5" t="s">
        <v>21</v>
      </c>
      <c r="B22" s="10" t="s">
        <v>61</v>
      </c>
      <c r="C22" s="11">
        <v>381.34</v>
      </c>
      <c r="D22" s="11" t="s">
        <v>76</v>
      </c>
      <c r="E22" s="11">
        <v>200</v>
      </c>
      <c r="F22" s="11">
        <v>233.80699999999999</v>
      </c>
      <c r="G22" s="315">
        <v>2.5</v>
      </c>
      <c r="H22" s="11">
        <f t="shared" si="0"/>
        <v>584.51749999999993</v>
      </c>
      <c r="I22" s="11">
        <f t="shared" si="1"/>
        <v>4</v>
      </c>
      <c r="J22" s="11">
        <f t="shared" si="2"/>
        <v>800</v>
      </c>
      <c r="K22" s="385">
        <f t="shared" si="3"/>
        <v>215.48250000000007</v>
      </c>
      <c r="L22" s="12">
        <f t="shared" si="4"/>
        <v>73.064687499999991</v>
      </c>
    </row>
    <row r="23" spans="1:12">
      <c r="A23" s="5" t="s">
        <v>22</v>
      </c>
      <c r="B23" s="10" t="s">
        <v>62</v>
      </c>
      <c r="C23" s="11">
        <v>174.54</v>
      </c>
      <c r="D23" s="11" t="s">
        <v>77</v>
      </c>
      <c r="E23" s="11">
        <v>250</v>
      </c>
      <c r="F23" s="11">
        <v>80.336669999999998</v>
      </c>
      <c r="G23" s="315">
        <v>2.5</v>
      </c>
      <c r="H23" s="11">
        <f t="shared" si="0"/>
        <v>200.84167500000001</v>
      </c>
      <c r="I23" s="11">
        <f t="shared" si="1"/>
        <v>1</v>
      </c>
      <c r="J23" s="11">
        <f t="shared" si="2"/>
        <v>250</v>
      </c>
      <c r="K23" s="385">
        <f t="shared" si="3"/>
        <v>49.158324999999991</v>
      </c>
      <c r="L23" s="12">
        <f t="shared" si="4"/>
        <v>80.336669999999998</v>
      </c>
    </row>
    <row r="24" spans="1:12">
      <c r="A24" s="5" t="s">
        <v>23</v>
      </c>
      <c r="B24" s="10" t="s">
        <v>63</v>
      </c>
      <c r="C24" s="11">
        <v>530.30999999999995</v>
      </c>
      <c r="D24" s="13" t="s">
        <v>76</v>
      </c>
      <c r="E24" s="11">
        <v>200</v>
      </c>
      <c r="F24" s="11">
        <v>22.350670000000001</v>
      </c>
      <c r="G24" s="315">
        <v>2.5</v>
      </c>
      <c r="H24" s="11">
        <f t="shared" si="0"/>
        <v>55.876675000000006</v>
      </c>
      <c r="I24" s="11">
        <f t="shared" si="1"/>
        <v>1</v>
      </c>
      <c r="J24" s="11">
        <f t="shared" si="2"/>
        <v>200</v>
      </c>
      <c r="K24" s="385">
        <f t="shared" si="3"/>
        <v>144.12332499999999</v>
      </c>
      <c r="L24" s="12">
        <f t="shared" si="4"/>
        <v>27.938337500000003</v>
      </c>
    </row>
    <row r="25" spans="1:12">
      <c r="A25" s="5" t="s">
        <v>24</v>
      </c>
      <c r="B25" s="10" t="s">
        <v>64</v>
      </c>
      <c r="C25" s="11">
        <v>517.28</v>
      </c>
      <c r="D25" s="13" t="s">
        <v>76</v>
      </c>
      <c r="E25" s="11">
        <v>200</v>
      </c>
      <c r="F25" s="11">
        <v>67.241829999999993</v>
      </c>
      <c r="G25" s="315">
        <v>2.5</v>
      </c>
      <c r="H25" s="11">
        <f t="shared" si="0"/>
        <v>168.10457499999998</v>
      </c>
      <c r="I25" s="11">
        <f t="shared" si="1"/>
        <v>2</v>
      </c>
      <c r="J25" s="11">
        <f t="shared" si="2"/>
        <v>400</v>
      </c>
      <c r="K25" s="385">
        <f t="shared" si="3"/>
        <v>231.89542500000002</v>
      </c>
      <c r="L25" s="12">
        <f t="shared" si="4"/>
        <v>42.026143749999996</v>
      </c>
    </row>
    <row r="26" spans="1:12">
      <c r="A26" s="5" t="s">
        <v>25</v>
      </c>
      <c r="B26" s="10" t="s">
        <v>65</v>
      </c>
      <c r="C26" s="11">
        <v>645.40499999999997</v>
      </c>
      <c r="D26" s="13" t="s">
        <v>75</v>
      </c>
      <c r="E26" s="11">
        <v>150</v>
      </c>
      <c r="F26" s="11">
        <v>101.52370000000001</v>
      </c>
      <c r="G26" s="315">
        <v>2.5</v>
      </c>
      <c r="H26" s="11">
        <f t="shared" si="0"/>
        <v>253.80925000000002</v>
      </c>
      <c r="I26" s="11">
        <f t="shared" si="1"/>
        <v>3</v>
      </c>
      <c r="J26" s="11">
        <f t="shared" si="2"/>
        <v>450</v>
      </c>
      <c r="K26" s="385">
        <f t="shared" si="3"/>
        <v>196.19074999999998</v>
      </c>
      <c r="L26" s="12">
        <f t="shared" si="4"/>
        <v>56.402055555555563</v>
      </c>
    </row>
    <row r="27" spans="1:12">
      <c r="A27" s="5" t="s">
        <v>26</v>
      </c>
      <c r="B27" s="10" t="s">
        <v>66</v>
      </c>
      <c r="C27" s="11">
        <v>592.98500000000001</v>
      </c>
      <c r="D27" s="13" t="s">
        <v>75</v>
      </c>
      <c r="E27" s="11">
        <v>150</v>
      </c>
      <c r="F27" s="11">
        <v>175.91919999999999</v>
      </c>
      <c r="G27" s="315">
        <v>2.5</v>
      </c>
      <c r="H27" s="11">
        <f t="shared" si="0"/>
        <v>439.798</v>
      </c>
      <c r="I27" s="11">
        <f t="shared" si="1"/>
        <v>4</v>
      </c>
      <c r="J27" s="11">
        <f t="shared" si="2"/>
        <v>600</v>
      </c>
      <c r="K27" s="385">
        <f t="shared" si="3"/>
        <v>160.202</v>
      </c>
      <c r="L27" s="12">
        <f t="shared" si="4"/>
        <v>73.299666666666667</v>
      </c>
    </row>
    <row r="28" spans="1:12">
      <c r="A28" s="5" t="s">
        <v>27</v>
      </c>
      <c r="B28" s="10" t="s">
        <v>67</v>
      </c>
      <c r="C28" s="11">
        <v>374.84</v>
      </c>
      <c r="D28" s="11" t="s">
        <v>76</v>
      </c>
      <c r="E28" s="11">
        <v>200</v>
      </c>
      <c r="F28" s="11">
        <v>115.1143</v>
      </c>
      <c r="G28" s="315">
        <v>2.5</v>
      </c>
      <c r="H28" s="11">
        <f t="shared" si="0"/>
        <v>287.78575000000001</v>
      </c>
      <c r="I28" s="11">
        <f t="shared" si="1"/>
        <v>2</v>
      </c>
      <c r="J28" s="11">
        <f t="shared" si="2"/>
        <v>400</v>
      </c>
      <c r="K28" s="385">
        <f t="shared" si="3"/>
        <v>112.21424999999999</v>
      </c>
      <c r="L28" s="12">
        <f t="shared" si="4"/>
        <v>71.946437500000002</v>
      </c>
    </row>
    <row r="29" spans="1:12">
      <c r="A29" s="5" t="s">
        <v>28</v>
      </c>
      <c r="B29" s="10" t="s">
        <v>68</v>
      </c>
      <c r="C29" s="11">
        <v>675.17499999999995</v>
      </c>
      <c r="D29" s="13" t="s">
        <v>75</v>
      </c>
      <c r="E29" s="11">
        <v>150</v>
      </c>
      <c r="F29" s="11">
        <v>87.5685</v>
      </c>
      <c r="G29" s="315">
        <v>2.5</v>
      </c>
      <c r="H29" s="11">
        <f t="shared" si="0"/>
        <v>218.92124999999999</v>
      </c>
      <c r="I29" s="11">
        <f t="shared" si="1"/>
        <v>2</v>
      </c>
      <c r="J29" s="11">
        <f t="shared" si="2"/>
        <v>300</v>
      </c>
      <c r="K29" s="385">
        <f t="shared" si="3"/>
        <v>81.078750000000014</v>
      </c>
      <c r="L29" s="12">
        <f t="shared" si="4"/>
        <v>72.973749999999995</v>
      </c>
    </row>
    <row r="30" spans="1:12">
      <c r="A30" s="5" t="s">
        <v>29</v>
      </c>
      <c r="B30" s="10" t="s">
        <v>69</v>
      </c>
      <c r="C30" s="11">
        <v>768.38499999999999</v>
      </c>
      <c r="D30" s="13" t="s">
        <v>75</v>
      </c>
      <c r="E30" s="11">
        <v>150</v>
      </c>
      <c r="F30" s="11">
        <v>46.164000000000001</v>
      </c>
      <c r="G30" s="315">
        <v>2.5</v>
      </c>
      <c r="H30" s="11">
        <f t="shared" si="0"/>
        <v>115.41</v>
      </c>
      <c r="I30" s="11">
        <f t="shared" si="1"/>
        <v>1</v>
      </c>
      <c r="J30" s="11">
        <f t="shared" si="2"/>
        <v>150</v>
      </c>
      <c r="K30" s="385">
        <f t="shared" si="3"/>
        <v>34.590000000000003</v>
      </c>
      <c r="L30" s="12">
        <f t="shared" si="4"/>
        <v>76.94</v>
      </c>
    </row>
    <row r="31" spans="1:12">
      <c r="A31" s="5" t="s">
        <v>30</v>
      </c>
      <c r="B31" s="10" t="s">
        <v>70</v>
      </c>
      <c r="C31" s="11">
        <v>317.27</v>
      </c>
      <c r="D31" s="11" t="s">
        <v>76</v>
      </c>
      <c r="E31" s="11">
        <v>200</v>
      </c>
      <c r="F31" s="11">
        <v>136.87530000000001</v>
      </c>
      <c r="G31" s="315">
        <v>2.5</v>
      </c>
      <c r="H31" s="11">
        <f t="shared" si="0"/>
        <v>342.18825000000004</v>
      </c>
      <c r="I31" s="11">
        <f t="shared" si="1"/>
        <v>3</v>
      </c>
      <c r="J31" s="11">
        <f t="shared" si="2"/>
        <v>600</v>
      </c>
      <c r="K31" s="385">
        <f t="shared" si="3"/>
        <v>257.81174999999996</v>
      </c>
      <c r="L31" s="12">
        <f t="shared" si="4"/>
        <v>57.031375000000004</v>
      </c>
    </row>
    <row r="32" spans="1:12">
      <c r="A32" s="5" t="s">
        <v>31</v>
      </c>
      <c r="B32" s="14" t="s">
        <v>71</v>
      </c>
      <c r="C32" s="19">
        <v>300.33499999999998</v>
      </c>
      <c r="D32" s="15" t="s">
        <v>76</v>
      </c>
      <c r="E32" s="15">
        <v>200</v>
      </c>
      <c r="F32" s="15">
        <v>33.29833</v>
      </c>
      <c r="G32" s="315">
        <v>2.5</v>
      </c>
      <c r="H32" s="11">
        <f t="shared" si="0"/>
        <v>83.245824999999996</v>
      </c>
      <c r="I32" s="11">
        <f t="shared" si="1"/>
        <v>1</v>
      </c>
      <c r="J32" s="15">
        <f t="shared" si="2"/>
        <v>200</v>
      </c>
      <c r="K32" s="15">
        <f t="shared" si="3"/>
        <v>116.754175</v>
      </c>
      <c r="L32" s="386">
        <f t="shared" si="4"/>
        <v>41.622912499999998</v>
      </c>
    </row>
    <row r="33" spans="1:12">
      <c r="A33" s="5"/>
      <c r="B33" s="5"/>
      <c r="C33" s="5"/>
      <c r="D33" s="16" t="s">
        <v>36</v>
      </c>
      <c r="E33" s="17">
        <f>SUM(E2:E32)</f>
        <v>6150</v>
      </c>
      <c r="F33" s="17">
        <f>SUM(F2:F32)</f>
        <v>9100.1149700000005</v>
      </c>
      <c r="G33" s="7"/>
      <c r="H33" s="7">
        <f>SUM(H2:H32)</f>
        <v>22750.287424999995</v>
      </c>
      <c r="I33" s="7">
        <f>SUM(I2:I32)</f>
        <v>155</v>
      </c>
      <c r="J33" s="18">
        <f>SUM(J2:J32)</f>
        <v>30150</v>
      </c>
      <c r="K33" s="385">
        <f>SUM(K2:K32)</f>
        <v>7399.7125749999996</v>
      </c>
      <c r="L33" s="11"/>
    </row>
    <row r="34" spans="1:12">
      <c r="A34" s="5"/>
      <c r="B34" s="5"/>
      <c r="C34" s="5"/>
      <c r="D34" s="4" t="s">
        <v>80</v>
      </c>
      <c r="E34" s="17">
        <f>F33/J33</f>
        <v>0.30182802553897181</v>
      </c>
      <c r="F34" s="5"/>
      <c r="G34" s="11"/>
      <c r="H34" s="11"/>
      <c r="I34" s="5"/>
      <c r="J34" s="5"/>
      <c r="K34" s="5"/>
      <c r="L34" s="5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9"/>
  <sheetViews>
    <sheetView topLeftCell="V36" zoomScaleNormal="100" workbookViewId="0">
      <selection activeCell="X62" sqref="X62:AD78"/>
    </sheetView>
  </sheetViews>
  <sheetFormatPr defaultColWidth="9" defaultRowHeight="12.75"/>
  <cols>
    <col min="1" max="1" width="13.42578125" style="5" customWidth="1"/>
    <col min="2" max="2" width="22.7109375" style="62" customWidth="1"/>
    <col min="3" max="3" width="26.7109375" style="58" customWidth="1"/>
    <col min="4" max="4" width="16.85546875" style="58" customWidth="1"/>
    <col min="5" max="5" width="19.42578125" style="58" customWidth="1"/>
    <col min="6" max="6" width="16.7109375" style="61" customWidth="1"/>
    <col min="7" max="9" width="23.7109375" style="60" customWidth="1"/>
    <col min="10" max="11" width="16.140625" style="58" customWidth="1"/>
    <col min="12" max="12" width="28.85546875" style="58" customWidth="1"/>
    <col min="13" max="13" width="17.7109375" style="58" customWidth="1"/>
    <col min="14" max="14" width="16.140625" style="58" customWidth="1"/>
    <col min="15" max="16" width="17.7109375" style="58" customWidth="1"/>
    <col min="17" max="17" width="21.28515625" style="58" customWidth="1"/>
    <col min="18" max="18" width="23.28515625" style="58" customWidth="1"/>
    <col min="19" max="19" width="17.5703125" style="61" customWidth="1"/>
    <col min="20" max="20" width="33.85546875" style="10" customWidth="1"/>
    <col min="21" max="21" width="27" style="58" customWidth="1"/>
    <col min="22" max="22" width="23" style="57" customWidth="1"/>
    <col min="23" max="23" width="22.85546875" style="5" customWidth="1"/>
    <col min="24" max="24" width="23.7109375" style="5" customWidth="1"/>
    <col min="25" max="25" width="21.5703125" style="5" customWidth="1"/>
    <col min="26" max="26" width="26" style="5" customWidth="1"/>
    <col min="27" max="27" width="16.42578125" style="5" customWidth="1"/>
    <col min="28" max="16384" width="9" style="5"/>
  </cols>
  <sheetData>
    <row r="1" spans="1:34" ht="14.25" customHeight="1">
      <c r="A1" s="184"/>
      <c r="B1" s="185"/>
      <c r="C1" s="572" t="s">
        <v>450</v>
      </c>
      <c r="D1" s="573"/>
      <c r="E1" s="573"/>
      <c r="F1" s="573"/>
      <c r="G1" s="573"/>
      <c r="H1" s="573"/>
      <c r="I1" s="573"/>
      <c r="J1" s="573"/>
      <c r="K1" s="574"/>
      <c r="L1" s="373"/>
      <c r="M1" s="570" t="s">
        <v>449</v>
      </c>
      <c r="N1" s="571"/>
      <c r="O1" s="571"/>
      <c r="P1" s="571"/>
      <c r="Q1" s="571"/>
      <c r="R1" s="571"/>
      <c r="S1" s="571"/>
      <c r="T1" s="571"/>
      <c r="U1" s="623"/>
    </row>
    <row r="2" spans="1:34" ht="13.5" thickBot="1">
      <c r="A2" s="184" t="s">
        <v>448</v>
      </c>
      <c r="B2" s="183" t="s">
        <v>447</v>
      </c>
      <c r="C2" s="182" t="s">
        <v>446</v>
      </c>
      <c r="D2" s="181" t="s">
        <v>34</v>
      </c>
      <c r="E2" s="181" t="s">
        <v>463</v>
      </c>
      <c r="F2" s="181" t="s">
        <v>445</v>
      </c>
      <c r="G2" s="181" t="s">
        <v>456</v>
      </c>
      <c r="H2" s="181" t="s">
        <v>457</v>
      </c>
      <c r="I2" s="181" t="s">
        <v>464</v>
      </c>
      <c r="J2" s="181" t="s">
        <v>33</v>
      </c>
      <c r="K2" s="180" t="s">
        <v>442</v>
      </c>
      <c r="L2" s="231" t="s">
        <v>455</v>
      </c>
      <c r="M2" s="179" t="s">
        <v>444</v>
      </c>
      <c r="N2" s="179" t="s">
        <v>34</v>
      </c>
      <c r="O2" s="179" t="s">
        <v>41</v>
      </c>
      <c r="P2" s="178" t="s">
        <v>443</v>
      </c>
      <c r="Q2" s="177" t="s">
        <v>456</v>
      </c>
      <c r="R2" s="250" t="s">
        <v>458</v>
      </c>
      <c r="S2" s="177" t="s">
        <v>33</v>
      </c>
      <c r="T2" s="179" t="s">
        <v>442</v>
      </c>
      <c r="U2" s="222" t="s">
        <v>454</v>
      </c>
      <c r="V2" s="382" t="s">
        <v>438</v>
      </c>
      <c r="W2" s="382" t="s">
        <v>453</v>
      </c>
    </row>
    <row r="3" spans="1:34" ht="13.5" thickBot="1">
      <c r="A3" s="151" t="s">
        <v>436</v>
      </c>
      <c r="B3" s="172" t="s">
        <v>435</v>
      </c>
      <c r="C3" s="171" t="s">
        <v>434</v>
      </c>
      <c r="D3" s="170">
        <v>386.9</v>
      </c>
      <c r="E3" s="82">
        <f>IF(D3&lt;135,300, IF(AND(D3&gt;135,D3&lt;288),250, IF(AND(D3&gt;288,D3&lt;537),200,IF(AND(D3&gt;537,D3&lt;1096),150,100))))</f>
        <v>200</v>
      </c>
      <c r="F3" s="170">
        <v>131.95400000000001</v>
      </c>
      <c r="G3" s="82">
        <v>2.5</v>
      </c>
      <c r="H3" s="82">
        <f>G3*F3</f>
        <v>329.88499999999999</v>
      </c>
      <c r="I3" s="81">
        <f>CEILING(H3/(0.84*E3),1)</f>
        <v>2</v>
      </c>
      <c r="J3" s="269">
        <f t="shared" ref="J3:J13" si="0">E3*I3</f>
        <v>400</v>
      </c>
      <c r="K3" s="81">
        <f t="shared" ref="K3:K56" si="1">J3-H3</f>
        <v>70.115000000000009</v>
      </c>
      <c r="L3" s="82">
        <f>H3/J3 * 100</f>
        <v>82.471249999999998</v>
      </c>
      <c r="M3" s="168" t="s">
        <v>433</v>
      </c>
      <c r="N3" s="168">
        <v>598.85</v>
      </c>
      <c r="O3" s="168">
        <f>IF(N3&lt;135,300, IF(AND(N3&gt;135,N3&lt;288),250, IF(AND(N3&gt;288,N3&lt;537),200,IF(AND(N3&gt;537,N3&lt;1096),150,100))))</f>
        <v>150</v>
      </c>
      <c r="P3" s="168">
        <f>F3</f>
        <v>131.95400000000001</v>
      </c>
      <c r="Q3" s="79">
        <v>2.5</v>
      </c>
      <c r="R3" s="79">
        <f>P3*Q3</f>
        <v>329.88499999999999</v>
      </c>
      <c r="S3" s="168">
        <f t="shared" ref="S3:S13" si="2">O3*I3</f>
        <v>300</v>
      </c>
      <c r="T3" s="228">
        <f t="shared" ref="T3:T13" si="3">S3-R3</f>
        <v>-29.884999999999991</v>
      </c>
      <c r="U3" s="216" t="str">
        <f t="shared" ref="U3:U13" si="4">IF(T3&gt;=0,"No","Yes")</f>
        <v>Yes</v>
      </c>
      <c r="V3" s="643" t="s">
        <v>351</v>
      </c>
      <c r="W3" s="631"/>
    </row>
    <row r="4" spans="1:34" ht="13.5" thickBot="1">
      <c r="A4" s="575" t="s">
        <v>44</v>
      </c>
      <c r="B4" s="165" t="s">
        <v>3</v>
      </c>
      <c r="C4" s="164" t="s">
        <v>44</v>
      </c>
      <c r="D4" s="163">
        <v>424.31</v>
      </c>
      <c r="E4" s="243">
        <f t="shared" ref="E4:E56" si="5">IF(D4&lt;135,300, IF(AND(D4&gt;135,D4&lt;288),250, IF(AND(D4&gt;288,D4&lt;537),200,IF(AND(D4&gt;537,D4&lt;1096),150,100))))</f>
        <v>200</v>
      </c>
      <c r="F4" s="163">
        <v>79.758499999999998</v>
      </c>
      <c r="G4" s="82">
        <v>2.5</v>
      </c>
      <c r="H4" s="82">
        <f t="shared" ref="H4:H56" si="6">G4*F4</f>
        <v>199.39625000000001</v>
      </c>
      <c r="I4" s="81">
        <f t="shared" ref="I4:I56" si="7">CEILING(H4/(0.84*E4),1)</f>
        <v>2</v>
      </c>
      <c r="J4" s="270">
        <f t="shared" si="0"/>
        <v>400</v>
      </c>
      <c r="K4" s="81">
        <f t="shared" si="1"/>
        <v>200.60374999999999</v>
      </c>
      <c r="L4" s="82">
        <f t="shared" ref="L4:L56" si="8">H4/J4 * 100</f>
        <v>49.849062500000002</v>
      </c>
      <c r="M4" s="161" t="s">
        <v>432</v>
      </c>
      <c r="N4" s="162">
        <v>561.44000000000005</v>
      </c>
      <c r="O4" s="168">
        <f t="shared" ref="O4:O56" si="9">IF(N4&lt;135,300, IF(AND(N4&gt;135,N4&lt;288),250, IF(AND(N4&gt;288,N4&lt;537),200,IF(AND(N4&gt;537,N4&lt;1096),150,100))))</f>
        <v>150</v>
      </c>
      <c r="P4" s="168">
        <f t="shared" ref="P4:P13" si="10">F4</f>
        <v>79.758499999999998</v>
      </c>
      <c r="Q4" s="79">
        <v>2.5</v>
      </c>
      <c r="R4" s="251">
        <f t="shared" ref="R4:R56" si="11">P4*Q4</f>
        <v>199.39625000000001</v>
      </c>
      <c r="S4" s="168">
        <f t="shared" si="2"/>
        <v>300</v>
      </c>
      <c r="T4" s="228">
        <f t="shared" si="3"/>
        <v>100.60374999999999</v>
      </c>
      <c r="U4" s="216" t="str">
        <f t="shared" si="4"/>
        <v>No</v>
      </c>
    </row>
    <row r="5" spans="1:34" ht="14.25" customHeight="1" thickBot="1">
      <c r="A5" s="564"/>
      <c r="B5" s="62" t="s">
        <v>25</v>
      </c>
      <c r="C5" s="111" t="s">
        <v>65</v>
      </c>
      <c r="D5" s="92">
        <v>645.40499999999997</v>
      </c>
      <c r="E5" s="245">
        <f t="shared" si="5"/>
        <v>150</v>
      </c>
      <c r="F5" s="92">
        <v>101.52370000000001</v>
      </c>
      <c r="G5" s="82">
        <v>2.5</v>
      </c>
      <c r="H5" s="92">
        <f t="shared" si="6"/>
        <v>253.80925000000002</v>
      </c>
      <c r="I5" s="81">
        <f t="shared" si="7"/>
        <v>3</v>
      </c>
      <c r="J5" s="274">
        <f t="shared" si="0"/>
        <v>450</v>
      </c>
      <c r="K5" s="81">
        <f t="shared" si="1"/>
        <v>196.19074999999998</v>
      </c>
      <c r="L5" s="82">
        <f t="shared" si="8"/>
        <v>56.402055555555563</v>
      </c>
      <c r="M5" s="88" t="s">
        <v>427</v>
      </c>
      <c r="N5" s="90">
        <v>691.82</v>
      </c>
      <c r="O5" s="168">
        <f t="shared" si="9"/>
        <v>150</v>
      </c>
      <c r="P5" s="168">
        <f t="shared" si="10"/>
        <v>101.52370000000001</v>
      </c>
      <c r="Q5" s="79">
        <v>2.5</v>
      </c>
      <c r="R5" s="252">
        <f t="shared" si="11"/>
        <v>253.80925000000002</v>
      </c>
      <c r="S5" s="168">
        <f t="shared" si="2"/>
        <v>450</v>
      </c>
      <c r="T5" s="228">
        <f t="shared" si="3"/>
        <v>196.19074999999998</v>
      </c>
      <c r="U5" s="216" t="str">
        <f t="shared" si="4"/>
        <v>No</v>
      </c>
    </row>
    <row r="6" spans="1:34" ht="13.5" thickBot="1">
      <c r="A6" s="562" t="s">
        <v>431</v>
      </c>
      <c r="B6" s="84" t="s">
        <v>430</v>
      </c>
      <c r="C6" s="83" t="s">
        <v>390</v>
      </c>
      <c r="D6" s="82">
        <v>774.56</v>
      </c>
      <c r="E6" s="243">
        <f t="shared" si="5"/>
        <v>150</v>
      </c>
      <c r="F6" s="82">
        <v>593.39</v>
      </c>
      <c r="G6" s="82">
        <v>2.5</v>
      </c>
      <c r="H6" s="82">
        <f t="shared" si="6"/>
        <v>1483.4749999999999</v>
      </c>
      <c r="I6" s="81">
        <f t="shared" si="7"/>
        <v>12</v>
      </c>
      <c r="J6" s="270">
        <f t="shared" si="0"/>
        <v>1800</v>
      </c>
      <c r="K6" s="81">
        <f t="shared" si="1"/>
        <v>316.52500000000009</v>
      </c>
      <c r="L6" s="82">
        <f t="shared" si="8"/>
        <v>82.415277777777774</v>
      </c>
      <c r="M6" s="98" t="s">
        <v>429</v>
      </c>
      <c r="N6" s="80">
        <v>778.62</v>
      </c>
      <c r="O6" s="168">
        <f t="shared" si="9"/>
        <v>150</v>
      </c>
      <c r="P6" s="168">
        <f t="shared" si="10"/>
        <v>593.39</v>
      </c>
      <c r="Q6" s="79">
        <v>2.5</v>
      </c>
      <c r="R6" s="251">
        <f t="shared" si="11"/>
        <v>1483.4749999999999</v>
      </c>
      <c r="S6" s="168">
        <f t="shared" si="2"/>
        <v>1800</v>
      </c>
      <c r="T6" s="228">
        <f t="shared" si="3"/>
        <v>316.52500000000009</v>
      </c>
      <c r="U6" s="216" t="str">
        <f t="shared" si="4"/>
        <v>No</v>
      </c>
    </row>
    <row r="7" spans="1:34" ht="14.25" customHeight="1" thickBot="1">
      <c r="A7" s="564"/>
      <c r="B7" s="94" t="s">
        <v>4</v>
      </c>
      <c r="C7" s="93" t="s">
        <v>45</v>
      </c>
      <c r="D7" s="105">
        <v>221.095</v>
      </c>
      <c r="E7" s="245">
        <f t="shared" si="5"/>
        <v>250</v>
      </c>
      <c r="F7" s="105">
        <v>165.54</v>
      </c>
      <c r="G7" s="82">
        <v>2.5</v>
      </c>
      <c r="H7" s="92">
        <f t="shared" si="6"/>
        <v>413.84999999999997</v>
      </c>
      <c r="I7" s="81">
        <f t="shared" si="7"/>
        <v>2</v>
      </c>
      <c r="J7" s="274">
        <f t="shared" si="0"/>
        <v>500</v>
      </c>
      <c r="K7" s="81">
        <f t="shared" si="1"/>
        <v>86.150000000000034</v>
      </c>
      <c r="L7" s="82">
        <f t="shared" si="8"/>
        <v>82.769999999999982</v>
      </c>
      <c r="M7" s="99" t="s">
        <v>428</v>
      </c>
      <c r="N7" s="104">
        <v>904.18</v>
      </c>
      <c r="O7" s="168">
        <f t="shared" si="9"/>
        <v>150</v>
      </c>
      <c r="P7" s="168">
        <f t="shared" si="10"/>
        <v>165.54</v>
      </c>
      <c r="Q7" s="79">
        <v>2.5</v>
      </c>
      <c r="R7" s="252">
        <f t="shared" si="11"/>
        <v>413.84999999999997</v>
      </c>
      <c r="S7" s="168">
        <f t="shared" si="2"/>
        <v>300</v>
      </c>
      <c r="T7" s="228">
        <f t="shared" si="3"/>
        <v>-113.84999999999997</v>
      </c>
      <c r="U7" s="216" t="str">
        <f t="shared" si="4"/>
        <v>Yes</v>
      </c>
      <c r="V7" s="643" t="s">
        <v>351</v>
      </c>
      <c r="W7" s="631"/>
    </row>
    <row r="8" spans="1:34" ht="14.25" customHeight="1" thickBot="1">
      <c r="A8" s="564"/>
      <c r="B8" s="94" t="s">
        <v>25</v>
      </c>
      <c r="C8" s="93" t="s">
        <v>65</v>
      </c>
      <c r="D8" s="92">
        <v>645.40499999999997</v>
      </c>
      <c r="E8" s="245">
        <f t="shared" si="5"/>
        <v>150</v>
      </c>
      <c r="F8" s="92">
        <v>101.52370000000001</v>
      </c>
      <c r="G8" s="82">
        <v>2.5</v>
      </c>
      <c r="H8" s="92">
        <f t="shared" si="6"/>
        <v>253.80925000000002</v>
      </c>
      <c r="I8" s="81">
        <f t="shared" si="7"/>
        <v>3</v>
      </c>
      <c r="J8" s="274">
        <f t="shared" si="0"/>
        <v>450</v>
      </c>
      <c r="K8" s="81">
        <f t="shared" si="1"/>
        <v>196.19074999999998</v>
      </c>
      <c r="L8" s="82">
        <f t="shared" si="8"/>
        <v>56.402055555555563</v>
      </c>
      <c r="M8" s="88" t="s">
        <v>427</v>
      </c>
      <c r="N8" s="90">
        <v>691.82</v>
      </c>
      <c r="O8" s="168">
        <f t="shared" si="9"/>
        <v>150</v>
      </c>
      <c r="P8" s="168">
        <f t="shared" si="10"/>
        <v>101.52370000000001</v>
      </c>
      <c r="Q8" s="79">
        <v>2.5</v>
      </c>
      <c r="R8" s="252">
        <f t="shared" si="11"/>
        <v>253.80925000000002</v>
      </c>
      <c r="S8" s="168">
        <f t="shared" si="2"/>
        <v>450</v>
      </c>
      <c r="T8" s="228">
        <f t="shared" si="3"/>
        <v>196.19074999999998</v>
      </c>
      <c r="U8" s="216" t="str">
        <f t="shared" si="4"/>
        <v>No</v>
      </c>
    </row>
    <row r="9" spans="1:34" ht="15" customHeight="1" thickBot="1">
      <c r="A9" s="562" t="s">
        <v>46</v>
      </c>
      <c r="B9" s="84" t="s">
        <v>5</v>
      </c>
      <c r="C9" s="83" t="s">
        <v>46</v>
      </c>
      <c r="D9" s="82">
        <v>87.444999999999993</v>
      </c>
      <c r="E9" s="243">
        <f t="shared" si="5"/>
        <v>300</v>
      </c>
      <c r="F9" s="82">
        <v>330.03719999999998</v>
      </c>
      <c r="G9" s="82">
        <v>2.5</v>
      </c>
      <c r="H9" s="82">
        <f t="shared" si="6"/>
        <v>825.09299999999996</v>
      </c>
      <c r="I9" s="81">
        <f t="shared" si="7"/>
        <v>4</v>
      </c>
      <c r="J9" s="270">
        <f t="shared" si="0"/>
        <v>1200</v>
      </c>
      <c r="K9" s="81">
        <f t="shared" si="1"/>
        <v>374.90700000000004</v>
      </c>
      <c r="L9" s="82">
        <f t="shared" si="8"/>
        <v>68.757750000000001</v>
      </c>
      <c r="M9" s="98" t="s">
        <v>426</v>
      </c>
      <c r="N9" s="80">
        <v>243.73500000000001</v>
      </c>
      <c r="O9" s="168">
        <f t="shared" si="9"/>
        <v>250</v>
      </c>
      <c r="P9" s="168">
        <f t="shared" si="10"/>
        <v>330.03719999999998</v>
      </c>
      <c r="Q9" s="79">
        <v>2.5</v>
      </c>
      <c r="R9" s="251">
        <f t="shared" si="11"/>
        <v>825.09299999999996</v>
      </c>
      <c r="S9" s="168">
        <f t="shared" si="2"/>
        <v>1000</v>
      </c>
      <c r="T9" s="228">
        <f t="shared" si="3"/>
        <v>174.90700000000004</v>
      </c>
      <c r="U9" s="216" t="str">
        <f t="shared" si="4"/>
        <v>No</v>
      </c>
      <c r="V9" s="644" t="s">
        <v>510</v>
      </c>
      <c r="W9" s="633"/>
    </row>
    <row r="10" spans="1:34" ht="14.25" customHeight="1" thickBot="1">
      <c r="A10" s="564"/>
      <c r="B10" s="94" t="s">
        <v>7</v>
      </c>
      <c r="C10" s="93" t="s">
        <v>48</v>
      </c>
      <c r="D10" s="105">
        <v>457.755</v>
      </c>
      <c r="E10" s="245">
        <f t="shared" si="5"/>
        <v>200</v>
      </c>
      <c r="F10" s="105">
        <v>200.11</v>
      </c>
      <c r="G10" s="82">
        <v>2.5</v>
      </c>
      <c r="H10" s="92">
        <f t="shared" si="6"/>
        <v>500.27500000000003</v>
      </c>
      <c r="I10" s="81">
        <f t="shared" si="7"/>
        <v>3</v>
      </c>
      <c r="J10" s="274">
        <f t="shared" si="0"/>
        <v>600</v>
      </c>
      <c r="K10" s="81">
        <f t="shared" si="1"/>
        <v>99.724999999999966</v>
      </c>
      <c r="L10" s="82">
        <f t="shared" si="8"/>
        <v>83.379166666666677</v>
      </c>
      <c r="M10" s="99" t="s">
        <v>425</v>
      </c>
      <c r="N10" s="104">
        <v>614.06500000000005</v>
      </c>
      <c r="O10" s="168">
        <f t="shared" si="9"/>
        <v>150</v>
      </c>
      <c r="P10" s="168">
        <f t="shared" si="10"/>
        <v>200.11</v>
      </c>
      <c r="Q10" s="79">
        <v>2.5</v>
      </c>
      <c r="R10" s="252">
        <f t="shared" si="11"/>
        <v>500.27500000000003</v>
      </c>
      <c r="S10" s="168">
        <f t="shared" si="2"/>
        <v>450</v>
      </c>
      <c r="T10" s="228">
        <f t="shared" si="3"/>
        <v>-50.275000000000034</v>
      </c>
      <c r="U10" s="216" t="str">
        <f t="shared" si="4"/>
        <v>Yes</v>
      </c>
      <c r="V10" s="645"/>
      <c r="W10" s="635"/>
    </row>
    <row r="11" spans="1:34" ht="14.25" customHeight="1" thickBot="1">
      <c r="A11" s="564"/>
      <c r="B11" s="94" t="s">
        <v>8</v>
      </c>
      <c r="C11" s="93" t="s">
        <v>74</v>
      </c>
      <c r="D11" s="105">
        <v>632.29</v>
      </c>
      <c r="E11" s="245">
        <f t="shared" si="5"/>
        <v>150</v>
      </c>
      <c r="F11" s="105">
        <v>416.14780000000002</v>
      </c>
      <c r="G11" s="82">
        <v>2.5</v>
      </c>
      <c r="H11" s="92">
        <f t="shared" si="6"/>
        <v>1040.3695</v>
      </c>
      <c r="I11" s="81">
        <f t="shared" si="7"/>
        <v>9</v>
      </c>
      <c r="J11" s="274">
        <f t="shared" si="0"/>
        <v>1350</v>
      </c>
      <c r="K11" s="81">
        <f t="shared" si="1"/>
        <v>309.63049999999998</v>
      </c>
      <c r="L11" s="82">
        <f t="shared" si="8"/>
        <v>77.064407407407415</v>
      </c>
      <c r="M11" s="99" t="s">
        <v>424</v>
      </c>
      <c r="N11" s="104">
        <v>692.19500000000005</v>
      </c>
      <c r="O11" s="168">
        <f t="shared" si="9"/>
        <v>150</v>
      </c>
      <c r="P11" s="168">
        <f t="shared" si="10"/>
        <v>416.14780000000002</v>
      </c>
      <c r="Q11" s="79">
        <v>2.5</v>
      </c>
      <c r="R11" s="252">
        <f t="shared" si="11"/>
        <v>1040.3695</v>
      </c>
      <c r="S11" s="168">
        <f t="shared" si="2"/>
        <v>1350</v>
      </c>
      <c r="T11" s="228">
        <f t="shared" si="3"/>
        <v>309.63049999999998</v>
      </c>
      <c r="U11" s="216" t="str">
        <f t="shared" si="4"/>
        <v>No</v>
      </c>
      <c r="V11" s="645"/>
      <c r="W11" s="635"/>
      <c r="AG11" s="382" t="s">
        <v>438</v>
      </c>
      <c r="AH11" s="382" t="s">
        <v>453</v>
      </c>
    </row>
    <row r="12" spans="1:34" ht="14.25" customHeight="1" thickBot="1">
      <c r="A12" s="564"/>
      <c r="B12" s="94" t="s">
        <v>12</v>
      </c>
      <c r="C12" s="93" t="s">
        <v>52</v>
      </c>
      <c r="D12" s="105">
        <v>428.91</v>
      </c>
      <c r="E12" s="245">
        <f t="shared" si="5"/>
        <v>200</v>
      </c>
      <c r="F12" s="105">
        <v>320.77999999999997</v>
      </c>
      <c r="G12" s="82">
        <v>2.5</v>
      </c>
      <c r="H12" s="92">
        <f t="shared" si="6"/>
        <v>801.94999999999993</v>
      </c>
      <c r="I12" s="81">
        <f t="shared" si="7"/>
        <v>5</v>
      </c>
      <c r="J12" s="274">
        <f t="shared" si="0"/>
        <v>1000</v>
      </c>
      <c r="K12" s="81">
        <f t="shared" si="1"/>
        <v>198.05000000000007</v>
      </c>
      <c r="L12" s="82">
        <f t="shared" si="8"/>
        <v>80.194999999999993</v>
      </c>
      <c r="M12" s="99" t="s">
        <v>418</v>
      </c>
      <c r="N12" s="104">
        <v>440.09</v>
      </c>
      <c r="O12" s="168">
        <f t="shared" si="9"/>
        <v>200</v>
      </c>
      <c r="P12" s="168">
        <f t="shared" si="10"/>
        <v>320.77999999999997</v>
      </c>
      <c r="Q12" s="79">
        <v>2.5</v>
      </c>
      <c r="R12" s="252">
        <f t="shared" si="11"/>
        <v>801.94999999999993</v>
      </c>
      <c r="S12" s="168">
        <f t="shared" si="2"/>
        <v>1000</v>
      </c>
      <c r="T12" s="228">
        <f t="shared" si="3"/>
        <v>198.05000000000007</v>
      </c>
      <c r="U12" s="216" t="str">
        <f t="shared" si="4"/>
        <v>No</v>
      </c>
      <c r="V12" s="645"/>
      <c r="W12" s="635"/>
      <c r="AG12" s="203"/>
      <c r="AH12" s="202"/>
    </row>
    <row r="13" spans="1:34" ht="14.25" customHeight="1" thickBot="1">
      <c r="A13" s="564"/>
      <c r="B13" s="94" t="s">
        <v>394</v>
      </c>
      <c r="C13" s="93" t="s">
        <v>63</v>
      </c>
      <c r="D13" s="92">
        <v>530.30999999999995</v>
      </c>
      <c r="E13" s="244">
        <f t="shared" si="5"/>
        <v>200</v>
      </c>
      <c r="F13" s="92">
        <v>22.35</v>
      </c>
      <c r="G13" s="82">
        <v>2.5</v>
      </c>
      <c r="H13" s="72">
        <f t="shared" si="6"/>
        <v>55.875</v>
      </c>
      <c r="I13" s="81">
        <f t="shared" si="7"/>
        <v>1</v>
      </c>
      <c r="J13" s="272">
        <f t="shared" si="0"/>
        <v>200</v>
      </c>
      <c r="K13" s="81">
        <f t="shared" si="1"/>
        <v>144.125</v>
      </c>
      <c r="L13" s="82">
        <f t="shared" si="8"/>
        <v>27.9375</v>
      </c>
      <c r="M13" s="88" t="s">
        <v>416</v>
      </c>
      <c r="N13" s="90">
        <v>541.49</v>
      </c>
      <c r="O13" s="168">
        <f t="shared" si="9"/>
        <v>150</v>
      </c>
      <c r="P13" s="168">
        <f t="shared" si="10"/>
        <v>22.35</v>
      </c>
      <c r="Q13" s="79">
        <v>2.5</v>
      </c>
      <c r="R13" s="253">
        <f t="shared" si="11"/>
        <v>55.875</v>
      </c>
      <c r="S13" s="168">
        <f t="shared" si="2"/>
        <v>150</v>
      </c>
      <c r="T13" s="228">
        <f t="shared" si="3"/>
        <v>94.125</v>
      </c>
      <c r="U13" s="216" t="str">
        <f t="shared" si="4"/>
        <v>No</v>
      </c>
      <c r="V13" s="646"/>
      <c r="W13" s="637"/>
      <c r="AG13" s="230" t="s">
        <v>351</v>
      </c>
      <c r="AH13" s="217" t="s">
        <v>351</v>
      </c>
    </row>
    <row r="14" spans="1:34" ht="13.5" thickBot="1">
      <c r="A14" s="372" t="s">
        <v>424</v>
      </c>
      <c r="B14" s="84" t="s">
        <v>351</v>
      </c>
      <c r="C14" s="150"/>
      <c r="D14" s="82"/>
      <c r="E14" s="92">
        <f t="shared" si="5"/>
        <v>300</v>
      </c>
      <c r="F14" s="82"/>
      <c r="G14" s="82">
        <v>2.5</v>
      </c>
      <c r="H14" s="92">
        <f t="shared" si="6"/>
        <v>0</v>
      </c>
      <c r="I14" s="81">
        <f t="shared" si="7"/>
        <v>0</v>
      </c>
      <c r="J14" s="268"/>
      <c r="K14" s="81">
        <f t="shared" si="1"/>
        <v>0</v>
      </c>
      <c r="L14" s="82"/>
      <c r="M14" s="80"/>
      <c r="N14" s="80"/>
      <c r="O14" s="168">
        <f t="shared" si="9"/>
        <v>300</v>
      </c>
      <c r="P14" s="80"/>
      <c r="Q14" s="79">
        <v>2.5</v>
      </c>
      <c r="R14" s="89">
        <f t="shared" si="11"/>
        <v>0</v>
      </c>
      <c r="S14" s="80"/>
      <c r="T14" s="191"/>
      <c r="U14" s="80"/>
      <c r="V14" s="223"/>
      <c r="AG14" s="229"/>
      <c r="AH14" s="217"/>
    </row>
    <row r="15" spans="1:34" ht="13.5" thickBot="1">
      <c r="A15" s="562" t="s">
        <v>49</v>
      </c>
      <c r="B15" s="84" t="s">
        <v>423</v>
      </c>
      <c r="C15" s="83" t="s">
        <v>47</v>
      </c>
      <c r="D15" s="82">
        <v>341.36500000000001</v>
      </c>
      <c r="E15" s="243">
        <f t="shared" si="5"/>
        <v>200</v>
      </c>
      <c r="F15" s="82">
        <v>414.50749999999999</v>
      </c>
      <c r="G15" s="82">
        <v>2.5</v>
      </c>
      <c r="H15" s="82">
        <f t="shared" si="6"/>
        <v>1036.26875</v>
      </c>
      <c r="I15" s="81">
        <f t="shared" si="7"/>
        <v>7</v>
      </c>
      <c r="J15" s="270">
        <f t="shared" ref="J15:J24" si="12">I15*E15</f>
        <v>1400</v>
      </c>
      <c r="K15" s="81">
        <f t="shared" si="1"/>
        <v>363.73125000000005</v>
      </c>
      <c r="L15" s="82">
        <f t="shared" si="8"/>
        <v>74.019196428571419</v>
      </c>
      <c r="M15" s="98" t="s">
        <v>422</v>
      </c>
      <c r="N15" s="80">
        <v>527.53499999999997</v>
      </c>
      <c r="O15" s="168">
        <f t="shared" si="9"/>
        <v>200</v>
      </c>
      <c r="P15" s="80">
        <f>F15</f>
        <v>414.50749999999999</v>
      </c>
      <c r="Q15" s="79">
        <v>2.5</v>
      </c>
      <c r="R15" s="251">
        <f t="shared" si="11"/>
        <v>1036.26875</v>
      </c>
      <c r="S15" s="80">
        <f t="shared" ref="S15:S24" si="13">O15*I15</f>
        <v>1400</v>
      </c>
      <c r="T15" s="188">
        <f t="shared" ref="T15:T24" si="14">S15-R15</f>
        <v>363.73125000000005</v>
      </c>
      <c r="U15" s="79" t="str">
        <f t="shared" ref="U15:U24" si="15">IF(T15&gt;=0,"No","Yes")</f>
        <v>No</v>
      </c>
      <c r="V15" s="223"/>
      <c r="AG15" s="213"/>
      <c r="AH15" s="213"/>
    </row>
    <row r="16" spans="1:34" ht="14.25" customHeight="1" thickBot="1">
      <c r="A16" s="564"/>
      <c r="B16" s="94" t="s">
        <v>9</v>
      </c>
      <c r="C16" s="93" t="s">
        <v>421</v>
      </c>
      <c r="D16" s="105">
        <v>72.555000000000007</v>
      </c>
      <c r="E16" s="245">
        <f t="shared" si="5"/>
        <v>300</v>
      </c>
      <c r="F16" s="105">
        <v>249.06020000000001</v>
      </c>
      <c r="G16" s="82">
        <v>2.5</v>
      </c>
      <c r="H16" s="92">
        <f t="shared" si="6"/>
        <v>622.65049999999997</v>
      </c>
      <c r="I16" s="81">
        <f t="shared" si="7"/>
        <v>3</v>
      </c>
      <c r="J16" s="274">
        <f t="shared" si="12"/>
        <v>900</v>
      </c>
      <c r="K16" s="81">
        <f t="shared" si="1"/>
        <v>277.34950000000003</v>
      </c>
      <c r="L16" s="82">
        <f t="shared" si="8"/>
        <v>69.183388888888885</v>
      </c>
      <c r="M16" s="99" t="s">
        <v>420</v>
      </c>
      <c r="N16" s="104">
        <v>258.625</v>
      </c>
      <c r="O16" s="168">
        <f t="shared" si="9"/>
        <v>250</v>
      </c>
      <c r="P16" s="80">
        <f t="shared" ref="P16:P24" si="16">F16</f>
        <v>249.06020000000001</v>
      </c>
      <c r="Q16" s="79">
        <v>2.5</v>
      </c>
      <c r="R16" s="252">
        <f t="shared" si="11"/>
        <v>622.65049999999997</v>
      </c>
      <c r="S16" s="80">
        <f t="shared" si="13"/>
        <v>750</v>
      </c>
      <c r="T16" s="188">
        <f t="shared" si="14"/>
        <v>127.34950000000003</v>
      </c>
      <c r="U16" s="79" t="str">
        <f t="shared" si="15"/>
        <v>No</v>
      </c>
      <c r="V16" s="223"/>
      <c r="AG16" s="384"/>
      <c r="AH16" s="384"/>
    </row>
    <row r="17" spans="1:34" ht="14.25" customHeight="1" thickBot="1">
      <c r="A17" s="564"/>
      <c r="B17" s="94" t="s">
        <v>10</v>
      </c>
      <c r="C17" s="93" t="s">
        <v>384</v>
      </c>
      <c r="D17" s="105">
        <v>894.93</v>
      </c>
      <c r="E17" s="245">
        <f t="shared" si="5"/>
        <v>150</v>
      </c>
      <c r="F17" s="105">
        <v>185.4342</v>
      </c>
      <c r="G17" s="82">
        <v>2.5</v>
      </c>
      <c r="H17" s="92">
        <f t="shared" si="6"/>
        <v>463.58550000000002</v>
      </c>
      <c r="I17" s="81">
        <f t="shared" si="7"/>
        <v>4</v>
      </c>
      <c r="J17" s="274">
        <f t="shared" si="12"/>
        <v>600</v>
      </c>
      <c r="K17" s="81">
        <f t="shared" si="1"/>
        <v>136.41449999999998</v>
      </c>
      <c r="L17" s="82">
        <f t="shared" si="8"/>
        <v>77.264250000000004</v>
      </c>
      <c r="M17" s="99" t="s">
        <v>383</v>
      </c>
      <c r="N17" s="104">
        <v>975.03499999999997</v>
      </c>
      <c r="O17" s="168">
        <f t="shared" si="9"/>
        <v>150</v>
      </c>
      <c r="P17" s="80">
        <f t="shared" si="16"/>
        <v>185.4342</v>
      </c>
      <c r="Q17" s="79">
        <v>2.5</v>
      </c>
      <c r="R17" s="252">
        <f t="shared" si="11"/>
        <v>463.58550000000002</v>
      </c>
      <c r="S17" s="80">
        <f t="shared" si="13"/>
        <v>600</v>
      </c>
      <c r="T17" s="188">
        <f t="shared" si="14"/>
        <v>136.41449999999998</v>
      </c>
      <c r="U17" s="79" t="str">
        <f t="shared" si="15"/>
        <v>No</v>
      </c>
      <c r="V17" s="223"/>
      <c r="AG17" s="384"/>
      <c r="AH17" s="384"/>
    </row>
    <row r="18" spans="1:34" ht="14.25" customHeight="1" thickBot="1">
      <c r="A18" s="564"/>
      <c r="B18" s="94" t="s">
        <v>11</v>
      </c>
      <c r="C18" s="93" t="s">
        <v>377</v>
      </c>
      <c r="D18" s="105">
        <v>839.23</v>
      </c>
      <c r="E18" s="245">
        <f t="shared" si="5"/>
        <v>150</v>
      </c>
      <c r="F18" s="105">
        <v>213.84829999999999</v>
      </c>
      <c r="G18" s="82">
        <v>2.5</v>
      </c>
      <c r="H18" s="92">
        <f t="shared" si="6"/>
        <v>534.62075000000004</v>
      </c>
      <c r="I18" s="81">
        <f t="shared" si="7"/>
        <v>5</v>
      </c>
      <c r="J18" s="274">
        <f t="shared" si="12"/>
        <v>750</v>
      </c>
      <c r="K18" s="81">
        <f t="shared" si="1"/>
        <v>215.37924999999996</v>
      </c>
      <c r="L18" s="82">
        <f t="shared" si="8"/>
        <v>71.282766666666674</v>
      </c>
      <c r="M18" s="99" t="s">
        <v>419</v>
      </c>
      <c r="N18" s="104">
        <v>1025.3</v>
      </c>
      <c r="O18" s="168">
        <f t="shared" si="9"/>
        <v>150</v>
      </c>
      <c r="P18" s="80">
        <f t="shared" si="16"/>
        <v>213.84829999999999</v>
      </c>
      <c r="Q18" s="79">
        <v>2.5</v>
      </c>
      <c r="R18" s="252">
        <f t="shared" si="11"/>
        <v>534.62075000000004</v>
      </c>
      <c r="S18" s="80">
        <f t="shared" si="13"/>
        <v>750</v>
      </c>
      <c r="T18" s="188">
        <f t="shared" si="14"/>
        <v>215.37924999999996</v>
      </c>
      <c r="U18" s="79" t="str">
        <f t="shared" si="15"/>
        <v>No</v>
      </c>
      <c r="V18" s="223"/>
      <c r="AG18" s="384"/>
      <c r="AH18" s="384"/>
    </row>
    <row r="19" spans="1:34" ht="14.25" customHeight="1" thickBot="1">
      <c r="A19" s="564"/>
      <c r="B19" s="94" t="s">
        <v>12</v>
      </c>
      <c r="C19" s="93" t="s">
        <v>52</v>
      </c>
      <c r="D19" s="105">
        <v>428.91</v>
      </c>
      <c r="E19" s="245">
        <f t="shared" si="5"/>
        <v>200</v>
      </c>
      <c r="F19" s="105">
        <v>320.7817</v>
      </c>
      <c r="G19" s="82">
        <v>2.5</v>
      </c>
      <c r="H19" s="92">
        <f t="shared" si="6"/>
        <v>801.95425</v>
      </c>
      <c r="I19" s="81">
        <f t="shared" si="7"/>
        <v>5</v>
      </c>
      <c r="J19" s="274">
        <f t="shared" si="12"/>
        <v>1000</v>
      </c>
      <c r="K19" s="81">
        <f t="shared" si="1"/>
        <v>198.04575</v>
      </c>
      <c r="L19" s="82">
        <f t="shared" si="8"/>
        <v>80.195425</v>
      </c>
      <c r="M19" s="99" t="s">
        <v>418</v>
      </c>
      <c r="N19" s="104">
        <v>440.09</v>
      </c>
      <c r="O19" s="168">
        <f t="shared" si="9"/>
        <v>200</v>
      </c>
      <c r="P19" s="80">
        <f t="shared" si="16"/>
        <v>320.7817</v>
      </c>
      <c r="Q19" s="79">
        <v>2.5</v>
      </c>
      <c r="R19" s="252">
        <f t="shared" si="11"/>
        <v>801.95425</v>
      </c>
      <c r="S19" s="80">
        <f t="shared" si="13"/>
        <v>1000</v>
      </c>
      <c r="T19" s="188">
        <f t="shared" si="14"/>
        <v>198.04575</v>
      </c>
      <c r="U19" s="79" t="str">
        <f t="shared" si="15"/>
        <v>No</v>
      </c>
      <c r="V19" s="223"/>
      <c r="AG19" s="384"/>
      <c r="AH19" s="384"/>
    </row>
    <row r="20" spans="1:34" ht="14.25" customHeight="1" thickBot="1">
      <c r="A20" s="564"/>
      <c r="B20" s="94" t="s">
        <v>417</v>
      </c>
      <c r="C20" s="93" t="s">
        <v>409</v>
      </c>
      <c r="D20" s="92">
        <v>530.30999999999995</v>
      </c>
      <c r="E20" s="245">
        <f t="shared" si="5"/>
        <v>200</v>
      </c>
      <c r="F20" s="92">
        <v>22.35</v>
      </c>
      <c r="G20" s="82">
        <v>2.5</v>
      </c>
      <c r="H20" s="92">
        <f t="shared" si="6"/>
        <v>55.875</v>
      </c>
      <c r="I20" s="81">
        <f t="shared" si="7"/>
        <v>1</v>
      </c>
      <c r="J20" s="274">
        <f t="shared" si="12"/>
        <v>200</v>
      </c>
      <c r="K20" s="81">
        <f t="shared" si="1"/>
        <v>144.125</v>
      </c>
      <c r="L20" s="82">
        <f t="shared" si="8"/>
        <v>27.9375</v>
      </c>
      <c r="M20" s="88" t="s">
        <v>416</v>
      </c>
      <c r="N20" s="90">
        <v>541.49</v>
      </c>
      <c r="O20" s="168">
        <f t="shared" si="9"/>
        <v>150</v>
      </c>
      <c r="P20" s="80">
        <f t="shared" si="16"/>
        <v>22.35</v>
      </c>
      <c r="Q20" s="79">
        <v>2.5</v>
      </c>
      <c r="R20" s="252">
        <f t="shared" si="11"/>
        <v>55.875</v>
      </c>
      <c r="S20" s="80">
        <f t="shared" si="13"/>
        <v>150</v>
      </c>
      <c r="T20" s="188">
        <f t="shared" si="14"/>
        <v>94.125</v>
      </c>
      <c r="U20" s="79" t="str">
        <f t="shared" si="15"/>
        <v>No</v>
      </c>
      <c r="V20" s="223"/>
      <c r="AG20" s="384"/>
      <c r="AH20" s="384"/>
    </row>
    <row r="21" spans="1:34" ht="13.5" thickBot="1">
      <c r="A21" s="562" t="s">
        <v>411</v>
      </c>
      <c r="B21" s="84" t="s">
        <v>7</v>
      </c>
      <c r="C21" s="83" t="s">
        <v>48</v>
      </c>
      <c r="D21" s="82">
        <v>457.755</v>
      </c>
      <c r="E21" s="243">
        <f t="shared" si="5"/>
        <v>200</v>
      </c>
      <c r="F21" s="82">
        <v>200.1122</v>
      </c>
      <c r="G21" s="82">
        <v>2.5</v>
      </c>
      <c r="H21" s="82">
        <f t="shared" si="6"/>
        <v>500.28050000000002</v>
      </c>
      <c r="I21" s="81">
        <f t="shared" si="7"/>
        <v>3</v>
      </c>
      <c r="J21" s="270">
        <f t="shared" si="12"/>
        <v>600</v>
      </c>
      <c r="K21" s="81">
        <f t="shared" si="1"/>
        <v>99.719499999999982</v>
      </c>
      <c r="L21" s="82">
        <f t="shared" si="8"/>
        <v>83.380083333333332</v>
      </c>
      <c r="M21" s="98" t="s">
        <v>414</v>
      </c>
      <c r="N21" s="80">
        <v>733.18499999999995</v>
      </c>
      <c r="O21" s="168">
        <f t="shared" si="9"/>
        <v>150</v>
      </c>
      <c r="P21" s="80">
        <f t="shared" si="16"/>
        <v>200.1122</v>
      </c>
      <c r="Q21" s="79">
        <v>2.5</v>
      </c>
      <c r="R21" s="251">
        <f t="shared" si="11"/>
        <v>500.28050000000002</v>
      </c>
      <c r="S21" s="80">
        <f t="shared" si="13"/>
        <v>450</v>
      </c>
      <c r="T21" s="188">
        <f t="shared" si="14"/>
        <v>-50.280500000000018</v>
      </c>
      <c r="U21" s="79" t="str">
        <f t="shared" si="15"/>
        <v>Yes</v>
      </c>
      <c r="V21" s="223"/>
      <c r="AG21" s="384"/>
      <c r="AH21" s="384"/>
    </row>
    <row r="22" spans="1:34" ht="14.25" customHeight="1" thickBot="1">
      <c r="A22" s="564"/>
      <c r="B22" s="94" t="s">
        <v>413</v>
      </c>
      <c r="C22" s="93" t="s">
        <v>74</v>
      </c>
      <c r="D22" s="105">
        <v>632.29</v>
      </c>
      <c r="E22" s="245">
        <f t="shared" si="5"/>
        <v>150</v>
      </c>
      <c r="F22" s="105">
        <v>416.14780000000002</v>
      </c>
      <c r="G22" s="82">
        <v>2.5</v>
      </c>
      <c r="H22" s="92">
        <f t="shared" si="6"/>
        <v>1040.3695</v>
      </c>
      <c r="I22" s="81">
        <f t="shared" si="7"/>
        <v>9</v>
      </c>
      <c r="J22" s="274">
        <f t="shared" si="12"/>
        <v>1350</v>
      </c>
      <c r="K22" s="81">
        <f t="shared" si="1"/>
        <v>309.63049999999998</v>
      </c>
      <c r="L22" s="82">
        <f t="shared" si="8"/>
        <v>77.064407407407415</v>
      </c>
      <c r="M22" s="99" t="s">
        <v>361</v>
      </c>
      <c r="N22" s="104">
        <v>692.19500000000005</v>
      </c>
      <c r="O22" s="168">
        <f t="shared" si="9"/>
        <v>150</v>
      </c>
      <c r="P22" s="80">
        <f t="shared" si="16"/>
        <v>416.14780000000002</v>
      </c>
      <c r="Q22" s="79">
        <v>2.5</v>
      </c>
      <c r="R22" s="252">
        <f t="shared" si="11"/>
        <v>1040.3695</v>
      </c>
      <c r="S22" s="80">
        <f t="shared" si="13"/>
        <v>1350</v>
      </c>
      <c r="T22" s="188">
        <f t="shared" si="14"/>
        <v>309.63049999999998</v>
      </c>
      <c r="U22" s="79" t="str">
        <f t="shared" si="15"/>
        <v>No</v>
      </c>
      <c r="V22" s="223"/>
      <c r="AG22" s="384"/>
      <c r="AH22" s="384"/>
    </row>
    <row r="23" spans="1:34" ht="14.25" customHeight="1" thickBot="1">
      <c r="A23" s="564"/>
      <c r="B23" s="94" t="s">
        <v>412</v>
      </c>
      <c r="C23" s="93" t="s">
        <v>411</v>
      </c>
      <c r="D23" s="105">
        <v>370.31</v>
      </c>
      <c r="E23" s="245">
        <f t="shared" si="5"/>
        <v>200</v>
      </c>
      <c r="F23" s="105">
        <v>24.103000000000002</v>
      </c>
      <c r="G23" s="82">
        <v>2.5</v>
      </c>
      <c r="H23" s="92">
        <f t="shared" si="6"/>
        <v>60.257500000000007</v>
      </c>
      <c r="I23" s="81">
        <f t="shared" si="7"/>
        <v>1</v>
      </c>
      <c r="J23" s="274">
        <f t="shared" si="12"/>
        <v>200</v>
      </c>
      <c r="K23" s="81">
        <f t="shared" si="1"/>
        <v>139.74250000000001</v>
      </c>
      <c r="L23" s="82">
        <f t="shared" si="8"/>
        <v>30.128750000000004</v>
      </c>
      <c r="M23" s="99" t="s">
        <v>410</v>
      </c>
      <c r="N23" s="104">
        <v>820.63</v>
      </c>
      <c r="O23" s="168">
        <f t="shared" si="9"/>
        <v>150</v>
      </c>
      <c r="P23" s="80">
        <f t="shared" si="16"/>
        <v>24.103000000000002</v>
      </c>
      <c r="Q23" s="79">
        <v>2.5</v>
      </c>
      <c r="R23" s="252">
        <f t="shared" si="11"/>
        <v>60.257500000000007</v>
      </c>
      <c r="S23" s="80">
        <f t="shared" si="13"/>
        <v>150</v>
      </c>
      <c r="T23" s="188">
        <f t="shared" si="14"/>
        <v>89.742499999999993</v>
      </c>
      <c r="U23" s="79" t="str">
        <f t="shared" si="15"/>
        <v>No</v>
      </c>
      <c r="V23" s="223"/>
      <c r="AG23" s="384"/>
      <c r="AH23" s="384"/>
    </row>
    <row r="24" spans="1:34" ht="14.25" customHeight="1" thickBot="1">
      <c r="A24" s="564"/>
      <c r="B24" s="94" t="s">
        <v>394</v>
      </c>
      <c r="C24" s="93" t="s">
        <v>409</v>
      </c>
      <c r="D24" s="92">
        <v>530.30999999999995</v>
      </c>
      <c r="E24" s="244">
        <f t="shared" si="5"/>
        <v>200</v>
      </c>
      <c r="F24" s="92">
        <v>22.35</v>
      </c>
      <c r="G24" s="82">
        <v>2.5</v>
      </c>
      <c r="H24" s="72">
        <f t="shared" si="6"/>
        <v>55.875</v>
      </c>
      <c r="I24" s="81">
        <f t="shared" si="7"/>
        <v>1</v>
      </c>
      <c r="J24" s="272">
        <f t="shared" si="12"/>
        <v>200</v>
      </c>
      <c r="K24" s="81">
        <f t="shared" si="1"/>
        <v>144.125</v>
      </c>
      <c r="L24" s="82">
        <f t="shared" si="8"/>
        <v>27.9375</v>
      </c>
      <c r="M24" s="88" t="s">
        <v>408</v>
      </c>
      <c r="N24" s="90">
        <v>660.63</v>
      </c>
      <c r="O24" s="168">
        <f t="shared" si="9"/>
        <v>150</v>
      </c>
      <c r="P24" s="80">
        <f t="shared" si="16"/>
        <v>22.35</v>
      </c>
      <c r="Q24" s="79">
        <v>2.5</v>
      </c>
      <c r="R24" s="253">
        <f t="shared" si="11"/>
        <v>55.875</v>
      </c>
      <c r="S24" s="80">
        <f t="shared" si="13"/>
        <v>150</v>
      </c>
      <c r="T24" s="188">
        <f t="shared" si="14"/>
        <v>94.125</v>
      </c>
      <c r="U24" s="79" t="str">
        <f t="shared" si="15"/>
        <v>No</v>
      </c>
      <c r="AG24" s="384"/>
      <c r="AH24" s="384"/>
    </row>
    <row r="25" spans="1:34" ht="13.5" thickBot="1">
      <c r="A25" s="151" t="s">
        <v>407</v>
      </c>
      <c r="B25" s="84" t="s">
        <v>406</v>
      </c>
      <c r="C25" s="150"/>
      <c r="D25" s="82"/>
      <c r="E25" s="92">
        <f t="shared" si="5"/>
        <v>300</v>
      </c>
      <c r="F25" s="82"/>
      <c r="G25" s="82">
        <v>2.5</v>
      </c>
      <c r="H25" s="92">
        <f t="shared" si="6"/>
        <v>0</v>
      </c>
      <c r="I25" s="81">
        <f t="shared" si="7"/>
        <v>0</v>
      </c>
      <c r="J25" s="268"/>
      <c r="K25" s="81">
        <f t="shared" si="1"/>
        <v>0</v>
      </c>
      <c r="L25" s="82"/>
      <c r="M25" s="80"/>
      <c r="N25" s="80"/>
      <c r="O25" s="168">
        <f t="shared" si="9"/>
        <v>300</v>
      </c>
      <c r="P25" s="80"/>
      <c r="Q25" s="79">
        <v>2.5</v>
      </c>
      <c r="R25" s="89">
        <f t="shared" si="11"/>
        <v>0</v>
      </c>
      <c r="S25" s="80"/>
      <c r="T25" s="191"/>
      <c r="U25" s="79"/>
      <c r="V25" s="382" t="s">
        <v>438</v>
      </c>
      <c r="W25" s="382" t="s">
        <v>453</v>
      </c>
      <c r="AG25" s="384"/>
      <c r="AH25" s="384"/>
    </row>
    <row r="26" spans="1:34" ht="15" customHeight="1" thickBot="1">
      <c r="A26" s="575" t="s">
        <v>405</v>
      </c>
      <c r="B26" s="148" t="s">
        <v>14</v>
      </c>
      <c r="C26" s="83" t="s">
        <v>404</v>
      </c>
      <c r="D26" s="82">
        <v>391.72</v>
      </c>
      <c r="E26" s="243">
        <f t="shared" si="5"/>
        <v>200</v>
      </c>
      <c r="F26" s="82">
        <v>664.51419999999996</v>
      </c>
      <c r="G26" s="82">
        <v>2.5</v>
      </c>
      <c r="H26" s="82">
        <f t="shared" si="6"/>
        <v>1661.2855</v>
      </c>
      <c r="I26" s="81">
        <f t="shared" si="7"/>
        <v>10</v>
      </c>
      <c r="J26" s="270">
        <f t="shared" ref="J26:J56" si="17">I26*E26</f>
        <v>2000</v>
      </c>
      <c r="K26" s="81">
        <f t="shared" si="1"/>
        <v>338.71450000000004</v>
      </c>
      <c r="L26" s="82">
        <f t="shared" si="8"/>
        <v>83.064274999999995</v>
      </c>
      <c r="M26" s="98" t="s">
        <v>403</v>
      </c>
      <c r="N26" s="80">
        <v>799.22</v>
      </c>
      <c r="O26" s="168">
        <f t="shared" si="9"/>
        <v>150</v>
      </c>
      <c r="P26" s="80">
        <f>F26</f>
        <v>664.51419999999996</v>
      </c>
      <c r="Q26" s="79">
        <v>2.5</v>
      </c>
      <c r="R26" s="80">
        <f t="shared" si="11"/>
        <v>1661.2855</v>
      </c>
      <c r="S26" s="247">
        <f t="shared" ref="S26:S56" si="18">O26*I26</f>
        <v>1500</v>
      </c>
      <c r="T26" s="191">
        <f t="shared" ref="T26:T56" si="19">S26-R26</f>
        <v>-161.28549999999996</v>
      </c>
      <c r="U26" s="306" t="str">
        <f t="shared" ref="U26:U57" si="20">IF(T26&gt;=0,"No","Yes")</f>
        <v>Yes</v>
      </c>
      <c r="V26" s="647" t="s">
        <v>14</v>
      </c>
      <c r="W26" s="627">
        <v>100</v>
      </c>
      <c r="Y26" s="380" t="s">
        <v>452</v>
      </c>
      <c r="Z26" s="381"/>
      <c r="AA26" s="383"/>
      <c r="AG26" s="384"/>
      <c r="AH26" s="384"/>
    </row>
    <row r="27" spans="1:34" ht="14.25" customHeight="1" thickBot="1">
      <c r="A27" s="576"/>
      <c r="B27" s="74" t="s">
        <v>360</v>
      </c>
      <c r="C27" s="73" t="s">
        <v>55</v>
      </c>
      <c r="D27" s="146">
        <v>566.26</v>
      </c>
      <c r="E27" s="245">
        <f t="shared" si="5"/>
        <v>150</v>
      </c>
      <c r="F27" s="146">
        <v>424.66829999999999</v>
      </c>
      <c r="G27" s="82">
        <v>2.5</v>
      </c>
      <c r="H27" s="92">
        <f t="shared" si="6"/>
        <v>1061.67075</v>
      </c>
      <c r="I27" s="81">
        <f t="shared" si="7"/>
        <v>9</v>
      </c>
      <c r="J27" s="274">
        <f t="shared" si="17"/>
        <v>1350</v>
      </c>
      <c r="K27" s="81">
        <f t="shared" si="1"/>
        <v>288.32925</v>
      </c>
      <c r="L27" s="82">
        <f t="shared" si="8"/>
        <v>78.642277777777778</v>
      </c>
      <c r="M27" s="246" t="s">
        <v>402</v>
      </c>
      <c r="N27" s="145">
        <v>973.76</v>
      </c>
      <c r="O27" s="168">
        <f t="shared" si="9"/>
        <v>150</v>
      </c>
      <c r="P27" s="80">
        <f t="shared" ref="P27:P56" si="21">F27</f>
        <v>424.66829999999999</v>
      </c>
      <c r="Q27" s="79">
        <v>2.5</v>
      </c>
      <c r="R27" s="90">
        <f t="shared" si="11"/>
        <v>1061.67075</v>
      </c>
      <c r="S27" s="249">
        <f t="shared" si="18"/>
        <v>1350</v>
      </c>
      <c r="T27" s="305">
        <f t="shared" si="19"/>
        <v>288.32925</v>
      </c>
      <c r="U27" s="307" t="str">
        <f t="shared" si="20"/>
        <v>No</v>
      </c>
      <c r="V27" s="648"/>
      <c r="W27" s="629"/>
      <c r="Y27" s="87"/>
      <c r="Z27" s="266"/>
      <c r="AA27" s="97"/>
      <c r="AG27" s="384"/>
      <c r="AH27" s="384"/>
    </row>
    <row r="28" spans="1:34" ht="15" customHeight="1" thickBot="1">
      <c r="A28" s="564" t="s">
        <v>401</v>
      </c>
      <c r="B28" s="62" t="s">
        <v>6</v>
      </c>
      <c r="C28" s="111" t="s">
        <v>47</v>
      </c>
      <c r="D28" s="92">
        <v>341.46499999999997</v>
      </c>
      <c r="E28" s="243">
        <f t="shared" si="5"/>
        <v>200</v>
      </c>
      <c r="F28" s="92">
        <v>414.50749999999999</v>
      </c>
      <c r="G28" s="82">
        <v>2.5</v>
      </c>
      <c r="H28" s="82">
        <f t="shared" si="6"/>
        <v>1036.26875</v>
      </c>
      <c r="I28" s="81">
        <f t="shared" si="7"/>
        <v>7</v>
      </c>
      <c r="J28" s="270">
        <f t="shared" si="17"/>
        <v>1400</v>
      </c>
      <c r="K28" s="81">
        <f t="shared" si="1"/>
        <v>363.73125000000005</v>
      </c>
      <c r="L28" s="82">
        <f t="shared" si="8"/>
        <v>74.019196428571419</v>
      </c>
      <c r="M28" s="88" t="s">
        <v>400</v>
      </c>
      <c r="N28" s="90">
        <v>849.47500000000002</v>
      </c>
      <c r="O28" s="168">
        <f t="shared" si="9"/>
        <v>150</v>
      </c>
      <c r="P28" s="80">
        <f t="shared" si="21"/>
        <v>414.50749999999999</v>
      </c>
      <c r="Q28" s="79">
        <v>2.5</v>
      </c>
      <c r="R28" s="80">
        <f t="shared" si="11"/>
        <v>1036.26875</v>
      </c>
      <c r="S28" s="248">
        <f t="shared" si="18"/>
        <v>1050</v>
      </c>
      <c r="T28" s="302">
        <f t="shared" si="19"/>
        <v>13.731250000000045</v>
      </c>
      <c r="U28" s="308" t="str">
        <f t="shared" si="20"/>
        <v>No</v>
      </c>
      <c r="V28" s="374" t="s">
        <v>12</v>
      </c>
      <c r="W28" s="377">
        <v>32</v>
      </c>
      <c r="Y28" s="256" t="s">
        <v>388</v>
      </c>
      <c r="Z28" s="184" t="s">
        <v>387</v>
      </c>
      <c r="AA28" s="257" t="s">
        <v>386</v>
      </c>
      <c r="AG28" s="384"/>
      <c r="AH28" s="384"/>
    </row>
    <row r="29" spans="1:34" ht="14.25" customHeight="1" thickBot="1">
      <c r="A29" s="564"/>
      <c r="B29" s="62" t="s">
        <v>399</v>
      </c>
      <c r="C29" s="111" t="s">
        <v>384</v>
      </c>
      <c r="D29" s="92">
        <v>894.93</v>
      </c>
      <c r="E29" s="245">
        <f t="shared" si="5"/>
        <v>150</v>
      </c>
      <c r="F29" s="92">
        <v>185.4342</v>
      </c>
      <c r="G29" s="82">
        <v>2.5</v>
      </c>
      <c r="H29" s="92">
        <f t="shared" si="6"/>
        <v>463.58550000000002</v>
      </c>
      <c r="I29" s="81">
        <f t="shared" si="7"/>
        <v>4</v>
      </c>
      <c r="J29" s="274">
        <f t="shared" si="17"/>
        <v>600</v>
      </c>
      <c r="K29" s="81">
        <f t="shared" si="1"/>
        <v>136.41449999999998</v>
      </c>
      <c r="L29" s="82">
        <f t="shared" si="8"/>
        <v>77.264250000000004</v>
      </c>
      <c r="M29" s="88" t="s">
        <v>383</v>
      </c>
      <c r="N29" s="90">
        <v>975.03499999999997</v>
      </c>
      <c r="O29" s="168">
        <f t="shared" si="9"/>
        <v>150</v>
      </c>
      <c r="P29" s="80">
        <f t="shared" si="21"/>
        <v>185.4342</v>
      </c>
      <c r="Q29" s="79">
        <v>2.5</v>
      </c>
      <c r="R29" s="90">
        <f t="shared" si="11"/>
        <v>463.58550000000002</v>
      </c>
      <c r="S29" s="248">
        <f t="shared" si="18"/>
        <v>600</v>
      </c>
      <c r="T29" s="302">
        <f t="shared" si="19"/>
        <v>136.41449999999998</v>
      </c>
      <c r="U29" s="308" t="str">
        <f t="shared" si="20"/>
        <v>No</v>
      </c>
      <c r="V29" s="376" t="s">
        <v>393</v>
      </c>
      <c r="W29" s="378">
        <v>78</v>
      </c>
      <c r="Y29" s="126" t="s">
        <v>14</v>
      </c>
      <c r="Z29" s="125">
        <v>100</v>
      </c>
      <c r="AA29" s="97"/>
      <c r="AG29" s="384"/>
      <c r="AH29" s="384"/>
    </row>
    <row r="30" spans="1:34" ht="14.25" customHeight="1" thickBot="1">
      <c r="A30" s="564"/>
      <c r="B30" s="94" t="s">
        <v>398</v>
      </c>
      <c r="C30" s="93" t="s">
        <v>377</v>
      </c>
      <c r="D30" s="105">
        <v>839.23</v>
      </c>
      <c r="E30" s="245">
        <f t="shared" si="5"/>
        <v>150</v>
      </c>
      <c r="F30" s="105">
        <v>213.84829999999999</v>
      </c>
      <c r="G30" s="82">
        <v>2.5</v>
      </c>
      <c r="H30" s="92">
        <f t="shared" si="6"/>
        <v>534.62075000000004</v>
      </c>
      <c r="I30" s="81">
        <f t="shared" si="7"/>
        <v>5</v>
      </c>
      <c r="J30" s="274">
        <f t="shared" si="17"/>
        <v>750</v>
      </c>
      <c r="K30" s="81">
        <f t="shared" si="1"/>
        <v>215.37924999999996</v>
      </c>
      <c r="L30" s="82">
        <f t="shared" si="8"/>
        <v>71.282766666666674</v>
      </c>
      <c r="M30" s="99" t="s">
        <v>397</v>
      </c>
      <c r="N30" s="104">
        <v>1347.24</v>
      </c>
      <c r="O30" s="168">
        <f t="shared" si="9"/>
        <v>100</v>
      </c>
      <c r="P30" s="80">
        <f t="shared" si="21"/>
        <v>213.84829999999999</v>
      </c>
      <c r="Q30" s="79">
        <v>2.5</v>
      </c>
      <c r="R30" s="90">
        <f t="shared" si="11"/>
        <v>534.62075000000004</v>
      </c>
      <c r="S30" s="248">
        <f t="shared" si="18"/>
        <v>500</v>
      </c>
      <c r="T30" s="302">
        <f t="shared" si="19"/>
        <v>-34.620750000000044</v>
      </c>
      <c r="U30" s="308" t="str">
        <f t="shared" si="20"/>
        <v>Yes</v>
      </c>
      <c r="V30" s="376" t="s">
        <v>6</v>
      </c>
      <c r="W30" s="378">
        <v>5</v>
      </c>
      <c r="Y30" s="126" t="s">
        <v>12</v>
      </c>
      <c r="Z30" s="125">
        <v>32</v>
      </c>
      <c r="AA30" s="97"/>
      <c r="AG30" s="384"/>
      <c r="AH30" s="384"/>
    </row>
    <row r="31" spans="1:34" ht="14.25" customHeight="1" thickBot="1">
      <c r="A31" s="564"/>
      <c r="B31" s="94" t="s">
        <v>396</v>
      </c>
      <c r="C31" s="93" t="s">
        <v>52</v>
      </c>
      <c r="D31" s="92">
        <v>428.91</v>
      </c>
      <c r="E31" s="245">
        <f t="shared" si="5"/>
        <v>200</v>
      </c>
      <c r="F31" s="92">
        <v>320.7817</v>
      </c>
      <c r="G31" s="82">
        <v>2.5</v>
      </c>
      <c r="H31" s="92">
        <f t="shared" si="6"/>
        <v>801.95425</v>
      </c>
      <c r="I31" s="81">
        <f t="shared" si="7"/>
        <v>5</v>
      </c>
      <c r="J31" s="274">
        <f t="shared" si="17"/>
        <v>1000</v>
      </c>
      <c r="K31" s="81">
        <f t="shared" si="1"/>
        <v>198.04575</v>
      </c>
      <c r="L31" s="82">
        <f t="shared" si="8"/>
        <v>80.195425</v>
      </c>
      <c r="M31" s="88" t="s">
        <v>395</v>
      </c>
      <c r="N31" s="90">
        <v>762.03</v>
      </c>
      <c r="O31" s="168">
        <f t="shared" si="9"/>
        <v>150</v>
      </c>
      <c r="P31" s="80">
        <f t="shared" si="21"/>
        <v>320.7817</v>
      </c>
      <c r="Q31" s="79">
        <v>2.5</v>
      </c>
      <c r="R31" s="90">
        <f t="shared" si="11"/>
        <v>801.95425</v>
      </c>
      <c r="S31" s="248">
        <f t="shared" si="18"/>
        <v>750</v>
      </c>
      <c r="T31" s="302">
        <f t="shared" si="19"/>
        <v>-51.954250000000002</v>
      </c>
      <c r="U31" s="308" t="str">
        <f t="shared" si="20"/>
        <v>Yes</v>
      </c>
      <c r="V31" s="376"/>
      <c r="W31" s="378"/>
      <c r="Y31" s="126" t="s">
        <v>16</v>
      </c>
      <c r="Z31" s="125">
        <v>78</v>
      </c>
      <c r="AA31" s="97"/>
    </row>
    <row r="32" spans="1:34" ht="14.25" customHeight="1" thickBot="1">
      <c r="A32" s="564"/>
      <c r="B32" s="94" t="s">
        <v>393</v>
      </c>
      <c r="C32" s="93" t="s">
        <v>56</v>
      </c>
      <c r="D32" s="92">
        <v>268.91000000000003</v>
      </c>
      <c r="E32" s="245">
        <f t="shared" si="5"/>
        <v>250</v>
      </c>
      <c r="F32" s="92">
        <v>277.57420000000002</v>
      </c>
      <c r="G32" s="82">
        <v>2.5</v>
      </c>
      <c r="H32" s="92">
        <f t="shared" si="6"/>
        <v>693.93550000000005</v>
      </c>
      <c r="I32" s="81">
        <f t="shared" si="7"/>
        <v>4</v>
      </c>
      <c r="J32" s="274">
        <f t="shared" si="17"/>
        <v>1000</v>
      </c>
      <c r="K32" s="81">
        <f t="shared" si="1"/>
        <v>306.06449999999995</v>
      </c>
      <c r="L32" s="82">
        <f t="shared" si="8"/>
        <v>69.393550000000005</v>
      </c>
      <c r="M32" s="88" t="s">
        <v>392</v>
      </c>
      <c r="N32" s="90">
        <v>922.03</v>
      </c>
      <c r="O32" s="168">
        <f t="shared" si="9"/>
        <v>150</v>
      </c>
      <c r="P32" s="80">
        <f t="shared" si="21"/>
        <v>277.57420000000002</v>
      </c>
      <c r="Q32" s="79">
        <v>2.5</v>
      </c>
      <c r="R32" s="90">
        <f t="shared" si="11"/>
        <v>693.93550000000005</v>
      </c>
      <c r="S32" s="249">
        <f t="shared" si="18"/>
        <v>600</v>
      </c>
      <c r="T32" s="305">
        <f t="shared" si="19"/>
        <v>-93.935500000000047</v>
      </c>
      <c r="U32" s="307" t="str">
        <f t="shared" si="20"/>
        <v>Yes</v>
      </c>
      <c r="V32" s="375"/>
      <c r="W32" s="379"/>
      <c r="Y32" s="87" t="s">
        <v>6</v>
      </c>
      <c r="Z32" s="266">
        <v>5</v>
      </c>
      <c r="AA32" s="97"/>
    </row>
    <row r="33" spans="1:38" ht="13.5" thickBot="1">
      <c r="A33" s="562" t="s">
        <v>380</v>
      </c>
      <c r="B33" s="84" t="s">
        <v>391</v>
      </c>
      <c r="C33" s="83" t="s">
        <v>390</v>
      </c>
      <c r="D33" s="82">
        <v>774.56</v>
      </c>
      <c r="E33" s="243">
        <f t="shared" si="5"/>
        <v>150</v>
      </c>
      <c r="F33" s="82">
        <v>593.39</v>
      </c>
      <c r="G33" s="82">
        <v>2.5</v>
      </c>
      <c r="H33" s="82">
        <f t="shared" si="6"/>
        <v>1483.4749999999999</v>
      </c>
      <c r="I33" s="81">
        <f t="shared" si="7"/>
        <v>12</v>
      </c>
      <c r="J33" s="270">
        <f t="shared" si="17"/>
        <v>1800</v>
      </c>
      <c r="K33" s="81">
        <f t="shared" si="1"/>
        <v>316.52500000000009</v>
      </c>
      <c r="L33" s="82">
        <f t="shared" si="8"/>
        <v>82.415277777777774</v>
      </c>
      <c r="M33" s="98" t="s">
        <v>389</v>
      </c>
      <c r="N33" s="80">
        <v>778.62</v>
      </c>
      <c r="O33" s="168">
        <f t="shared" si="9"/>
        <v>150</v>
      </c>
      <c r="P33" s="80">
        <f t="shared" si="21"/>
        <v>593.39</v>
      </c>
      <c r="Q33" s="79">
        <v>2.5</v>
      </c>
      <c r="R33" s="251">
        <f t="shared" si="11"/>
        <v>1483.4749999999999</v>
      </c>
      <c r="S33" s="90">
        <f t="shared" si="18"/>
        <v>1800</v>
      </c>
      <c r="T33" s="302">
        <f t="shared" si="19"/>
        <v>316.52500000000009</v>
      </c>
      <c r="U33" s="303" t="str">
        <f t="shared" si="20"/>
        <v>No</v>
      </c>
      <c r="V33" s="213"/>
      <c r="W33" s="213"/>
      <c r="Y33" s="258" t="s">
        <v>19</v>
      </c>
      <c r="Z33" s="214">
        <v>335</v>
      </c>
      <c r="AA33" s="86"/>
    </row>
    <row r="34" spans="1:38" ht="14.25" customHeight="1" thickBot="1">
      <c r="A34" s="564"/>
      <c r="B34" s="94" t="s">
        <v>385</v>
      </c>
      <c r="C34" s="93" t="s">
        <v>384</v>
      </c>
      <c r="D34" s="105">
        <v>894.93</v>
      </c>
      <c r="E34" s="245">
        <f t="shared" si="5"/>
        <v>150</v>
      </c>
      <c r="F34" s="105">
        <v>185.4342</v>
      </c>
      <c r="G34" s="82">
        <v>2.5</v>
      </c>
      <c r="H34" s="92">
        <f t="shared" si="6"/>
        <v>463.58550000000002</v>
      </c>
      <c r="I34" s="81">
        <f t="shared" si="7"/>
        <v>4</v>
      </c>
      <c r="J34" s="274">
        <f t="shared" si="17"/>
        <v>600</v>
      </c>
      <c r="K34" s="81">
        <f t="shared" si="1"/>
        <v>136.41449999999998</v>
      </c>
      <c r="L34" s="82">
        <f t="shared" si="8"/>
        <v>77.264250000000004</v>
      </c>
      <c r="M34" s="99" t="s">
        <v>383</v>
      </c>
      <c r="N34" s="104">
        <v>975.03499999999997</v>
      </c>
      <c r="O34" s="168">
        <f t="shared" si="9"/>
        <v>150</v>
      </c>
      <c r="P34" s="80">
        <f t="shared" si="21"/>
        <v>185.4342</v>
      </c>
      <c r="Q34" s="79">
        <v>2.5</v>
      </c>
      <c r="R34" s="252">
        <f t="shared" si="11"/>
        <v>463.58550000000002</v>
      </c>
      <c r="S34" s="80">
        <f t="shared" si="18"/>
        <v>600</v>
      </c>
      <c r="T34" s="191">
        <f t="shared" si="19"/>
        <v>136.41449999999998</v>
      </c>
      <c r="U34" s="204" t="str">
        <f t="shared" si="20"/>
        <v>No</v>
      </c>
      <c r="V34" s="384"/>
      <c r="W34" s="384"/>
      <c r="Y34" s="5" t="s">
        <v>20</v>
      </c>
      <c r="Z34" s="5">
        <v>480</v>
      </c>
      <c r="AB34" s="57"/>
    </row>
    <row r="35" spans="1:38" ht="14.25" customHeight="1" thickBot="1">
      <c r="A35" s="564"/>
      <c r="B35" s="94" t="s">
        <v>381</v>
      </c>
      <c r="C35" s="93" t="s">
        <v>380</v>
      </c>
      <c r="D35" s="92">
        <v>553.46500000000003</v>
      </c>
      <c r="E35" s="245">
        <f t="shared" si="5"/>
        <v>150</v>
      </c>
      <c r="F35" s="92">
        <v>491.47570000000002</v>
      </c>
      <c r="G35" s="82">
        <v>2.5</v>
      </c>
      <c r="H35" s="92">
        <f t="shared" si="6"/>
        <v>1228.6892500000001</v>
      </c>
      <c r="I35" s="81">
        <f t="shared" si="7"/>
        <v>10</v>
      </c>
      <c r="J35" s="274">
        <f t="shared" si="17"/>
        <v>1500</v>
      </c>
      <c r="K35" s="81">
        <f t="shared" si="1"/>
        <v>271.31074999999987</v>
      </c>
      <c r="L35" s="82">
        <f t="shared" si="8"/>
        <v>81.912616666666665</v>
      </c>
      <c r="M35" s="88" t="s">
        <v>379</v>
      </c>
      <c r="N35" s="90">
        <v>660.12</v>
      </c>
      <c r="O35" s="168">
        <f t="shared" si="9"/>
        <v>150</v>
      </c>
      <c r="P35" s="80">
        <f t="shared" si="21"/>
        <v>491.47570000000002</v>
      </c>
      <c r="Q35" s="79">
        <v>2.5</v>
      </c>
      <c r="R35" s="252">
        <f t="shared" si="11"/>
        <v>1228.6892500000001</v>
      </c>
      <c r="S35" s="80">
        <f t="shared" si="18"/>
        <v>1500</v>
      </c>
      <c r="T35" s="191">
        <f t="shared" si="19"/>
        <v>271.31074999999987</v>
      </c>
      <c r="U35" s="204" t="str">
        <f t="shared" si="20"/>
        <v>No</v>
      </c>
      <c r="V35" s="384"/>
      <c r="W35" s="384"/>
      <c r="Y35" s="5" t="s">
        <v>22</v>
      </c>
      <c r="Z35" s="5">
        <v>40</v>
      </c>
    </row>
    <row r="36" spans="1:38" ht="13.5" thickBot="1">
      <c r="A36" s="562" t="s">
        <v>374</v>
      </c>
      <c r="B36" s="84" t="s">
        <v>378</v>
      </c>
      <c r="C36" s="83" t="s">
        <v>377</v>
      </c>
      <c r="D36" s="82">
        <v>839.23</v>
      </c>
      <c r="E36" s="243">
        <f t="shared" si="5"/>
        <v>150</v>
      </c>
      <c r="F36" s="82">
        <v>213.84829999999999</v>
      </c>
      <c r="G36" s="82">
        <v>2.5</v>
      </c>
      <c r="H36" s="82">
        <f t="shared" si="6"/>
        <v>534.62075000000004</v>
      </c>
      <c r="I36" s="81">
        <f t="shared" si="7"/>
        <v>5</v>
      </c>
      <c r="J36" s="270">
        <f t="shared" si="17"/>
        <v>750</v>
      </c>
      <c r="K36" s="81">
        <f t="shared" si="1"/>
        <v>215.37924999999996</v>
      </c>
      <c r="L36" s="82">
        <f t="shared" si="8"/>
        <v>71.282766666666674</v>
      </c>
      <c r="M36" s="98" t="s">
        <v>376</v>
      </c>
      <c r="N36" s="80">
        <v>844.89</v>
      </c>
      <c r="O36" s="168">
        <f t="shared" si="9"/>
        <v>150</v>
      </c>
      <c r="P36" s="80">
        <f t="shared" si="21"/>
        <v>213.84829999999999</v>
      </c>
      <c r="Q36" s="79">
        <v>2.5</v>
      </c>
      <c r="R36" s="251">
        <f t="shared" si="11"/>
        <v>534.62075000000004</v>
      </c>
      <c r="S36" s="80">
        <f t="shared" si="18"/>
        <v>750</v>
      </c>
      <c r="T36" s="191">
        <f t="shared" si="19"/>
        <v>215.37924999999996</v>
      </c>
      <c r="U36" s="204" t="str">
        <f t="shared" si="20"/>
        <v>No</v>
      </c>
      <c r="V36" s="384"/>
      <c r="W36" s="384"/>
      <c r="Y36" s="153" t="s">
        <v>369</v>
      </c>
      <c r="Z36" s="227">
        <f>SUM(Z29:Z35)</f>
        <v>1070</v>
      </c>
      <c r="AA36" s="266"/>
    </row>
    <row r="37" spans="1:38" ht="14.25" customHeight="1" thickBot="1">
      <c r="A37" s="564"/>
      <c r="B37" s="94" t="s">
        <v>375</v>
      </c>
      <c r="C37" s="93" t="s">
        <v>374</v>
      </c>
      <c r="D37" s="92">
        <v>497.76499999999999</v>
      </c>
      <c r="E37" s="244">
        <f t="shared" si="5"/>
        <v>200</v>
      </c>
      <c r="F37" s="92">
        <v>1151.328</v>
      </c>
      <c r="G37" s="82">
        <v>2.5</v>
      </c>
      <c r="H37" s="72">
        <f t="shared" si="6"/>
        <v>2878.3199999999997</v>
      </c>
      <c r="I37" s="81">
        <f t="shared" si="7"/>
        <v>18</v>
      </c>
      <c r="J37" s="272">
        <f t="shared" si="17"/>
        <v>3600</v>
      </c>
      <c r="K37" s="81">
        <f t="shared" si="1"/>
        <v>721.68000000000029</v>
      </c>
      <c r="L37" s="82">
        <f t="shared" si="8"/>
        <v>79.953333333333319</v>
      </c>
      <c r="M37" s="88" t="s">
        <v>373</v>
      </c>
      <c r="N37" s="90">
        <v>503.42500000000001</v>
      </c>
      <c r="O37" s="168">
        <f t="shared" si="9"/>
        <v>200</v>
      </c>
      <c r="P37" s="80">
        <f t="shared" si="21"/>
        <v>1151.328</v>
      </c>
      <c r="Q37" s="79">
        <v>2.5</v>
      </c>
      <c r="R37" s="253">
        <f t="shared" si="11"/>
        <v>2878.3199999999997</v>
      </c>
      <c r="S37" s="80">
        <f t="shared" si="18"/>
        <v>3600</v>
      </c>
      <c r="T37" s="191">
        <f t="shared" si="19"/>
        <v>721.68000000000029</v>
      </c>
      <c r="U37" s="204" t="str">
        <f t="shared" si="20"/>
        <v>No</v>
      </c>
      <c r="V37" s="224"/>
      <c r="W37" s="224"/>
      <c r="Y37" s="226" t="s">
        <v>365</v>
      </c>
      <c r="Z37" s="225">
        <f>Z36/J57</f>
        <v>2.3185265438786566E-2</v>
      </c>
      <c r="AA37" s="266"/>
    </row>
    <row r="38" spans="1:38" ht="13.5" thickBot="1">
      <c r="A38" s="372" t="s">
        <v>371</v>
      </c>
      <c r="B38" s="84" t="s">
        <v>372</v>
      </c>
      <c r="C38" s="83" t="s">
        <v>371</v>
      </c>
      <c r="D38" s="82">
        <v>285.27999999999997</v>
      </c>
      <c r="E38" s="92">
        <f t="shared" si="5"/>
        <v>250</v>
      </c>
      <c r="F38" s="82">
        <v>779.52329999999995</v>
      </c>
      <c r="G38" s="82">
        <v>2.5</v>
      </c>
      <c r="H38" s="92">
        <f t="shared" si="6"/>
        <v>1948.8082499999998</v>
      </c>
      <c r="I38" s="81">
        <f t="shared" si="7"/>
        <v>10</v>
      </c>
      <c r="J38" s="242">
        <f t="shared" si="17"/>
        <v>2500</v>
      </c>
      <c r="K38" s="81">
        <f t="shared" si="1"/>
        <v>551.19175000000018</v>
      </c>
      <c r="L38" s="82">
        <f t="shared" si="8"/>
        <v>77.952329999999989</v>
      </c>
      <c r="M38" s="80" t="s">
        <v>370</v>
      </c>
      <c r="N38" s="80">
        <v>539.80499999999995</v>
      </c>
      <c r="O38" s="168">
        <f t="shared" si="9"/>
        <v>150</v>
      </c>
      <c r="P38" s="80">
        <f t="shared" si="21"/>
        <v>779.52329999999995</v>
      </c>
      <c r="Q38" s="79">
        <v>2.5</v>
      </c>
      <c r="R38" s="89">
        <f t="shared" si="11"/>
        <v>1948.8082499999998</v>
      </c>
      <c r="S38" s="80">
        <f t="shared" si="18"/>
        <v>1500</v>
      </c>
      <c r="T38" s="191">
        <f t="shared" si="19"/>
        <v>-448.80824999999982</v>
      </c>
      <c r="U38" s="204" t="str">
        <f t="shared" si="20"/>
        <v>Yes</v>
      </c>
      <c r="V38" s="206" t="s">
        <v>19</v>
      </c>
      <c r="W38" s="205">
        <v>335</v>
      </c>
    </row>
    <row r="39" spans="1:38" ht="13.5" thickBot="1">
      <c r="A39" s="562" t="s">
        <v>60</v>
      </c>
      <c r="B39" s="84" t="s">
        <v>368</v>
      </c>
      <c r="C39" s="83" t="s">
        <v>367</v>
      </c>
      <c r="D39" s="82">
        <v>239.47</v>
      </c>
      <c r="E39" s="243">
        <f t="shared" si="5"/>
        <v>250</v>
      </c>
      <c r="F39" s="82">
        <v>886.15449999999998</v>
      </c>
      <c r="G39" s="82">
        <v>2.5</v>
      </c>
      <c r="H39" s="82">
        <f t="shared" si="6"/>
        <v>2215.38625</v>
      </c>
      <c r="I39" s="81">
        <f t="shared" si="7"/>
        <v>11</v>
      </c>
      <c r="J39" s="270">
        <f t="shared" si="17"/>
        <v>2750</v>
      </c>
      <c r="K39" s="81">
        <f t="shared" si="1"/>
        <v>534.61374999999998</v>
      </c>
      <c r="L39" s="82">
        <f t="shared" si="8"/>
        <v>80.5595</v>
      </c>
      <c r="M39" s="98" t="s">
        <v>366</v>
      </c>
      <c r="N39" s="80">
        <v>585.61500000000001</v>
      </c>
      <c r="O39" s="168">
        <f t="shared" si="9"/>
        <v>150</v>
      </c>
      <c r="P39" s="80">
        <f t="shared" si="21"/>
        <v>886.15449999999998</v>
      </c>
      <c r="Q39" s="79">
        <v>2.5</v>
      </c>
      <c r="R39" s="251">
        <f t="shared" si="11"/>
        <v>2215.38625</v>
      </c>
      <c r="S39" s="80">
        <f t="shared" si="18"/>
        <v>1650</v>
      </c>
      <c r="T39" s="191">
        <f t="shared" si="19"/>
        <v>-565.38625000000002</v>
      </c>
      <c r="U39" s="204" t="str">
        <f t="shared" si="20"/>
        <v>Yes</v>
      </c>
      <c r="V39" s="203" t="s">
        <v>20</v>
      </c>
      <c r="W39" s="202">
        <v>480</v>
      </c>
    </row>
    <row r="40" spans="1:38" ht="14.25" customHeight="1" thickBot="1">
      <c r="A40" s="563"/>
      <c r="B40" s="74" t="s">
        <v>364</v>
      </c>
      <c r="C40" s="73" t="s">
        <v>61</v>
      </c>
      <c r="D40" s="72">
        <v>381.34</v>
      </c>
      <c r="E40" s="245">
        <f t="shared" si="5"/>
        <v>200</v>
      </c>
      <c r="F40" s="72">
        <v>233.80699999999999</v>
      </c>
      <c r="G40" s="82">
        <v>2.5</v>
      </c>
      <c r="H40" s="92">
        <f t="shared" si="6"/>
        <v>584.51749999999993</v>
      </c>
      <c r="I40" s="81">
        <f t="shared" si="7"/>
        <v>4</v>
      </c>
      <c r="J40" s="274">
        <f t="shared" si="17"/>
        <v>800</v>
      </c>
      <c r="K40" s="81">
        <f t="shared" si="1"/>
        <v>215.48250000000007</v>
      </c>
      <c r="L40" s="82">
        <f t="shared" si="8"/>
        <v>73.064687499999991</v>
      </c>
      <c r="M40" s="69" t="s">
        <v>328</v>
      </c>
      <c r="N40" s="70">
        <v>673.16499999999996</v>
      </c>
      <c r="O40" s="168">
        <f t="shared" si="9"/>
        <v>150</v>
      </c>
      <c r="P40" s="80">
        <f t="shared" si="21"/>
        <v>233.80699999999999</v>
      </c>
      <c r="Q40" s="79">
        <v>2.5</v>
      </c>
      <c r="R40" s="252">
        <f t="shared" si="11"/>
        <v>584.51749999999993</v>
      </c>
      <c r="S40" s="80">
        <f t="shared" si="18"/>
        <v>600</v>
      </c>
      <c r="T40" s="191">
        <f t="shared" si="19"/>
        <v>15.482500000000073</v>
      </c>
      <c r="U40" s="204" t="str">
        <f t="shared" si="20"/>
        <v>No</v>
      </c>
      <c r="V40" s="201"/>
      <c r="W40" s="200"/>
    </row>
    <row r="41" spans="1:38" ht="13.5" thickBot="1">
      <c r="A41" s="564" t="s">
        <v>363</v>
      </c>
      <c r="B41" s="62" t="s">
        <v>362</v>
      </c>
      <c r="C41" s="111" t="s">
        <v>74</v>
      </c>
      <c r="D41" s="92">
        <v>632.29499999999996</v>
      </c>
      <c r="E41" s="243">
        <f t="shared" si="5"/>
        <v>150</v>
      </c>
      <c r="F41" s="92">
        <v>416.14780000000002</v>
      </c>
      <c r="G41" s="82">
        <v>2.5</v>
      </c>
      <c r="H41" s="82">
        <f t="shared" si="6"/>
        <v>1040.3695</v>
      </c>
      <c r="I41" s="81">
        <f t="shared" si="7"/>
        <v>9</v>
      </c>
      <c r="J41" s="270">
        <f t="shared" si="17"/>
        <v>1350</v>
      </c>
      <c r="K41" s="81">
        <f t="shared" si="1"/>
        <v>309.63049999999998</v>
      </c>
      <c r="L41" s="82">
        <f t="shared" si="8"/>
        <v>77.064407407407415</v>
      </c>
      <c r="M41" s="88" t="s">
        <v>361</v>
      </c>
      <c r="N41" s="90">
        <v>692.19500000000005</v>
      </c>
      <c r="O41" s="168">
        <f t="shared" si="9"/>
        <v>150</v>
      </c>
      <c r="P41" s="80">
        <f t="shared" si="21"/>
        <v>416.14780000000002</v>
      </c>
      <c r="Q41" s="79">
        <v>2.5</v>
      </c>
      <c r="R41" s="251">
        <f t="shared" si="11"/>
        <v>1040.3695</v>
      </c>
      <c r="S41" s="80">
        <f t="shared" si="18"/>
        <v>1350</v>
      </c>
      <c r="T41" s="191">
        <f t="shared" si="19"/>
        <v>309.63049999999998</v>
      </c>
      <c r="U41" s="348" t="str">
        <f t="shared" si="20"/>
        <v>No</v>
      </c>
      <c r="V41" s="350"/>
      <c r="W41" s="351"/>
    </row>
    <row r="42" spans="1:38" ht="14.25" customHeight="1" thickBot="1">
      <c r="A42" s="564"/>
      <c r="B42" s="94" t="s">
        <v>360</v>
      </c>
      <c r="C42" s="93" t="s">
        <v>55</v>
      </c>
      <c r="D42" s="105">
        <v>566.26</v>
      </c>
      <c r="E42" s="245">
        <f t="shared" si="5"/>
        <v>150</v>
      </c>
      <c r="F42" s="105">
        <v>424.66829999999999</v>
      </c>
      <c r="G42" s="82">
        <v>2.5</v>
      </c>
      <c r="H42" s="92">
        <f t="shared" si="6"/>
        <v>1061.67075</v>
      </c>
      <c r="I42" s="81">
        <f t="shared" si="7"/>
        <v>9</v>
      </c>
      <c r="J42" s="274">
        <f t="shared" si="17"/>
        <v>1350</v>
      </c>
      <c r="K42" s="81">
        <f t="shared" si="1"/>
        <v>288.32925</v>
      </c>
      <c r="L42" s="82">
        <f t="shared" si="8"/>
        <v>78.642277777777778</v>
      </c>
      <c r="M42" s="99" t="s">
        <v>359</v>
      </c>
      <c r="N42" s="104">
        <v>1033.6600000000001</v>
      </c>
      <c r="O42" s="168">
        <f t="shared" si="9"/>
        <v>150</v>
      </c>
      <c r="P42" s="80">
        <f t="shared" si="21"/>
        <v>424.66829999999999</v>
      </c>
      <c r="Q42" s="79">
        <v>2.5</v>
      </c>
      <c r="R42" s="252">
        <f t="shared" si="11"/>
        <v>1061.67075</v>
      </c>
      <c r="S42" s="80">
        <f t="shared" si="18"/>
        <v>1350</v>
      </c>
      <c r="T42" s="191">
        <f t="shared" si="19"/>
        <v>288.32925</v>
      </c>
      <c r="U42" s="348" t="str">
        <f t="shared" si="20"/>
        <v>No</v>
      </c>
      <c r="V42" s="352" t="s">
        <v>22</v>
      </c>
      <c r="W42" s="353">
        <v>40</v>
      </c>
      <c r="X42" s="558" t="s">
        <v>589</v>
      </c>
      <c r="Y42" s="558"/>
      <c r="Z42" s="558"/>
      <c r="AA42" s="558"/>
      <c r="AB42" s="558"/>
      <c r="AC42" s="559"/>
      <c r="AD42" s="154"/>
      <c r="AI42" s="486"/>
      <c r="AJ42" s="486"/>
      <c r="AK42" s="486"/>
      <c r="AL42" s="486"/>
    </row>
    <row r="43" spans="1:38" ht="14.25" customHeight="1" thickBot="1">
      <c r="A43" s="564"/>
      <c r="B43" s="94" t="s">
        <v>358</v>
      </c>
      <c r="C43" s="93" t="s">
        <v>62</v>
      </c>
      <c r="D43" s="92">
        <v>174.54</v>
      </c>
      <c r="E43" s="244">
        <f t="shared" si="5"/>
        <v>250</v>
      </c>
      <c r="F43" s="92">
        <v>80.336669999999998</v>
      </c>
      <c r="G43" s="82">
        <v>2.5</v>
      </c>
      <c r="H43" s="72">
        <f t="shared" si="6"/>
        <v>200.84167500000001</v>
      </c>
      <c r="I43" s="81">
        <f t="shared" si="7"/>
        <v>1</v>
      </c>
      <c r="J43" s="272">
        <f t="shared" si="17"/>
        <v>250</v>
      </c>
      <c r="K43" s="81">
        <f t="shared" si="1"/>
        <v>49.158324999999991</v>
      </c>
      <c r="L43" s="82">
        <f t="shared" si="8"/>
        <v>80.336669999999998</v>
      </c>
      <c r="M43" s="88" t="s">
        <v>357</v>
      </c>
      <c r="N43" s="90">
        <v>811.21</v>
      </c>
      <c r="O43" s="168">
        <f t="shared" si="9"/>
        <v>150</v>
      </c>
      <c r="P43" s="80">
        <f t="shared" si="21"/>
        <v>80.336669999999998</v>
      </c>
      <c r="Q43" s="79">
        <v>2.5</v>
      </c>
      <c r="R43" s="253">
        <f t="shared" si="11"/>
        <v>200.84167500000001</v>
      </c>
      <c r="S43" s="80">
        <f t="shared" si="18"/>
        <v>150</v>
      </c>
      <c r="T43" s="191">
        <f t="shared" si="19"/>
        <v>-50.841675000000009</v>
      </c>
      <c r="U43" s="348" t="str">
        <f t="shared" si="20"/>
        <v>Yes</v>
      </c>
      <c r="V43" s="354"/>
      <c r="W43" s="355"/>
      <c r="X43" s="349" t="s">
        <v>491</v>
      </c>
      <c r="Y43" s="333" t="s">
        <v>493</v>
      </c>
      <c r="Z43" s="333" t="s">
        <v>494</v>
      </c>
      <c r="AA43" s="333" t="s">
        <v>495</v>
      </c>
      <c r="AB43" s="333" t="s">
        <v>496</v>
      </c>
      <c r="AC43" s="334" t="s">
        <v>562</v>
      </c>
      <c r="AD43" s="290" t="s">
        <v>415</v>
      </c>
      <c r="AI43" s="486"/>
      <c r="AJ43" s="486"/>
      <c r="AK43" s="486"/>
      <c r="AL43" s="491"/>
    </row>
    <row r="44" spans="1:38" ht="13.5" thickBot="1">
      <c r="A44" s="372" t="s">
        <v>355</v>
      </c>
      <c r="B44" s="84" t="s">
        <v>356</v>
      </c>
      <c r="C44" s="83" t="s">
        <v>355</v>
      </c>
      <c r="D44" s="82">
        <v>517.28</v>
      </c>
      <c r="E44" s="92">
        <f t="shared" si="5"/>
        <v>200</v>
      </c>
      <c r="F44" s="82">
        <v>67.241829999999993</v>
      </c>
      <c r="G44" s="82">
        <v>2.5</v>
      </c>
      <c r="H44" s="92">
        <f t="shared" si="6"/>
        <v>168.10457499999998</v>
      </c>
      <c r="I44" s="81">
        <f t="shared" si="7"/>
        <v>2</v>
      </c>
      <c r="J44" s="242">
        <f t="shared" si="17"/>
        <v>400</v>
      </c>
      <c r="K44" s="81">
        <f t="shared" si="1"/>
        <v>231.89542500000002</v>
      </c>
      <c r="L44" s="82">
        <f t="shared" si="8"/>
        <v>42.026143749999996</v>
      </c>
      <c r="M44" s="80" t="s">
        <v>354</v>
      </c>
      <c r="N44" s="80">
        <v>607.995</v>
      </c>
      <c r="O44" s="168">
        <f t="shared" si="9"/>
        <v>150</v>
      </c>
      <c r="P44" s="80">
        <f t="shared" si="21"/>
        <v>67.241829999999993</v>
      </c>
      <c r="Q44" s="79">
        <v>2.5</v>
      </c>
      <c r="R44" s="89">
        <f t="shared" si="11"/>
        <v>168.10457499999998</v>
      </c>
      <c r="S44" s="80">
        <f t="shared" si="18"/>
        <v>300</v>
      </c>
      <c r="T44" s="191">
        <f t="shared" si="19"/>
        <v>131.89542500000002</v>
      </c>
      <c r="U44" s="204" t="str">
        <f t="shared" si="20"/>
        <v>No</v>
      </c>
      <c r="V44" s="223"/>
      <c r="X44" s="59" t="s">
        <v>84</v>
      </c>
      <c r="Y44" s="335">
        <v>0</v>
      </c>
      <c r="Z44" s="335">
        <v>0</v>
      </c>
      <c r="AA44" s="336">
        <v>0</v>
      </c>
      <c r="AB44" s="336">
        <v>0</v>
      </c>
      <c r="AC44" s="337">
        <v>0</v>
      </c>
      <c r="AD44" s="338">
        <f>SUM(Y44:AC44)</f>
        <v>0</v>
      </c>
      <c r="AI44" s="486"/>
      <c r="AJ44" s="486"/>
      <c r="AK44" s="486"/>
      <c r="AL44" s="486"/>
    </row>
    <row r="45" spans="1:38" ht="13.5" thickBot="1">
      <c r="A45" s="562" t="s">
        <v>349</v>
      </c>
      <c r="B45" s="84" t="s">
        <v>353</v>
      </c>
      <c r="C45" s="83" t="s">
        <v>342</v>
      </c>
      <c r="D45" s="82">
        <v>592.98500000000001</v>
      </c>
      <c r="E45" s="243">
        <f t="shared" si="5"/>
        <v>150</v>
      </c>
      <c r="F45" s="82">
        <v>175.91919999999999</v>
      </c>
      <c r="G45" s="82">
        <v>2.5</v>
      </c>
      <c r="H45" s="82">
        <f t="shared" si="6"/>
        <v>439.798</v>
      </c>
      <c r="I45" s="81">
        <f t="shared" si="7"/>
        <v>4</v>
      </c>
      <c r="J45" s="270">
        <f t="shared" si="17"/>
        <v>600</v>
      </c>
      <c r="K45" s="81">
        <f t="shared" si="1"/>
        <v>160.202</v>
      </c>
      <c r="L45" s="82">
        <f t="shared" si="8"/>
        <v>73.299666666666667</v>
      </c>
      <c r="M45" s="98" t="s">
        <v>352</v>
      </c>
      <c r="N45" s="80">
        <v>1051.23</v>
      </c>
      <c r="O45" s="168">
        <f t="shared" si="9"/>
        <v>150</v>
      </c>
      <c r="P45" s="80">
        <f t="shared" si="21"/>
        <v>175.91919999999999</v>
      </c>
      <c r="Q45" s="79">
        <v>2.5</v>
      </c>
      <c r="R45" s="251">
        <f t="shared" si="11"/>
        <v>439.798</v>
      </c>
      <c r="S45" s="80">
        <f t="shared" si="18"/>
        <v>600</v>
      </c>
      <c r="T45" s="191">
        <f t="shared" si="19"/>
        <v>160.202</v>
      </c>
      <c r="U45" s="204" t="str">
        <f t="shared" si="20"/>
        <v>No</v>
      </c>
      <c r="V45" s="223"/>
      <c r="X45" s="59" t="s">
        <v>85</v>
      </c>
      <c r="Y45" s="335">
        <v>1</v>
      </c>
      <c r="Z45" s="335">
        <v>0</v>
      </c>
      <c r="AA45" s="335">
        <v>0</v>
      </c>
      <c r="AB45" s="335">
        <v>0</v>
      </c>
      <c r="AC45" s="337">
        <v>0</v>
      </c>
      <c r="AD45" s="59">
        <f t="shared" ref="AD45:AD55" si="22">SUM(Y45:AC45)</f>
        <v>1</v>
      </c>
      <c r="AI45" s="486"/>
      <c r="AJ45" s="486"/>
      <c r="AK45" s="486"/>
      <c r="AL45" s="486"/>
    </row>
    <row r="46" spans="1:38" ht="14.25" customHeight="1" thickBot="1">
      <c r="A46" s="564"/>
      <c r="B46" s="94" t="s">
        <v>350</v>
      </c>
      <c r="C46" s="93" t="s">
        <v>349</v>
      </c>
      <c r="D46" s="105">
        <v>374.84</v>
      </c>
      <c r="E46" s="245">
        <f t="shared" si="5"/>
        <v>200</v>
      </c>
      <c r="F46" s="105">
        <v>115.1143</v>
      </c>
      <c r="G46" s="82">
        <v>2.5</v>
      </c>
      <c r="H46" s="92">
        <f t="shared" si="6"/>
        <v>287.78575000000001</v>
      </c>
      <c r="I46" s="81">
        <f t="shared" si="7"/>
        <v>2</v>
      </c>
      <c r="J46" s="274">
        <f t="shared" si="17"/>
        <v>400</v>
      </c>
      <c r="K46" s="81">
        <f t="shared" si="1"/>
        <v>112.21424999999999</v>
      </c>
      <c r="L46" s="82">
        <f t="shared" si="8"/>
        <v>71.946437500000002</v>
      </c>
      <c r="M46" s="99" t="s">
        <v>348</v>
      </c>
      <c r="N46" s="104">
        <v>838.745</v>
      </c>
      <c r="O46" s="168">
        <f t="shared" si="9"/>
        <v>150</v>
      </c>
      <c r="P46" s="80">
        <f t="shared" si="21"/>
        <v>115.1143</v>
      </c>
      <c r="Q46" s="79">
        <v>2.5</v>
      </c>
      <c r="R46" s="252">
        <f t="shared" si="11"/>
        <v>287.78575000000001</v>
      </c>
      <c r="S46" s="80">
        <f t="shared" si="18"/>
        <v>300</v>
      </c>
      <c r="T46" s="191">
        <f t="shared" si="19"/>
        <v>12.214249999999993</v>
      </c>
      <c r="U46" s="204" t="str">
        <f t="shared" si="20"/>
        <v>No</v>
      </c>
      <c r="V46" s="223"/>
      <c r="X46" s="59" t="s">
        <v>86</v>
      </c>
      <c r="Y46" s="335">
        <v>1</v>
      </c>
      <c r="Z46" s="335">
        <v>0</v>
      </c>
      <c r="AA46" s="335">
        <v>0</v>
      </c>
      <c r="AB46" s="335">
        <v>0</v>
      </c>
      <c r="AC46" s="337">
        <v>0</v>
      </c>
      <c r="AD46" s="59">
        <f t="shared" si="22"/>
        <v>1</v>
      </c>
      <c r="AF46" s="481" t="s">
        <v>498</v>
      </c>
      <c r="AG46" s="481" t="s">
        <v>499</v>
      </c>
      <c r="AH46" s="340" t="s">
        <v>500</v>
      </c>
      <c r="AI46" s="486"/>
      <c r="AJ46" s="486"/>
    </row>
    <row r="47" spans="1:38" ht="14.25" customHeight="1" thickBot="1">
      <c r="A47" s="564"/>
      <c r="B47" s="94" t="s">
        <v>347</v>
      </c>
      <c r="C47" s="93" t="s">
        <v>335</v>
      </c>
      <c r="D47" s="105">
        <v>675.17499999999995</v>
      </c>
      <c r="E47" s="245">
        <f t="shared" si="5"/>
        <v>150</v>
      </c>
      <c r="F47" s="105">
        <v>87.5685</v>
      </c>
      <c r="G47" s="82">
        <v>2.5</v>
      </c>
      <c r="H47" s="92">
        <f t="shared" si="6"/>
        <v>218.92124999999999</v>
      </c>
      <c r="I47" s="81">
        <f t="shared" si="7"/>
        <v>2</v>
      </c>
      <c r="J47" s="274">
        <f t="shared" si="17"/>
        <v>300</v>
      </c>
      <c r="K47" s="81">
        <f t="shared" si="1"/>
        <v>81.078750000000014</v>
      </c>
      <c r="L47" s="82">
        <f t="shared" si="8"/>
        <v>72.973749999999995</v>
      </c>
      <c r="M47" s="99" t="s">
        <v>346</v>
      </c>
      <c r="N47" s="104">
        <v>792.93499999999995</v>
      </c>
      <c r="O47" s="168">
        <f t="shared" si="9"/>
        <v>150</v>
      </c>
      <c r="P47" s="80">
        <f t="shared" si="21"/>
        <v>87.5685</v>
      </c>
      <c r="Q47" s="79">
        <v>2.5</v>
      </c>
      <c r="R47" s="252">
        <f t="shared" si="11"/>
        <v>218.92124999999999</v>
      </c>
      <c r="S47" s="80">
        <f t="shared" si="18"/>
        <v>300</v>
      </c>
      <c r="T47" s="191">
        <f t="shared" si="19"/>
        <v>81.078750000000014</v>
      </c>
      <c r="U47" s="204" t="str">
        <f t="shared" si="20"/>
        <v>No</v>
      </c>
      <c r="V47" s="223"/>
      <c r="X47" s="59" t="s">
        <v>87</v>
      </c>
      <c r="Y47" s="335">
        <v>2</v>
      </c>
      <c r="Z47" s="335">
        <v>2</v>
      </c>
      <c r="AA47" s="335">
        <v>0</v>
      </c>
      <c r="AB47" s="335">
        <v>0</v>
      </c>
      <c r="AC47" s="337">
        <v>0</v>
      </c>
      <c r="AD47" s="59">
        <f t="shared" si="22"/>
        <v>4</v>
      </c>
      <c r="AF47" s="60" t="s">
        <v>493</v>
      </c>
      <c r="AG47" s="60">
        <v>100</v>
      </c>
      <c r="AH47" s="492">
        <v>15</v>
      </c>
      <c r="AI47" s="486"/>
      <c r="AJ47" s="486"/>
    </row>
    <row r="48" spans="1:38" ht="14.25" customHeight="1" thickBot="1">
      <c r="A48" s="564"/>
      <c r="B48" s="94" t="s">
        <v>339</v>
      </c>
      <c r="C48" s="93" t="s">
        <v>338</v>
      </c>
      <c r="D48" s="92">
        <v>768.38499999999999</v>
      </c>
      <c r="E48" s="245">
        <f t="shared" si="5"/>
        <v>150</v>
      </c>
      <c r="F48" s="92">
        <v>46.164000000000001</v>
      </c>
      <c r="G48" s="82">
        <v>2.5</v>
      </c>
      <c r="H48" s="92">
        <f t="shared" si="6"/>
        <v>115.41</v>
      </c>
      <c r="I48" s="81">
        <f t="shared" si="7"/>
        <v>1</v>
      </c>
      <c r="J48" s="274">
        <f t="shared" si="17"/>
        <v>150</v>
      </c>
      <c r="K48" s="81">
        <f t="shared" si="1"/>
        <v>34.590000000000003</v>
      </c>
      <c r="L48" s="82">
        <f t="shared" si="8"/>
        <v>76.94</v>
      </c>
      <c r="M48" s="88" t="s">
        <v>345</v>
      </c>
      <c r="N48" s="90">
        <v>934.80499999999995</v>
      </c>
      <c r="O48" s="168">
        <f t="shared" si="9"/>
        <v>150</v>
      </c>
      <c r="P48" s="80">
        <f t="shared" si="21"/>
        <v>46.164000000000001</v>
      </c>
      <c r="Q48" s="79">
        <v>2.5</v>
      </c>
      <c r="R48" s="252">
        <f t="shared" si="11"/>
        <v>115.41</v>
      </c>
      <c r="S48" s="80">
        <f t="shared" si="18"/>
        <v>150</v>
      </c>
      <c r="T48" s="191">
        <f t="shared" si="19"/>
        <v>34.590000000000003</v>
      </c>
      <c r="U48" s="204" t="str">
        <f t="shared" si="20"/>
        <v>No</v>
      </c>
      <c r="V48" s="223"/>
      <c r="X48" s="59" t="s">
        <v>88</v>
      </c>
      <c r="Y48" s="335">
        <v>1</v>
      </c>
      <c r="Z48" s="335">
        <v>0</v>
      </c>
      <c r="AA48" s="335">
        <v>0</v>
      </c>
      <c r="AB48" s="335">
        <v>0</v>
      </c>
      <c r="AC48" s="337">
        <v>0</v>
      </c>
      <c r="AD48" s="59">
        <f t="shared" si="22"/>
        <v>1</v>
      </c>
      <c r="AE48" s="384"/>
      <c r="AF48" s="341" t="s">
        <v>494</v>
      </c>
      <c r="AG48" s="341">
        <v>150</v>
      </c>
      <c r="AH48" s="493">
        <v>16.3689</v>
      </c>
      <c r="AI48" s="486"/>
      <c r="AJ48" s="486"/>
      <c r="AL48" s="486"/>
    </row>
    <row r="49" spans="1:38" ht="13.5" thickBot="1">
      <c r="A49" s="562" t="s">
        <v>344</v>
      </c>
      <c r="B49" s="84" t="s">
        <v>343</v>
      </c>
      <c r="C49" s="83" t="s">
        <v>342</v>
      </c>
      <c r="D49" s="82">
        <v>592.98500000000001</v>
      </c>
      <c r="E49" s="243">
        <f t="shared" si="5"/>
        <v>150</v>
      </c>
      <c r="F49" s="82">
        <v>175.91919999999999</v>
      </c>
      <c r="G49" s="82">
        <v>2.5</v>
      </c>
      <c r="H49" s="82">
        <f t="shared" si="6"/>
        <v>439.798</v>
      </c>
      <c r="I49" s="81">
        <f t="shared" si="7"/>
        <v>4</v>
      </c>
      <c r="J49" s="270">
        <f t="shared" si="17"/>
        <v>600</v>
      </c>
      <c r="K49" s="81">
        <f t="shared" si="1"/>
        <v>160.202</v>
      </c>
      <c r="L49" s="82">
        <f t="shared" si="8"/>
        <v>73.299666666666667</v>
      </c>
      <c r="M49" s="98" t="s">
        <v>341</v>
      </c>
      <c r="N49" s="80">
        <v>992.44500000000005</v>
      </c>
      <c r="O49" s="168">
        <f t="shared" si="9"/>
        <v>150</v>
      </c>
      <c r="P49" s="80">
        <f t="shared" si="21"/>
        <v>175.91919999999999</v>
      </c>
      <c r="Q49" s="79">
        <v>2.5</v>
      </c>
      <c r="R49" s="251">
        <f t="shared" si="11"/>
        <v>439.798</v>
      </c>
      <c r="S49" s="80">
        <f t="shared" si="18"/>
        <v>600</v>
      </c>
      <c r="T49" s="191">
        <f t="shared" si="19"/>
        <v>160.202</v>
      </c>
      <c r="U49" s="204" t="str">
        <f t="shared" si="20"/>
        <v>No</v>
      </c>
      <c r="V49" s="223"/>
      <c r="X49" s="59" t="s">
        <v>89</v>
      </c>
      <c r="Y49" s="335">
        <v>1</v>
      </c>
      <c r="Z49" s="335">
        <v>0</v>
      </c>
      <c r="AA49" s="335">
        <v>0</v>
      </c>
      <c r="AB49" s="335">
        <v>0</v>
      </c>
      <c r="AC49" s="337">
        <v>0</v>
      </c>
      <c r="AD49" s="59">
        <f t="shared" si="22"/>
        <v>1</v>
      </c>
      <c r="AE49" s="382"/>
      <c r="AF49" s="341" t="s">
        <v>495</v>
      </c>
      <c r="AG49" s="341">
        <v>200</v>
      </c>
      <c r="AH49" s="493">
        <v>16.746700000000001</v>
      </c>
      <c r="AI49" s="486"/>
      <c r="AJ49" s="486"/>
      <c r="AL49" s="486"/>
    </row>
    <row r="50" spans="1:38" ht="14.25" customHeight="1" thickBot="1">
      <c r="A50" s="564"/>
      <c r="B50" s="94" t="s">
        <v>339</v>
      </c>
      <c r="C50" s="93" t="s">
        <v>338</v>
      </c>
      <c r="D50" s="92">
        <v>768.38499999999999</v>
      </c>
      <c r="E50" s="245">
        <f t="shared" si="5"/>
        <v>150</v>
      </c>
      <c r="F50" s="92">
        <v>46.164000000000001</v>
      </c>
      <c r="G50" s="82">
        <v>2.5</v>
      </c>
      <c r="H50" s="92">
        <f t="shared" si="6"/>
        <v>115.41</v>
      </c>
      <c r="I50" s="81">
        <f t="shared" si="7"/>
        <v>1</v>
      </c>
      <c r="J50" s="274">
        <f t="shared" si="17"/>
        <v>150</v>
      </c>
      <c r="K50" s="81">
        <f t="shared" si="1"/>
        <v>34.590000000000003</v>
      </c>
      <c r="L50" s="82">
        <f t="shared" si="8"/>
        <v>76.94</v>
      </c>
      <c r="M50" s="88" t="s">
        <v>337</v>
      </c>
      <c r="N50" s="90">
        <v>817.04499999999996</v>
      </c>
      <c r="O50" s="168">
        <f t="shared" si="9"/>
        <v>150</v>
      </c>
      <c r="P50" s="80">
        <f t="shared" si="21"/>
        <v>46.164000000000001</v>
      </c>
      <c r="Q50" s="79">
        <v>2.5</v>
      </c>
      <c r="R50" s="252">
        <f t="shared" si="11"/>
        <v>115.41</v>
      </c>
      <c r="S50" s="80">
        <f t="shared" si="18"/>
        <v>150</v>
      </c>
      <c r="T50" s="191">
        <f t="shared" si="19"/>
        <v>34.590000000000003</v>
      </c>
      <c r="U50" s="204" t="str">
        <f t="shared" si="20"/>
        <v>No</v>
      </c>
      <c r="V50" s="223"/>
      <c r="X50" s="59" t="s">
        <v>90</v>
      </c>
      <c r="Y50" s="335">
        <v>1</v>
      </c>
      <c r="Z50" s="335">
        <v>0</v>
      </c>
      <c r="AA50" s="335">
        <v>0</v>
      </c>
      <c r="AB50" s="335">
        <v>0</v>
      </c>
      <c r="AC50" s="337">
        <v>0</v>
      </c>
      <c r="AD50" s="59">
        <f t="shared" si="22"/>
        <v>1</v>
      </c>
      <c r="AE50" s="382"/>
      <c r="AF50" s="341" t="s">
        <v>496</v>
      </c>
      <c r="AG50" s="341">
        <v>250</v>
      </c>
      <c r="AH50" s="493">
        <v>16.886600000000001</v>
      </c>
      <c r="AI50" s="486"/>
      <c r="AJ50" s="486"/>
      <c r="AL50" s="486"/>
    </row>
    <row r="51" spans="1:38" ht="13.5" thickBot="1">
      <c r="A51" s="562" t="s">
        <v>340</v>
      </c>
      <c r="B51" s="84" t="s">
        <v>339</v>
      </c>
      <c r="C51" s="83" t="s">
        <v>338</v>
      </c>
      <c r="D51" s="82">
        <v>768.38499999999999</v>
      </c>
      <c r="E51" s="243">
        <f t="shared" si="5"/>
        <v>150</v>
      </c>
      <c r="F51" s="82">
        <v>46.164000000000001</v>
      </c>
      <c r="G51" s="82">
        <v>2.5</v>
      </c>
      <c r="H51" s="82">
        <f t="shared" si="6"/>
        <v>115.41</v>
      </c>
      <c r="I51" s="81">
        <f t="shared" si="7"/>
        <v>1</v>
      </c>
      <c r="J51" s="270">
        <f t="shared" si="17"/>
        <v>150</v>
      </c>
      <c r="K51" s="81">
        <f t="shared" si="1"/>
        <v>34.590000000000003</v>
      </c>
      <c r="L51" s="82">
        <f t="shared" si="8"/>
        <v>76.94</v>
      </c>
      <c r="M51" s="98" t="s">
        <v>337</v>
      </c>
      <c r="N51" s="80">
        <v>817.04499999999996</v>
      </c>
      <c r="O51" s="168">
        <f t="shared" si="9"/>
        <v>150</v>
      </c>
      <c r="P51" s="80">
        <f t="shared" si="21"/>
        <v>46.164000000000001</v>
      </c>
      <c r="Q51" s="79">
        <v>2.5</v>
      </c>
      <c r="R51" s="251">
        <f t="shared" si="11"/>
        <v>115.41</v>
      </c>
      <c r="S51" s="80">
        <f t="shared" si="18"/>
        <v>150</v>
      </c>
      <c r="T51" s="191">
        <f t="shared" si="19"/>
        <v>34.590000000000003</v>
      </c>
      <c r="U51" s="204" t="str">
        <f t="shared" si="20"/>
        <v>No</v>
      </c>
      <c r="V51" s="223"/>
      <c r="X51" s="59" t="s">
        <v>91</v>
      </c>
      <c r="Y51" s="335">
        <v>0</v>
      </c>
      <c r="Z51" s="335">
        <v>0</v>
      </c>
      <c r="AA51" s="337">
        <v>0</v>
      </c>
      <c r="AB51" s="337">
        <v>0</v>
      </c>
      <c r="AC51" s="337">
        <v>0</v>
      </c>
      <c r="AD51" s="59">
        <f t="shared" si="22"/>
        <v>0</v>
      </c>
      <c r="AE51" s="384"/>
      <c r="AF51" s="342" t="s">
        <v>562</v>
      </c>
      <c r="AG51" s="342">
        <v>300</v>
      </c>
      <c r="AH51" s="494">
        <v>17</v>
      </c>
      <c r="AI51" s="486"/>
      <c r="AJ51" s="486"/>
      <c r="AL51" s="486"/>
    </row>
    <row r="52" spans="1:38" ht="14.25" customHeight="1" thickBot="1">
      <c r="A52" s="564"/>
      <c r="B52" s="94" t="s">
        <v>30</v>
      </c>
      <c r="C52" s="93" t="s">
        <v>326</v>
      </c>
      <c r="D52" s="92">
        <v>317.27</v>
      </c>
      <c r="E52" s="245">
        <f t="shared" si="5"/>
        <v>200</v>
      </c>
      <c r="F52" s="92">
        <v>136.87530000000001</v>
      </c>
      <c r="G52" s="82">
        <v>2.5</v>
      </c>
      <c r="H52" s="92">
        <f t="shared" si="6"/>
        <v>342.18825000000004</v>
      </c>
      <c r="I52" s="81">
        <f t="shared" si="7"/>
        <v>3</v>
      </c>
      <c r="J52" s="274">
        <f t="shared" si="17"/>
        <v>600</v>
      </c>
      <c r="K52" s="81">
        <f t="shared" si="1"/>
        <v>257.81174999999996</v>
      </c>
      <c r="L52" s="82">
        <f t="shared" si="8"/>
        <v>57.031375000000004</v>
      </c>
      <c r="M52" s="88" t="s">
        <v>325</v>
      </c>
      <c r="N52" s="90">
        <v>518.48</v>
      </c>
      <c r="O52" s="168">
        <f t="shared" si="9"/>
        <v>200</v>
      </c>
      <c r="P52" s="80">
        <f t="shared" si="21"/>
        <v>136.87530000000001</v>
      </c>
      <c r="Q52" s="79">
        <v>2.5</v>
      </c>
      <c r="R52" s="252">
        <f t="shared" si="11"/>
        <v>342.18825000000004</v>
      </c>
      <c r="S52" s="80">
        <f t="shared" si="18"/>
        <v>600</v>
      </c>
      <c r="T52" s="191">
        <f t="shared" si="19"/>
        <v>257.81174999999996</v>
      </c>
      <c r="U52" s="204" t="str">
        <f t="shared" si="20"/>
        <v>No</v>
      </c>
      <c r="V52" s="223"/>
      <c r="X52" s="59" t="s">
        <v>92</v>
      </c>
      <c r="Y52" s="337">
        <v>0</v>
      </c>
      <c r="Z52" s="337">
        <v>0</v>
      </c>
      <c r="AA52" s="337">
        <v>0</v>
      </c>
      <c r="AB52" s="337">
        <v>0</v>
      </c>
      <c r="AC52" s="337">
        <v>0</v>
      </c>
      <c r="AD52" s="59">
        <f t="shared" si="22"/>
        <v>0</v>
      </c>
      <c r="AE52" s="384"/>
      <c r="AF52" s="486"/>
      <c r="AG52" s="486"/>
      <c r="AI52" s="486"/>
      <c r="AJ52" s="486"/>
      <c r="AL52" s="486"/>
    </row>
    <row r="53" spans="1:38" ht="13.5" thickBot="1">
      <c r="A53" s="562" t="s">
        <v>336</v>
      </c>
      <c r="B53" s="84" t="s">
        <v>28</v>
      </c>
      <c r="C53" s="83" t="s">
        <v>335</v>
      </c>
      <c r="D53" s="82">
        <v>675.17499999999995</v>
      </c>
      <c r="E53" s="243">
        <f t="shared" si="5"/>
        <v>150</v>
      </c>
      <c r="F53" s="82">
        <v>87.5685</v>
      </c>
      <c r="G53" s="82">
        <v>2.5</v>
      </c>
      <c r="H53" s="82">
        <f t="shared" si="6"/>
        <v>218.92124999999999</v>
      </c>
      <c r="I53" s="81">
        <f t="shared" si="7"/>
        <v>2</v>
      </c>
      <c r="J53" s="270">
        <f t="shared" si="17"/>
        <v>300</v>
      </c>
      <c r="K53" s="81">
        <f t="shared" si="1"/>
        <v>81.078750000000014</v>
      </c>
      <c r="L53" s="82">
        <f t="shared" si="8"/>
        <v>72.973749999999995</v>
      </c>
      <c r="M53" s="98" t="s">
        <v>334</v>
      </c>
      <c r="N53" s="80">
        <v>792.93499999999995</v>
      </c>
      <c r="O53" s="168">
        <f t="shared" si="9"/>
        <v>150</v>
      </c>
      <c r="P53" s="80">
        <f t="shared" si="21"/>
        <v>87.5685</v>
      </c>
      <c r="Q53" s="79">
        <v>2.5</v>
      </c>
      <c r="R53" s="251">
        <f t="shared" si="11"/>
        <v>218.92124999999999</v>
      </c>
      <c r="S53" s="80">
        <f t="shared" si="18"/>
        <v>300</v>
      </c>
      <c r="T53" s="191">
        <f t="shared" si="19"/>
        <v>81.078750000000014</v>
      </c>
      <c r="U53" s="204" t="str">
        <f t="shared" si="20"/>
        <v>No</v>
      </c>
      <c r="V53" s="223"/>
      <c r="X53" s="59" t="s">
        <v>93</v>
      </c>
      <c r="Y53" s="337">
        <v>2</v>
      </c>
      <c r="Z53" s="335">
        <v>1</v>
      </c>
      <c r="AA53" s="337">
        <v>0</v>
      </c>
      <c r="AB53" s="337">
        <v>0</v>
      </c>
      <c r="AC53" s="337">
        <v>0</v>
      </c>
      <c r="AD53" s="59">
        <f t="shared" si="22"/>
        <v>3</v>
      </c>
      <c r="AE53" s="384"/>
      <c r="AF53" s="486"/>
      <c r="AG53" s="486"/>
      <c r="AI53" s="486"/>
      <c r="AJ53" s="486"/>
      <c r="AK53" s="495"/>
      <c r="AL53" s="486"/>
    </row>
    <row r="54" spans="1:38" ht="13.5" thickBot="1">
      <c r="A54" s="564"/>
      <c r="B54" s="94" t="s">
        <v>333</v>
      </c>
      <c r="C54" s="93" t="s">
        <v>332</v>
      </c>
      <c r="D54" s="92">
        <v>300.33499999999998</v>
      </c>
      <c r="E54" s="244">
        <f t="shared" si="5"/>
        <v>200</v>
      </c>
      <c r="F54" s="92">
        <v>33.29833</v>
      </c>
      <c r="G54" s="82">
        <v>2.5</v>
      </c>
      <c r="H54" s="92">
        <f t="shared" si="6"/>
        <v>83.245824999999996</v>
      </c>
      <c r="I54" s="81">
        <f t="shared" si="7"/>
        <v>1</v>
      </c>
      <c r="J54" s="272">
        <f t="shared" si="17"/>
        <v>200</v>
      </c>
      <c r="K54" s="81">
        <f t="shared" si="1"/>
        <v>116.754175</v>
      </c>
      <c r="L54" s="82">
        <f t="shared" si="8"/>
        <v>41.622912499999998</v>
      </c>
      <c r="M54" s="88" t="s">
        <v>331</v>
      </c>
      <c r="N54" s="90">
        <v>524.75</v>
      </c>
      <c r="O54" s="168">
        <f t="shared" si="9"/>
        <v>200</v>
      </c>
      <c r="P54" s="80">
        <f t="shared" si="21"/>
        <v>33.29833</v>
      </c>
      <c r="Q54" s="79">
        <v>2.5</v>
      </c>
      <c r="R54" s="252">
        <f t="shared" si="11"/>
        <v>83.245824999999996</v>
      </c>
      <c r="S54" s="80">
        <f t="shared" si="18"/>
        <v>200</v>
      </c>
      <c r="T54" s="191">
        <f t="shared" si="19"/>
        <v>116.754175</v>
      </c>
      <c r="U54" s="204" t="str">
        <f t="shared" si="20"/>
        <v>No</v>
      </c>
      <c r="V54" s="223"/>
      <c r="X54" s="59" t="s">
        <v>94</v>
      </c>
      <c r="Y54" s="337">
        <v>2</v>
      </c>
      <c r="Z54" s="335">
        <v>2</v>
      </c>
      <c r="AA54" s="337">
        <v>0</v>
      </c>
      <c r="AB54" s="337">
        <v>0</v>
      </c>
      <c r="AC54" s="337">
        <v>0</v>
      </c>
      <c r="AD54" s="59">
        <f t="shared" si="22"/>
        <v>4</v>
      </c>
      <c r="AE54" s="18"/>
      <c r="AF54" s="18"/>
      <c r="AG54" s="486"/>
      <c r="AI54" s="486"/>
      <c r="AJ54" s="486"/>
      <c r="AL54" s="486"/>
    </row>
    <row r="55" spans="1:38" ht="13.5" thickBot="1">
      <c r="A55" s="562" t="s">
        <v>330</v>
      </c>
      <c r="B55" s="84" t="s">
        <v>329</v>
      </c>
      <c r="C55" s="83" t="s">
        <v>61</v>
      </c>
      <c r="D55" s="82">
        <v>381.34</v>
      </c>
      <c r="E55" s="243">
        <f t="shared" si="5"/>
        <v>200</v>
      </c>
      <c r="F55" s="82">
        <v>233.80699999999999</v>
      </c>
      <c r="G55" s="82">
        <v>2.5</v>
      </c>
      <c r="H55" s="82">
        <f t="shared" si="6"/>
        <v>584.51749999999993</v>
      </c>
      <c r="I55" s="81">
        <f t="shared" si="7"/>
        <v>4</v>
      </c>
      <c r="J55" s="270">
        <f t="shared" si="17"/>
        <v>800</v>
      </c>
      <c r="K55" s="81">
        <f t="shared" si="1"/>
        <v>215.48250000000007</v>
      </c>
      <c r="L55" s="82">
        <f t="shared" si="8"/>
        <v>73.064687499999991</v>
      </c>
      <c r="M55" s="98" t="s">
        <v>328</v>
      </c>
      <c r="N55" s="80">
        <v>673.16499999999996</v>
      </c>
      <c r="O55" s="168">
        <f t="shared" si="9"/>
        <v>150</v>
      </c>
      <c r="P55" s="80">
        <f t="shared" si="21"/>
        <v>233.80699999999999</v>
      </c>
      <c r="Q55" s="79">
        <v>2.5</v>
      </c>
      <c r="R55" s="251">
        <f t="shared" si="11"/>
        <v>584.51749999999993</v>
      </c>
      <c r="S55" s="80">
        <f t="shared" si="18"/>
        <v>600</v>
      </c>
      <c r="T55" s="191">
        <f t="shared" si="19"/>
        <v>15.482500000000073</v>
      </c>
      <c r="U55" s="204" t="str">
        <f t="shared" si="20"/>
        <v>No</v>
      </c>
      <c r="V55" s="223"/>
      <c r="X55" s="343" t="s">
        <v>492</v>
      </c>
      <c r="Y55" s="344">
        <v>0</v>
      </c>
      <c r="Z55" s="344">
        <v>0</v>
      </c>
      <c r="AA55" s="344">
        <v>0</v>
      </c>
      <c r="AB55" s="344">
        <v>0</v>
      </c>
      <c r="AC55" s="344">
        <v>0</v>
      </c>
      <c r="AD55" s="343">
        <f t="shared" si="22"/>
        <v>0</v>
      </c>
      <c r="AE55" s="384"/>
      <c r="AF55" s="557" t="s">
        <v>591</v>
      </c>
      <c r="AG55" s="558"/>
      <c r="AH55" s="558"/>
      <c r="AI55" s="558"/>
      <c r="AJ55" s="558"/>
      <c r="AK55" s="559"/>
      <c r="AL55" s="154"/>
    </row>
    <row r="56" spans="1:38" ht="14.25" customHeight="1" thickBot="1">
      <c r="A56" s="563"/>
      <c r="B56" s="74" t="s">
        <v>30</v>
      </c>
      <c r="C56" s="73" t="s">
        <v>326</v>
      </c>
      <c r="D56" s="72">
        <v>317.27</v>
      </c>
      <c r="E56" s="244">
        <f t="shared" si="5"/>
        <v>200</v>
      </c>
      <c r="F56" s="72">
        <v>136.87530000000001</v>
      </c>
      <c r="G56" s="82">
        <v>2.5</v>
      </c>
      <c r="H56" s="72">
        <f t="shared" si="6"/>
        <v>342.18825000000004</v>
      </c>
      <c r="I56" s="81">
        <f t="shared" si="7"/>
        <v>3</v>
      </c>
      <c r="J56" s="272">
        <f t="shared" si="17"/>
        <v>600</v>
      </c>
      <c r="K56" s="81">
        <f t="shared" si="1"/>
        <v>257.81174999999996</v>
      </c>
      <c r="L56" s="82">
        <f t="shared" si="8"/>
        <v>57.031375000000004</v>
      </c>
      <c r="M56" s="69" t="s">
        <v>325</v>
      </c>
      <c r="N56" s="70">
        <v>518.48</v>
      </c>
      <c r="O56" s="168">
        <f t="shared" si="9"/>
        <v>200</v>
      </c>
      <c r="P56" s="80">
        <f t="shared" si="21"/>
        <v>136.87530000000001</v>
      </c>
      <c r="Q56" s="79">
        <v>2.5</v>
      </c>
      <c r="R56" s="253">
        <f t="shared" si="11"/>
        <v>342.18825000000004</v>
      </c>
      <c r="S56" s="80">
        <f t="shared" si="18"/>
        <v>600</v>
      </c>
      <c r="T56" s="191">
        <f t="shared" si="19"/>
        <v>257.81174999999996</v>
      </c>
      <c r="U56" s="204" t="str">
        <f t="shared" si="20"/>
        <v>No</v>
      </c>
      <c r="V56" s="223"/>
      <c r="X56" s="290" t="s">
        <v>501</v>
      </c>
      <c r="Y56" s="345">
        <f t="shared" ref="Y56:AD56" si="23">SUM(Y44:Y55)</f>
        <v>11</v>
      </c>
      <c r="Z56" s="345">
        <f t="shared" si="23"/>
        <v>5</v>
      </c>
      <c r="AA56" s="345">
        <f t="shared" si="23"/>
        <v>0</v>
      </c>
      <c r="AB56" s="345">
        <f t="shared" si="23"/>
        <v>0</v>
      </c>
      <c r="AC56" s="345">
        <f t="shared" si="23"/>
        <v>0</v>
      </c>
      <c r="AD56" s="346">
        <f t="shared" si="23"/>
        <v>16</v>
      </c>
      <c r="AE56" s="384"/>
      <c r="AF56" s="331" t="s">
        <v>491</v>
      </c>
      <c r="AG56" s="333" t="s">
        <v>493</v>
      </c>
      <c r="AH56" s="333" t="s">
        <v>494</v>
      </c>
      <c r="AI56" s="333" t="s">
        <v>495</v>
      </c>
      <c r="AJ56" s="333" t="s">
        <v>496</v>
      </c>
      <c r="AK56" s="334" t="s">
        <v>562</v>
      </c>
      <c r="AL56" s="290" t="s">
        <v>415</v>
      </c>
    </row>
    <row r="57" spans="1:38">
      <c r="A57" s="266"/>
      <c r="B57" s="63"/>
      <c r="C57" s="266"/>
      <c r="D57" s="266"/>
      <c r="E57" s="266"/>
      <c r="F57" s="63"/>
      <c r="G57" s="63"/>
      <c r="H57" s="63"/>
      <c r="I57" s="266" t="s">
        <v>415</v>
      </c>
      <c r="J57" s="266">
        <f>SUM(J3:J56)</f>
        <v>46150</v>
      </c>
      <c r="K57" s="266"/>
      <c r="L57" s="266"/>
      <c r="M57" s="266"/>
      <c r="N57" s="266"/>
      <c r="O57" s="266"/>
      <c r="P57" s="266"/>
      <c r="Q57" s="266"/>
      <c r="R57" s="266"/>
      <c r="S57" s="266"/>
      <c r="T57" s="58"/>
      <c r="U57" s="266" t="str">
        <f t="shared" si="20"/>
        <v>No</v>
      </c>
      <c r="X57" s="290" t="s">
        <v>500</v>
      </c>
      <c r="Y57" s="347">
        <f>PRODUCT(Y56*AH47)</f>
        <v>165</v>
      </c>
      <c r="Z57" s="489">
        <f>PRODUCT(Z56*AH48)</f>
        <v>81.844499999999996</v>
      </c>
      <c r="AA57" s="489">
        <f>PRODUCT(AA56*AH49)</f>
        <v>0</v>
      </c>
      <c r="AB57" s="489">
        <f>PRODUCT(AB56*AH50)</f>
        <v>0</v>
      </c>
      <c r="AC57" s="489">
        <f>PRODUCT(AC56*AH51)</f>
        <v>0</v>
      </c>
      <c r="AD57" s="490">
        <f>SUM(Y57:AC57)</f>
        <v>246.84449999999998</v>
      </c>
      <c r="AE57" s="384"/>
      <c r="AF57" s="59" t="s">
        <v>84</v>
      </c>
      <c r="AG57" s="337">
        <f>Y44+Y64</f>
        <v>0</v>
      </c>
      <c r="AH57" s="337">
        <f t="shared" ref="AH57:AK68" si="24">Z44+Z64</f>
        <v>12</v>
      </c>
      <c r="AI57" s="337">
        <f t="shared" si="24"/>
        <v>4</v>
      </c>
      <c r="AJ57" s="337">
        <f t="shared" si="24"/>
        <v>2</v>
      </c>
      <c r="AK57" s="337">
        <f t="shared" si="24"/>
        <v>0</v>
      </c>
      <c r="AL57" s="338">
        <f>SUM(AG57:AK57)</f>
        <v>18</v>
      </c>
    </row>
    <row r="58" spans="1:38">
      <c r="A58" s="266"/>
      <c r="B58" s="63"/>
      <c r="C58" s="266"/>
      <c r="D58" s="266"/>
      <c r="E58" s="266"/>
      <c r="F58" s="266"/>
      <c r="G58" s="63"/>
      <c r="H58" s="63"/>
      <c r="I58" s="63"/>
      <c r="J58" s="266"/>
      <c r="K58" s="266"/>
      <c r="L58" s="266"/>
      <c r="M58" s="266"/>
      <c r="N58" s="266"/>
      <c r="O58" s="266"/>
      <c r="P58" s="266"/>
      <c r="Q58" s="266"/>
      <c r="R58" s="266"/>
      <c r="S58" s="266"/>
      <c r="T58" s="384"/>
      <c r="U58" s="384"/>
      <c r="X58" s="290" t="s">
        <v>499</v>
      </c>
      <c r="Y58" s="347">
        <f>Y56*AG47</f>
        <v>1100</v>
      </c>
      <c r="Z58" s="347">
        <f>Z56*AG48</f>
        <v>750</v>
      </c>
      <c r="AA58" s="347">
        <f>AA56*AG49</f>
        <v>0</v>
      </c>
      <c r="AB58" s="347">
        <f>AB56*AG50</f>
        <v>0</v>
      </c>
      <c r="AC58" s="347">
        <f>AC56*AG51</f>
        <v>0</v>
      </c>
      <c r="AD58" s="290">
        <f>SUM(Y58:AC58)</f>
        <v>1850</v>
      </c>
      <c r="AE58" s="384"/>
      <c r="AF58" s="59" t="s">
        <v>85</v>
      </c>
      <c r="AG58" s="337">
        <f t="shared" ref="AG58:AG68" si="25">Y45+Y65</f>
        <v>1</v>
      </c>
      <c r="AH58" s="337">
        <f t="shared" si="24"/>
        <v>18</v>
      </c>
      <c r="AI58" s="337">
        <f t="shared" si="24"/>
        <v>10</v>
      </c>
      <c r="AJ58" s="337">
        <f t="shared" si="24"/>
        <v>0</v>
      </c>
      <c r="AK58" s="337">
        <f t="shared" si="24"/>
        <v>7</v>
      </c>
      <c r="AL58" s="59">
        <f t="shared" ref="AL58:AL68" si="26">SUM(AG58:AK58)</f>
        <v>36</v>
      </c>
    </row>
    <row r="59" spans="1:38">
      <c r="A59" s="266"/>
      <c r="B59" s="63"/>
      <c r="C59" s="266"/>
      <c r="D59" s="266"/>
      <c r="E59" s="266"/>
      <c r="F59" s="266"/>
      <c r="G59" s="63"/>
      <c r="H59" s="63"/>
      <c r="I59" s="63"/>
      <c r="J59" s="266"/>
      <c r="K59" s="266"/>
      <c r="L59" s="266"/>
      <c r="M59" s="266"/>
      <c r="N59" s="266"/>
      <c r="O59" s="266"/>
      <c r="P59" s="266"/>
      <c r="Q59" s="266"/>
      <c r="R59" s="266"/>
      <c r="S59" s="266"/>
      <c r="T59" s="384"/>
      <c r="U59" s="266"/>
      <c r="AF59" s="59" t="s">
        <v>86</v>
      </c>
      <c r="AG59" s="337">
        <f t="shared" si="25"/>
        <v>1</v>
      </c>
      <c r="AH59" s="337">
        <f t="shared" si="24"/>
        <v>0</v>
      </c>
      <c r="AI59" s="337">
        <f t="shared" si="24"/>
        <v>6</v>
      </c>
      <c r="AJ59" s="337">
        <f t="shared" si="24"/>
        <v>0</v>
      </c>
      <c r="AK59" s="337">
        <f t="shared" si="24"/>
        <v>4</v>
      </c>
      <c r="AL59" s="59">
        <f t="shared" si="26"/>
        <v>11</v>
      </c>
    </row>
    <row r="60" spans="1:38">
      <c r="A60" s="266"/>
      <c r="B60" s="63"/>
      <c r="C60" s="266"/>
      <c r="D60" s="266"/>
      <c r="E60" s="266"/>
      <c r="F60" s="266"/>
      <c r="G60" s="63"/>
      <c r="H60" s="63"/>
      <c r="I60" s="63"/>
      <c r="J60" s="266"/>
      <c r="K60" s="266"/>
      <c r="L60" s="266"/>
      <c r="M60" s="266"/>
      <c r="N60" s="266"/>
      <c r="O60" s="266"/>
      <c r="P60" s="266"/>
      <c r="Q60" s="266"/>
      <c r="R60" s="266"/>
      <c r="S60" s="266"/>
      <c r="T60" s="384"/>
      <c r="U60" s="266"/>
      <c r="AF60" s="59" t="s">
        <v>87</v>
      </c>
      <c r="AG60" s="337">
        <f t="shared" si="25"/>
        <v>2</v>
      </c>
      <c r="AH60" s="337">
        <f t="shared" si="24"/>
        <v>33</v>
      </c>
      <c r="AI60" s="337">
        <f t="shared" si="24"/>
        <v>44</v>
      </c>
      <c r="AJ60" s="337">
        <f t="shared" si="24"/>
        <v>25</v>
      </c>
      <c r="AK60" s="337">
        <f t="shared" si="24"/>
        <v>0</v>
      </c>
      <c r="AL60" s="59">
        <f t="shared" si="26"/>
        <v>104</v>
      </c>
    </row>
    <row r="61" spans="1:38">
      <c r="A61" s="266"/>
      <c r="B61" s="63"/>
      <c r="C61" s="266"/>
      <c r="D61" s="266"/>
      <c r="E61" s="266"/>
      <c r="F61" s="266"/>
      <c r="G61" s="63"/>
      <c r="H61" s="63"/>
      <c r="I61" s="63"/>
      <c r="J61" s="266"/>
      <c r="K61" s="266"/>
      <c r="L61" s="266"/>
      <c r="M61" s="266"/>
      <c r="N61" s="266"/>
      <c r="O61" s="266"/>
      <c r="P61" s="266"/>
      <c r="Q61" s="266"/>
      <c r="R61" s="266"/>
      <c r="S61" s="266"/>
      <c r="T61" s="384"/>
      <c r="U61" s="266"/>
      <c r="AF61" s="59" t="s">
        <v>88</v>
      </c>
      <c r="AG61" s="337">
        <f t="shared" si="25"/>
        <v>1</v>
      </c>
      <c r="AH61" s="337">
        <f t="shared" si="24"/>
        <v>0</v>
      </c>
      <c r="AI61" s="337">
        <f t="shared" si="24"/>
        <v>19</v>
      </c>
      <c r="AJ61" s="337">
        <f t="shared" si="24"/>
        <v>1</v>
      </c>
      <c r="AK61" s="337">
        <f t="shared" si="24"/>
        <v>0</v>
      </c>
      <c r="AL61" s="59">
        <f t="shared" si="26"/>
        <v>21</v>
      </c>
    </row>
    <row r="62" spans="1:38">
      <c r="A62" s="266"/>
      <c r="B62" s="64"/>
      <c r="C62" s="266"/>
      <c r="D62" s="266"/>
      <c r="E62" s="266"/>
      <c r="F62" s="266"/>
      <c r="G62" s="63"/>
      <c r="H62" s="63"/>
      <c r="I62" s="63"/>
      <c r="J62" s="266"/>
      <c r="K62" s="266"/>
      <c r="L62" s="266"/>
      <c r="M62" s="266"/>
      <c r="N62" s="266"/>
      <c r="O62" s="266"/>
      <c r="P62" s="266"/>
      <c r="Q62" s="266"/>
      <c r="R62" s="266"/>
      <c r="S62" s="266"/>
      <c r="T62" s="384"/>
      <c r="U62" s="266"/>
      <c r="X62" s="557" t="s">
        <v>590</v>
      </c>
      <c r="Y62" s="558"/>
      <c r="Z62" s="558"/>
      <c r="AA62" s="558"/>
      <c r="AB62" s="558"/>
      <c r="AC62" s="559"/>
      <c r="AD62" s="154"/>
      <c r="AF62" s="59" t="s">
        <v>89</v>
      </c>
      <c r="AG62" s="337">
        <f t="shared" si="25"/>
        <v>1</v>
      </c>
      <c r="AH62" s="337">
        <f t="shared" si="24"/>
        <v>21</v>
      </c>
      <c r="AI62" s="337">
        <f t="shared" si="24"/>
        <v>2</v>
      </c>
      <c r="AJ62" s="337">
        <f t="shared" si="24"/>
        <v>1</v>
      </c>
      <c r="AK62" s="337">
        <f t="shared" si="24"/>
        <v>0</v>
      </c>
      <c r="AL62" s="59">
        <f t="shared" si="26"/>
        <v>25</v>
      </c>
    </row>
    <row r="63" spans="1:38">
      <c r="A63" s="266"/>
      <c r="B63" s="64"/>
      <c r="C63" s="266"/>
      <c r="D63" s="266"/>
      <c r="E63" s="266"/>
      <c r="F63" s="266"/>
      <c r="G63" s="63"/>
      <c r="H63" s="63"/>
      <c r="I63" s="63"/>
      <c r="J63" s="266"/>
      <c r="K63" s="266"/>
      <c r="L63" s="266"/>
      <c r="M63" s="266"/>
      <c r="N63" s="266"/>
      <c r="O63" s="266"/>
      <c r="P63" s="266"/>
      <c r="Q63" s="266"/>
      <c r="R63" s="266"/>
      <c r="S63" s="266"/>
      <c r="T63" s="384"/>
      <c r="U63" s="266"/>
      <c r="X63" s="331" t="s">
        <v>491</v>
      </c>
      <c r="Y63" s="333" t="s">
        <v>493</v>
      </c>
      <c r="Z63" s="333" t="s">
        <v>494</v>
      </c>
      <c r="AA63" s="333" t="s">
        <v>495</v>
      </c>
      <c r="AB63" s="333" t="s">
        <v>496</v>
      </c>
      <c r="AC63" s="334" t="s">
        <v>562</v>
      </c>
      <c r="AD63" s="290" t="s">
        <v>415</v>
      </c>
      <c r="AF63" s="59" t="s">
        <v>90</v>
      </c>
      <c r="AG63" s="337">
        <f t="shared" si="25"/>
        <v>1</v>
      </c>
      <c r="AH63" s="337">
        <f t="shared" si="24"/>
        <v>0</v>
      </c>
      <c r="AI63" s="337">
        <f t="shared" si="24"/>
        <v>1</v>
      </c>
      <c r="AJ63" s="337">
        <f t="shared" si="24"/>
        <v>4</v>
      </c>
      <c r="AK63" s="337">
        <f t="shared" si="24"/>
        <v>3</v>
      </c>
      <c r="AL63" s="59">
        <f t="shared" si="26"/>
        <v>9</v>
      </c>
    </row>
    <row r="64" spans="1:38">
      <c r="A64" s="266"/>
      <c r="B64" s="64"/>
      <c r="C64" s="266"/>
      <c r="D64" s="266"/>
      <c r="E64" s="266"/>
      <c r="F64" s="266"/>
      <c r="G64" s="63"/>
      <c r="H64" s="63"/>
      <c r="I64" s="63"/>
      <c r="J64" s="266"/>
      <c r="K64" s="266"/>
      <c r="L64" s="266"/>
      <c r="M64" s="266"/>
      <c r="N64" s="266"/>
      <c r="O64" s="266"/>
      <c r="P64" s="266"/>
      <c r="Q64" s="266"/>
      <c r="R64" s="266"/>
      <c r="S64" s="266"/>
      <c r="T64" s="384"/>
      <c r="U64" s="266"/>
      <c r="X64" s="59" t="s">
        <v>84</v>
      </c>
      <c r="Y64" s="337">
        <v>0</v>
      </c>
      <c r="Z64" s="337">
        <f>12</f>
        <v>12</v>
      </c>
      <c r="AA64" s="487">
        <f>2+2</f>
        <v>4</v>
      </c>
      <c r="AB64" s="487">
        <f>2</f>
        <v>2</v>
      </c>
      <c r="AC64" s="337">
        <v>0</v>
      </c>
      <c r="AD64" s="338">
        <f>SUM(Y64:AC64)</f>
        <v>18</v>
      </c>
      <c r="AF64" s="59" t="s">
        <v>91</v>
      </c>
      <c r="AG64" s="337">
        <f t="shared" si="25"/>
        <v>0</v>
      </c>
      <c r="AH64" s="337">
        <f t="shared" si="24"/>
        <v>24</v>
      </c>
      <c r="AI64" s="337">
        <f t="shared" si="24"/>
        <v>4</v>
      </c>
      <c r="AJ64" s="337">
        <f t="shared" si="24"/>
        <v>2</v>
      </c>
      <c r="AK64" s="337">
        <f t="shared" si="24"/>
        <v>0</v>
      </c>
      <c r="AL64" s="59">
        <f t="shared" si="26"/>
        <v>30</v>
      </c>
    </row>
    <row r="65" spans="1:38">
      <c r="A65" s="266"/>
      <c r="B65" s="63"/>
      <c r="C65" s="266"/>
      <c r="D65" s="266"/>
      <c r="E65" s="266"/>
      <c r="N65" s="266"/>
      <c r="O65" s="266"/>
      <c r="P65" s="266"/>
      <c r="Q65" s="266"/>
      <c r="S65" s="266"/>
      <c r="T65" s="384"/>
      <c r="U65" s="266"/>
      <c r="X65" s="59" t="s">
        <v>85</v>
      </c>
      <c r="Y65" s="337">
        <v>0</v>
      </c>
      <c r="Z65" s="337">
        <f>9+4+5</f>
        <v>18</v>
      </c>
      <c r="AA65" s="337">
        <f>7+3</f>
        <v>10</v>
      </c>
      <c r="AB65" s="337">
        <v>0</v>
      </c>
      <c r="AC65" s="337">
        <f>4+3</f>
        <v>7</v>
      </c>
      <c r="AD65" s="59">
        <f t="shared" ref="AD65:AD75" si="27">SUM(Y65:AC65)</f>
        <v>35</v>
      </c>
      <c r="AF65" s="59" t="s">
        <v>92</v>
      </c>
      <c r="AG65" s="337">
        <f t="shared" si="25"/>
        <v>0</v>
      </c>
      <c r="AH65" s="337">
        <f t="shared" si="24"/>
        <v>9</v>
      </c>
      <c r="AI65" s="337">
        <f t="shared" si="24"/>
        <v>21</v>
      </c>
      <c r="AJ65" s="337">
        <f t="shared" si="24"/>
        <v>0</v>
      </c>
      <c r="AK65" s="337">
        <f t="shared" si="24"/>
        <v>0</v>
      </c>
      <c r="AL65" s="59">
        <f t="shared" si="26"/>
        <v>30</v>
      </c>
    </row>
    <row r="66" spans="1:38">
      <c r="A66" s="266"/>
      <c r="B66" s="63"/>
      <c r="C66" s="266"/>
      <c r="D66" s="266"/>
      <c r="E66" s="266"/>
      <c r="N66" s="266"/>
      <c r="O66" s="266"/>
      <c r="P66" s="266"/>
      <c r="Q66" s="266"/>
      <c r="S66" s="266"/>
      <c r="T66" s="384"/>
      <c r="U66" s="266"/>
      <c r="X66" s="59" t="s">
        <v>86</v>
      </c>
      <c r="Y66" s="337">
        <v>0</v>
      </c>
      <c r="Z66" s="337">
        <v>0</v>
      </c>
      <c r="AA66" s="335">
        <f>5+1</f>
        <v>6</v>
      </c>
      <c r="AB66" s="337">
        <v>0</v>
      </c>
      <c r="AC66" s="337">
        <f>4</f>
        <v>4</v>
      </c>
      <c r="AD66" s="59">
        <f t="shared" si="27"/>
        <v>10</v>
      </c>
      <c r="AF66" s="59" t="s">
        <v>93</v>
      </c>
      <c r="AG66" s="337">
        <f t="shared" si="25"/>
        <v>2</v>
      </c>
      <c r="AH66" s="337">
        <f t="shared" si="24"/>
        <v>1</v>
      </c>
      <c r="AI66" s="337">
        <f t="shared" si="24"/>
        <v>3</v>
      </c>
      <c r="AJ66" s="337">
        <f t="shared" si="24"/>
        <v>10</v>
      </c>
      <c r="AK66" s="337">
        <f t="shared" si="24"/>
        <v>0</v>
      </c>
      <c r="AL66" s="59">
        <f t="shared" si="26"/>
        <v>16</v>
      </c>
    </row>
    <row r="67" spans="1:38">
      <c r="A67" s="266"/>
      <c r="B67" s="63"/>
      <c r="C67" s="266"/>
      <c r="D67" s="266"/>
      <c r="E67" s="266"/>
      <c r="N67" s="266"/>
      <c r="O67" s="266"/>
      <c r="P67" s="266"/>
      <c r="Q67" s="266"/>
      <c r="S67" s="266"/>
      <c r="T67" s="384"/>
      <c r="U67" s="266"/>
      <c r="X67" s="59" t="s">
        <v>87</v>
      </c>
      <c r="Y67" s="337">
        <v>0</v>
      </c>
      <c r="Z67" s="488">
        <f>12+9+10</f>
        <v>31</v>
      </c>
      <c r="AA67" s="337">
        <f>7+5+10+18+4</f>
        <v>44</v>
      </c>
      <c r="AB67" s="337">
        <f>4+10+11</f>
        <v>25</v>
      </c>
      <c r="AC67" s="337">
        <v>0</v>
      </c>
      <c r="AD67" s="59">
        <f t="shared" si="27"/>
        <v>100</v>
      </c>
      <c r="AF67" s="59" t="s">
        <v>94</v>
      </c>
      <c r="AG67" s="337">
        <f t="shared" si="25"/>
        <v>2</v>
      </c>
      <c r="AH67" s="337">
        <f t="shared" si="24"/>
        <v>4</v>
      </c>
      <c r="AI67" s="337">
        <f t="shared" si="24"/>
        <v>4</v>
      </c>
      <c r="AJ67" s="337">
        <f t="shared" si="24"/>
        <v>11</v>
      </c>
      <c r="AK67" s="337">
        <f t="shared" si="24"/>
        <v>0</v>
      </c>
      <c r="AL67" s="59">
        <f t="shared" si="26"/>
        <v>21</v>
      </c>
    </row>
    <row r="68" spans="1:38">
      <c r="A68" s="266"/>
      <c r="B68" s="63"/>
      <c r="C68" s="266"/>
      <c r="D68" s="266"/>
      <c r="E68" s="266"/>
      <c r="F68" s="266"/>
      <c r="G68" s="63"/>
      <c r="H68" s="63"/>
      <c r="I68" s="63"/>
      <c r="J68" s="266"/>
      <c r="K68" s="266"/>
      <c r="L68" s="266"/>
      <c r="M68" s="266"/>
      <c r="N68" s="266"/>
      <c r="O68" s="266"/>
      <c r="P68" s="266"/>
      <c r="Q68" s="266"/>
      <c r="R68" s="266"/>
      <c r="S68" s="266"/>
      <c r="T68" s="384"/>
      <c r="U68" s="266"/>
      <c r="X68" s="59" t="s">
        <v>88</v>
      </c>
      <c r="Y68" s="337">
        <v>0</v>
      </c>
      <c r="Z68" s="337">
        <v>0</v>
      </c>
      <c r="AA68" s="337">
        <f>2+3+1+10+1+2</f>
        <v>19</v>
      </c>
      <c r="AB68" s="337">
        <f>1</f>
        <v>1</v>
      </c>
      <c r="AC68" s="337">
        <v>0</v>
      </c>
      <c r="AD68" s="59">
        <f t="shared" si="27"/>
        <v>20</v>
      </c>
      <c r="AF68" s="343" t="s">
        <v>492</v>
      </c>
      <c r="AG68" s="337">
        <f t="shared" si="25"/>
        <v>0</v>
      </c>
      <c r="AH68" s="337">
        <f t="shared" si="24"/>
        <v>1</v>
      </c>
      <c r="AI68" s="337">
        <f t="shared" si="24"/>
        <v>4</v>
      </c>
      <c r="AJ68" s="337">
        <f t="shared" si="24"/>
        <v>0</v>
      </c>
      <c r="AK68" s="337">
        <f t="shared" si="24"/>
        <v>0</v>
      </c>
      <c r="AL68" s="343">
        <f t="shared" si="26"/>
        <v>5</v>
      </c>
    </row>
    <row r="69" spans="1:38">
      <c r="B69" s="63"/>
      <c r="C69" s="266"/>
      <c r="D69" s="266"/>
      <c r="E69" s="266"/>
      <c r="F69" s="266"/>
      <c r="G69" s="63"/>
      <c r="H69" s="63"/>
      <c r="I69" s="63"/>
      <c r="J69" s="266"/>
      <c r="K69" s="266"/>
      <c r="L69" s="266"/>
      <c r="M69" s="266"/>
      <c r="N69" s="266"/>
      <c r="O69" s="266"/>
      <c r="P69" s="266"/>
      <c r="Q69" s="266"/>
      <c r="R69" s="266"/>
      <c r="S69" s="266"/>
      <c r="T69" s="384"/>
      <c r="U69" s="266"/>
      <c r="W69" s="57"/>
      <c r="X69" s="59" t="s">
        <v>89</v>
      </c>
      <c r="Y69" s="337">
        <v>0</v>
      </c>
      <c r="Z69" s="337">
        <f>9+9+3</f>
        <v>21</v>
      </c>
      <c r="AA69" s="337">
        <f>2</f>
        <v>2</v>
      </c>
      <c r="AB69" s="337">
        <f>1</f>
        <v>1</v>
      </c>
      <c r="AC69" s="337">
        <v>0</v>
      </c>
      <c r="AD69" s="59">
        <f t="shared" si="27"/>
        <v>24</v>
      </c>
      <c r="AF69" s="290" t="s">
        <v>501</v>
      </c>
      <c r="AG69" s="345">
        <f t="shared" ref="AG69:AL69" si="28">SUM(AG57:AG68)</f>
        <v>11</v>
      </c>
      <c r="AH69" s="345">
        <f t="shared" si="28"/>
        <v>123</v>
      </c>
      <c r="AI69" s="345">
        <f t="shared" si="28"/>
        <v>122</v>
      </c>
      <c r="AJ69" s="345">
        <f t="shared" si="28"/>
        <v>56</v>
      </c>
      <c r="AK69" s="345">
        <f t="shared" si="28"/>
        <v>14</v>
      </c>
      <c r="AL69" s="346">
        <f t="shared" si="28"/>
        <v>326</v>
      </c>
    </row>
    <row r="70" spans="1:38">
      <c r="B70" s="63"/>
      <c r="C70" s="266"/>
      <c r="D70" s="266"/>
      <c r="E70" s="266"/>
      <c r="F70" s="266"/>
      <c r="G70" s="63"/>
      <c r="H70" s="63"/>
      <c r="I70" s="63"/>
      <c r="J70" s="266"/>
      <c r="K70" s="266"/>
      <c r="L70" s="266"/>
      <c r="M70" s="266"/>
      <c r="N70" s="266"/>
      <c r="O70" s="266"/>
      <c r="P70" s="266"/>
      <c r="Q70" s="266"/>
      <c r="R70" s="266"/>
      <c r="S70" s="266"/>
      <c r="T70" s="384"/>
      <c r="U70" s="266"/>
      <c r="W70" s="57"/>
      <c r="X70" s="59" t="s">
        <v>90</v>
      </c>
      <c r="Y70" s="337">
        <v>0</v>
      </c>
      <c r="Z70" s="335">
        <v>0</v>
      </c>
      <c r="AA70" s="335">
        <f>1</f>
        <v>1</v>
      </c>
      <c r="AB70" s="337">
        <f>4</f>
        <v>4</v>
      </c>
      <c r="AC70" s="337">
        <f>3</f>
        <v>3</v>
      </c>
      <c r="AD70" s="59">
        <f t="shared" si="27"/>
        <v>8</v>
      </c>
      <c r="AF70" s="290" t="s">
        <v>500</v>
      </c>
      <c r="AG70" s="347">
        <f>PRODUCT(AG69*AH47)</f>
        <v>165</v>
      </c>
      <c r="AH70" s="489">
        <f>PRODUCT(AH69*AH48)</f>
        <v>2013.3747000000001</v>
      </c>
      <c r="AI70" s="489">
        <f>PRODUCT(AI69*AH49)</f>
        <v>2043.0974000000001</v>
      </c>
      <c r="AJ70" s="489">
        <f>PRODUCT(AJ69*AH50)</f>
        <v>945.64960000000008</v>
      </c>
      <c r="AK70" s="489">
        <f>PRODUCT(AK69*AH51)</f>
        <v>238</v>
      </c>
      <c r="AL70" s="490">
        <f>SUM(AG70:AK70)</f>
        <v>5405.1217000000006</v>
      </c>
    </row>
    <row r="71" spans="1:38">
      <c r="B71" s="63"/>
      <c r="C71" s="266"/>
      <c r="D71" s="266"/>
      <c r="E71" s="266"/>
      <c r="F71" s="266"/>
      <c r="G71" s="63"/>
      <c r="H71" s="63"/>
      <c r="I71" s="63"/>
      <c r="J71" s="266"/>
      <c r="K71" s="266"/>
      <c r="L71" s="266"/>
      <c r="M71" s="266"/>
      <c r="N71" s="266"/>
      <c r="O71" s="266"/>
      <c r="P71" s="266"/>
      <c r="Q71" s="266"/>
      <c r="R71" s="266"/>
      <c r="S71" s="266"/>
      <c r="T71" s="384"/>
      <c r="U71" s="266"/>
      <c r="W71" s="57"/>
      <c r="X71" s="59" t="s">
        <v>91</v>
      </c>
      <c r="Y71" s="337">
        <v>0</v>
      </c>
      <c r="Z71" s="335">
        <f>4+10+3+4+2+1</f>
        <v>24</v>
      </c>
      <c r="AA71" s="337">
        <f>2+2</f>
        <v>4</v>
      </c>
      <c r="AB71" s="337">
        <f>2</f>
        <v>2</v>
      </c>
      <c r="AC71" s="337">
        <v>0</v>
      </c>
      <c r="AD71" s="59">
        <f t="shared" si="27"/>
        <v>30</v>
      </c>
      <c r="AF71" s="290" t="s">
        <v>563</v>
      </c>
      <c r="AG71" s="347">
        <f>AG69*AG47</f>
        <v>1100</v>
      </c>
      <c r="AH71" s="347">
        <f>AH69*AG48</f>
        <v>18450</v>
      </c>
      <c r="AI71" s="347">
        <f>AI69*AG49</f>
        <v>24400</v>
      </c>
      <c r="AJ71" s="347">
        <f>AJ69*AG50</f>
        <v>14000</v>
      </c>
      <c r="AK71" s="347">
        <f>AK69*AG51</f>
        <v>4200</v>
      </c>
      <c r="AL71" s="290">
        <f>SUM(AG71:AK71)</f>
        <v>62150</v>
      </c>
    </row>
    <row r="72" spans="1:38">
      <c r="B72" s="63"/>
      <c r="C72" s="266"/>
      <c r="D72" s="266"/>
      <c r="E72" s="266"/>
      <c r="F72" s="266"/>
      <c r="G72" s="63"/>
      <c r="H72" s="63"/>
      <c r="I72" s="63"/>
      <c r="J72" s="266"/>
      <c r="K72" s="266"/>
      <c r="L72" s="266"/>
      <c r="M72" s="266"/>
      <c r="N72" s="266"/>
      <c r="O72" s="266"/>
      <c r="P72" s="266"/>
      <c r="Q72" s="266"/>
      <c r="R72" s="266"/>
      <c r="S72" s="266"/>
      <c r="T72" s="384"/>
      <c r="U72" s="266"/>
      <c r="W72" s="57"/>
      <c r="X72" s="59" t="s">
        <v>92</v>
      </c>
      <c r="Y72" s="337">
        <v>0</v>
      </c>
      <c r="Z72" s="335">
        <f>5+4</f>
        <v>9</v>
      </c>
      <c r="AA72" s="337">
        <f>18+3</f>
        <v>21</v>
      </c>
      <c r="AB72" s="337">
        <v>0</v>
      </c>
      <c r="AC72" s="337">
        <v>0</v>
      </c>
      <c r="AD72" s="59">
        <f t="shared" si="27"/>
        <v>30</v>
      </c>
      <c r="AG72" s="486"/>
      <c r="AH72" s="335"/>
      <c r="AI72" s="335"/>
      <c r="AJ72" s="337"/>
      <c r="AK72" s="337"/>
      <c r="AL72" s="337"/>
    </row>
    <row r="73" spans="1:38">
      <c r="B73" s="63"/>
      <c r="C73" s="266"/>
      <c r="D73" s="266"/>
      <c r="E73" s="266"/>
      <c r="F73" s="266"/>
      <c r="G73" s="63"/>
      <c r="H73" s="63"/>
      <c r="I73" s="63"/>
      <c r="J73" s="266"/>
      <c r="K73" s="266"/>
      <c r="L73" s="266"/>
      <c r="M73" s="266"/>
      <c r="N73" s="266"/>
      <c r="O73" s="266"/>
      <c r="P73" s="266"/>
      <c r="Q73" s="266"/>
      <c r="R73" s="266"/>
      <c r="S73" s="266"/>
      <c r="T73" s="384"/>
      <c r="U73" s="266"/>
      <c r="W73" s="57"/>
      <c r="X73" s="59" t="s">
        <v>93</v>
      </c>
      <c r="Y73" s="337">
        <v>0</v>
      </c>
      <c r="Z73" s="335">
        <v>0</v>
      </c>
      <c r="AA73" s="337">
        <f>2+1</f>
        <v>3</v>
      </c>
      <c r="AB73" s="337">
        <f>10</f>
        <v>10</v>
      </c>
      <c r="AC73" s="337">
        <v>0</v>
      </c>
      <c r="AD73" s="59">
        <f t="shared" si="27"/>
        <v>13</v>
      </c>
    </row>
    <row r="74" spans="1:38" ht="15">
      <c r="B74" s="63"/>
      <c r="C74" s="266"/>
      <c r="D74" s="266"/>
      <c r="E74" s="266"/>
      <c r="F74" s="266"/>
      <c r="G74" s="63"/>
      <c r="H74" s="63"/>
      <c r="I74" s="63"/>
      <c r="J74" s="266"/>
      <c r="K74" s="266"/>
      <c r="L74" s="266"/>
      <c r="M74" s="266"/>
      <c r="N74" s="266"/>
      <c r="O74" s="266"/>
      <c r="P74" s="266"/>
      <c r="Q74" s="266"/>
      <c r="R74" s="266"/>
      <c r="S74" s="266"/>
      <c r="T74" s="384"/>
      <c r="U74" s="266"/>
      <c r="W74" s="57"/>
      <c r="X74" s="59" t="s">
        <v>94</v>
      </c>
      <c r="Y74" s="337">
        <v>0</v>
      </c>
      <c r="Z74" s="488">
        <f>2</f>
        <v>2</v>
      </c>
      <c r="AA74" s="337">
        <f>3+1</f>
        <v>4</v>
      </c>
      <c r="AB74" s="337">
        <f>11</f>
        <v>11</v>
      </c>
      <c r="AC74" s="337">
        <v>0</v>
      </c>
      <c r="AD74" s="59">
        <f t="shared" si="27"/>
        <v>17</v>
      </c>
      <c r="AF74" s="435">
        <f>AD56+AD76</f>
        <v>326</v>
      </c>
    </row>
    <row r="75" spans="1:38" ht="15">
      <c r="B75" s="63"/>
      <c r="C75" s="266"/>
      <c r="D75" s="266"/>
      <c r="E75" s="266"/>
      <c r="F75" s="266"/>
      <c r="G75" s="63"/>
      <c r="H75" s="63"/>
      <c r="I75" s="63"/>
      <c r="J75" s="266"/>
      <c r="K75" s="266"/>
      <c r="L75" s="266"/>
      <c r="M75" s="266"/>
      <c r="N75" s="266"/>
      <c r="O75" s="266"/>
      <c r="P75" s="266"/>
      <c r="Q75" s="266"/>
      <c r="R75" s="266"/>
      <c r="S75" s="266"/>
      <c r="T75" s="384"/>
      <c r="U75" s="266"/>
      <c r="X75" s="343" t="s">
        <v>492</v>
      </c>
      <c r="Y75" s="337">
        <v>0</v>
      </c>
      <c r="Z75" s="344">
        <f>1</f>
        <v>1</v>
      </c>
      <c r="AA75" s="344">
        <f>4</f>
        <v>4</v>
      </c>
      <c r="AB75" s="344">
        <v>0</v>
      </c>
      <c r="AC75" s="337">
        <v>0</v>
      </c>
      <c r="AD75" s="343">
        <f t="shared" si="27"/>
        <v>5</v>
      </c>
      <c r="AF75" s="496">
        <f t="shared" ref="AF75:AF76" si="29">AD57+AD77</f>
        <v>5405.1216999999997</v>
      </c>
    </row>
    <row r="76" spans="1:38" ht="15">
      <c r="B76" s="63"/>
      <c r="C76" s="266"/>
      <c r="D76" s="266"/>
      <c r="E76" s="266"/>
      <c r="F76" s="266"/>
      <c r="G76" s="63"/>
      <c r="H76" s="63"/>
      <c r="I76" s="63"/>
      <c r="J76" s="266"/>
      <c r="K76" s="266"/>
      <c r="L76" s="266"/>
      <c r="M76" s="266"/>
      <c r="N76" s="266"/>
      <c r="O76" s="266"/>
      <c r="P76" s="266"/>
      <c r="Q76" s="266"/>
      <c r="R76" s="266"/>
      <c r="S76" s="266"/>
      <c r="T76" s="384"/>
      <c r="U76" s="266"/>
      <c r="X76" s="290" t="s">
        <v>501</v>
      </c>
      <c r="Y76" s="345">
        <f t="shared" ref="Y76:AD76" si="30">SUM(Y64:Y75)</f>
        <v>0</v>
      </c>
      <c r="Z76" s="345">
        <f t="shared" si="30"/>
        <v>118</v>
      </c>
      <c r="AA76" s="345">
        <f t="shared" si="30"/>
        <v>122</v>
      </c>
      <c r="AB76" s="345">
        <f t="shared" si="30"/>
        <v>56</v>
      </c>
      <c r="AC76" s="345">
        <f t="shared" si="30"/>
        <v>14</v>
      </c>
      <c r="AD76" s="346">
        <f t="shared" si="30"/>
        <v>310</v>
      </c>
      <c r="AF76" s="435">
        <f t="shared" si="29"/>
        <v>62150</v>
      </c>
    </row>
    <row r="77" spans="1:38">
      <c r="B77" s="63"/>
      <c r="C77" s="266"/>
      <c r="D77" s="266"/>
      <c r="E77" s="266"/>
      <c r="F77" s="266"/>
      <c r="G77" s="63"/>
      <c r="H77" s="63"/>
      <c r="I77" s="63"/>
      <c r="J77" s="266"/>
      <c r="K77" s="266"/>
      <c r="L77" s="266"/>
      <c r="M77" s="266"/>
      <c r="N77" s="266"/>
      <c r="O77" s="266"/>
      <c r="P77" s="266"/>
      <c r="Q77" s="266"/>
      <c r="R77" s="266"/>
      <c r="S77" s="266"/>
      <c r="T77" s="384"/>
      <c r="U77" s="266"/>
      <c r="X77" s="290" t="s">
        <v>500</v>
      </c>
      <c r="Y77" s="489">
        <f>PRODUCT(Y76*AH47)</f>
        <v>0</v>
      </c>
      <c r="Z77" s="489">
        <f>PRODUCT(Z76*AH48)</f>
        <v>1931.5301999999999</v>
      </c>
      <c r="AA77" s="489">
        <f>PRODUCT(AA76*AH49)</f>
        <v>2043.0974000000001</v>
      </c>
      <c r="AB77" s="489">
        <f>PRODUCT(AB76*AH50)</f>
        <v>945.64960000000008</v>
      </c>
      <c r="AC77" s="489">
        <f>PRODUCT(AC76*AH51)</f>
        <v>238</v>
      </c>
      <c r="AD77" s="490">
        <f>SUM(Y77:AC77)</f>
        <v>5158.2771999999995</v>
      </c>
    </row>
    <row r="78" spans="1:38">
      <c r="B78" s="63"/>
      <c r="C78" s="266"/>
      <c r="D78" s="266"/>
      <c r="E78" s="266"/>
      <c r="F78" s="266"/>
      <c r="G78" s="63"/>
      <c r="H78" s="63"/>
      <c r="I78" s="63"/>
      <c r="J78" s="266"/>
      <c r="K78" s="266"/>
      <c r="L78" s="266"/>
      <c r="M78" s="266"/>
      <c r="N78" s="266"/>
      <c r="O78" s="266"/>
      <c r="P78" s="266"/>
      <c r="Q78" s="266"/>
      <c r="R78" s="266"/>
      <c r="S78" s="266"/>
      <c r="T78" s="384"/>
      <c r="U78" s="266"/>
      <c r="X78" s="290" t="s">
        <v>563</v>
      </c>
      <c r="Y78" s="347">
        <f>Y76*AG47</f>
        <v>0</v>
      </c>
      <c r="Z78" s="347">
        <f>Z76*AG48</f>
        <v>17700</v>
      </c>
      <c r="AA78" s="347">
        <f>AA76*AG49</f>
        <v>24400</v>
      </c>
      <c r="AB78" s="347">
        <f>AB76*AG50</f>
        <v>14000</v>
      </c>
      <c r="AC78" s="347">
        <f>AC76*AG51</f>
        <v>4200</v>
      </c>
      <c r="AD78" s="290">
        <f>SUM(Y78:AC78)</f>
        <v>60300</v>
      </c>
    </row>
    <row r="79" spans="1:38">
      <c r="B79" s="63"/>
      <c r="C79" s="266"/>
      <c r="D79" s="266"/>
      <c r="E79" s="266"/>
      <c r="F79" s="266"/>
      <c r="G79" s="63"/>
      <c r="H79" s="63"/>
      <c r="I79" s="63"/>
      <c r="J79" s="266"/>
      <c r="K79" s="266"/>
      <c r="L79" s="266"/>
      <c r="M79" s="266"/>
      <c r="N79" s="266"/>
      <c r="O79" s="266"/>
      <c r="P79" s="266"/>
      <c r="Q79" s="266"/>
      <c r="R79" s="266"/>
      <c r="S79" s="266"/>
      <c r="T79" s="384"/>
      <c r="U79" s="266"/>
    </row>
    <row r="80" spans="1:38">
      <c r="B80" s="63"/>
      <c r="C80" s="266"/>
      <c r="D80" s="266"/>
      <c r="E80" s="266"/>
      <c r="F80" s="266"/>
      <c r="G80" s="63"/>
      <c r="H80" s="63"/>
      <c r="I80" s="63"/>
      <c r="J80" s="266"/>
      <c r="K80" s="266"/>
      <c r="L80" s="266"/>
      <c r="M80" s="266"/>
      <c r="N80" s="266"/>
      <c r="O80" s="266"/>
      <c r="P80" s="266"/>
      <c r="Q80" s="266"/>
      <c r="R80" s="266"/>
      <c r="S80" s="266"/>
      <c r="T80" s="384"/>
      <c r="U80" s="266"/>
    </row>
    <row r="81" spans="2:21">
      <c r="B81" s="63"/>
      <c r="C81" s="266"/>
      <c r="D81" s="266"/>
      <c r="E81" s="266"/>
      <c r="F81" s="266"/>
      <c r="G81" s="63"/>
      <c r="H81" s="63"/>
      <c r="I81" s="63"/>
      <c r="J81" s="266"/>
      <c r="K81" s="266"/>
      <c r="L81" s="266"/>
      <c r="M81" s="266"/>
      <c r="N81" s="266"/>
      <c r="O81" s="266"/>
      <c r="P81" s="266"/>
      <c r="Q81" s="266"/>
      <c r="R81" s="266"/>
      <c r="S81" s="266"/>
      <c r="T81" s="384"/>
      <c r="U81" s="266"/>
    </row>
    <row r="82" spans="2:21">
      <c r="B82" s="63"/>
      <c r="C82" s="266"/>
      <c r="D82" s="266"/>
      <c r="E82" s="266"/>
      <c r="F82" s="266"/>
      <c r="G82" s="63"/>
      <c r="H82" s="63"/>
      <c r="I82" s="63"/>
      <c r="J82" s="266"/>
      <c r="K82" s="266"/>
      <c r="L82" s="266"/>
      <c r="M82" s="266"/>
      <c r="N82" s="266"/>
      <c r="O82" s="266"/>
      <c r="P82" s="266"/>
      <c r="Q82" s="266"/>
      <c r="R82" s="266"/>
      <c r="S82" s="266"/>
      <c r="T82" s="384"/>
      <c r="U82" s="266"/>
    </row>
    <row r="83" spans="2:21">
      <c r="B83" s="63"/>
      <c r="C83" s="266"/>
      <c r="D83" s="266"/>
      <c r="E83" s="266"/>
      <c r="F83" s="266"/>
      <c r="G83" s="63"/>
      <c r="H83" s="63"/>
      <c r="I83" s="63"/>
      <c r="J83" s="266"/>
      <c r="K83" s="266"/>
      <c r="L83" s="266"/>
      <c r="M83" s="266"/>
      <c r="N83" s="266"/>
      <c r="O83" s="266"/>
      <c r="P83" s="266"/>
      <c r="Q83" s="266"/>
      <c r="R83" s="266"/>
      <c r="S83" s="266"/>
      <c r="T83" s="384"/>
      <c r="U83" s="266"/>
    </row>
    <row r="84" spans="2:21">
      <c r="B84" s="63"/>
      <c r="C84" s="266"/>
      <c r="D84" s="266"/>
      <c r="E84" s="266"/>
      <c r="F84" s="266"/>
      <c r="G84" s="63"/>
      <c r="H84" s="63"/>
      <c r="I84" s="63"/>
      <c r="J84" s="266"/>
      <c r="K84" s="266"/>
      <c r="L84" s="266"/>
      <c r="M84" s="266"/>
      <c r="N84" s="266"/>
      <c r="O84" s="266"/>
      <c r="P84" s="266"/>
      <c r="Q84" s="266"/>
      <c r="R84" s="266"/>
      <c r="S84" s="266"/>
      <c r="T84" s="384"/>
      <c r="U84" s="266"/>
    </row>
    <row r="85" spans="2:21">
      <c r="B85" s="63"/>
      <c r="C85" s="266"/>
      <c r="D85" s="266"/>
      <c r="E85" s="266"/>
      <c r="F85" s="266"/>
      <c r="G85" s="63"/>
      <c r="H85" s="63"/>
      <c r="I85" s="63"/>
      <c r="J85" s="266"/>
      <c r="K85" s="266"/>
      <c r="L85" s="266"/>
      <c r="M85" s="266"/>
      <c r="N85" s="266"/>
      <c r="O85" s="266"/>
      <c r="P85" s="266"/>
      <c r="Q85" s="266"/>
      <c r="R85" s="266"/>
      <c r="S85" s="266"/>
      <c r="T85" s="384"/>
      <c r="U85" s="266"/>
    </row>
    <row r="86" spans="2:21">
      <c r="B86" s="63"/>
      <c r="C86" s="266"/>
      <c r="D86" s="266"/>
      <c r="E86" s="266"/>
      <c r="F86" s="266"/>
      <c r="G86" s="63"/>
      <c r="H86" s="63"/>
      <c r="I86" s="63"/>
      <c r="J86" s="266"/>
      <c r="K86" s="266"/>
      <c r="L86" s="266"/>
      <c r="M86" s="266"/>
      <c r="N86" s="266"/>
      <c r="O86" s="266"/>
      <c r="P86" s="266"/>
      <c r="Q86" s="266"/>
      <c r="R86" s="266"/>
      <c r="S86" s="266"/>
      <c r="T86" s="384"/>
      <c r="U86" s="266"/>
    </row>
    <row r="87" spans="2:21">
      <c r="B87" s="63"/>
      <c r="C87" s="266"/>
      <c r="D87" s="266"/>
      <c r="E87" s="266"/>
      <c r="F87" s="266"/>
      <c r="G87" s="63"/>
      <c r="H87" s="63"/>
      <c r="I87" s="63"/>
      <c r="J87" s="266"/>
      <c r="K87" s="266"/>
      <c r="L87" s="266"/>
      <c r="M87" s="266"/>
      <c r="N87" s="266"/>
      <c r="O87" s="266"/>
      <c r="P87" s="266"/>
      <c r="Q87" s="266"/>
      <c r="R87" s="266"/>
      <c r="S87" s="266"/>
      <c r="T87" s="384"/>
      <c r="U87" s="266"/>
    </row>
    <row r="88" spans="2:21">
      <c r="B88" s="63"/>
      <c r="C88" s="266"/>
      <c r="D88" s="266"/>
      <c r="E88" s="266"/>
      <c r="F88" s="266"/>
      <c r="G88" s="63"/>
      <c r="H88" s="63"/>
      <c r="I88" s="63"/>
      <c r="J88" s="266"/>
      <c r="K88" s="266"/>
      <c r="L88" s="266"/>
      <c r="M88" s="266"/>
      <c r="N88" s="266"/>
      <c r="O88" s="266"/>
      <c r="P88" s="266"/>
      <c r="Q88" s="266"/>
      <c r="R88" s="266"/>
      <c r="S88" s="266"/>
      <c r="T88" s="384"/>
      <c r="U88" s="266"/>
    </row>
    <row r="89" spans="2:21">
      <c r="B89" s="63"/>
      <c r="C89" s="266"/>
      <c r="D89" s="266"/>
      <c r="E89" s="266"/>
      <c r="F89" s="266"/>
      <c r="G89" s="63"/>
      <c r="H89" s="63"/>
      <c r="I89" s="63"/>
      <c r="J89" s="266"/>
      <c r="K89" s="266"/>
      <c r="L89" s="266"/>
      <c r="M89" s="266"/>
      <c r="N89" s="266"/>
      <c r="O89" s="266"/>
      <c r="P89" s="266"/>
      <c r="Q89" s="266"/>
      <c r="R89" s="266"/>
      <c r="S89" s="266"/>
      <c r="T89" s="384"/>
      <c r="U89" s="266"/>
    </row>
    <row r="90" spans="2:21">
      <c r="B90" s="63"/>
      <c r="C90" s="266"/>
      <c r="D90" s="266"/>
      <c r="E90" s="266"/>
      <c r="F90" s="266"/>
      <c r="G90" s="63"/>
      <c r="H90" s="63"/>
      <c r="I90" s="63"/>
      <c r="J90" s="266"/>
      <c r="K90" s="266"/>
      <c r="L90" s="266"/>
      <c r="M90" s="266"/>
      <c r="N90" s="266"/>
      <c r="O90" s="266"/>
      <c r="P90" s="266"/>
      <c r="Q90" s="266"/>
      <c r="R90" s="266"/>
      <c r="S90" s="266"/>
      <c r="T90" s="384"/>
      <c r="U90" s="266"/>
    </row>
    <row r="91" spans="2:21">
      <c r="B91" s="63"/>
      <c r="C91" s="266"/>
      <c r="D91" s="266"/>
      <c r="E91" s="266"/>
      <c r="F91" s="266"/>
      <c r="G91" s="63"/>
      <c r="H91" s="63"/>
      <c r="I91" s="63"/>
      <c r="J91" s="266"/>
      <c r="K91" s="266"/>
      <c r="L91" s="266"/>
      <c r="M91" s="266"/>
      <c r="N91" s="266"/>
      <c r="O91" s="266"/>
      <c r="P91" s="266"/>
      <c r="Q91" s="266"/>
      <c r="R91" s="266"/>
      <c r="S91" s="266"/>
      <c r="T91" s="384"/>
      <c r="U91" s="266"/>
    </row>
    <row r="92" spans="2:21">
      <c r="B92" s="63"/>
      <c r="C92" s="266"/>
      <c r="D92" s="266"/>
      <c r="E92" s="266"/>
      <c r="F92" s="266"/>
      <c r="G92" s="63"/>
      <c r="H92" s="63"/>
      <c r="I92" s="63"/>
      <c r="J92" s="266"/>
      <c r="K92" s="266"/>
      <c r="L92" s="266"/>
      <c r="M92" s="266"/>
      <c r="N92" s="266"/>
      <c r="O92" s="266"/>
      <c r="P92" s="266"/>
      <c r="Q92" s="266"/>
      <c r="R92" s="266"/>
      <c r="S92" s="266"/>
      <c r="T92" s="384"/>
      <c r="U92" s="266"/>
    </row>
    <row r="93" spans="2:21">
      <c r="B93" s="63"/>
      <c r="C93" s="266"/>
      <c r="D93" s="266"/>
      <c r="E93" s="266"/>
      <c r="F93" s="266"/>
      <c r="G93" s="63"/>
      <c r="H93" s="63"/>
      <c r="I93" s="63"/>
      <c r="J93" s="266"/>
      <c r="K93" s="266"/>
      <c r="L93" s="266"/>
      <c r="M93" s="266"/>
      <c r="N93" s="266"/>
      <c r="O93" s="266"/>
      <c r="P93" s="266"/>
      <c r="Q93" s="266"/>
      <c r="R93" s="266"/>
      <c r="S93" s="266"/>
      <c r="T93" s="384"/>
      <c r="U93" s="266"/>
    </row>
    <row r="94" spans="2:21">
      <c r="B94" s="63"/>
      <c r="C94" s="266"/>
      <c r="D94" s="266"/>
      <c r="E94" s="266"/>
      <c r="F94" s="266"/>
      <c r="G94" s="63"/>
      <c r="H94" s="63"/>
      <c r="I94" s="63"/>
      <c r="J94" s="266"/>
      <c r="K94" s="266"/>
      <c r="L94" s="266"/>
      <c r="M94" s="266"/>
      <c r="N94" s="266"/>
      <c r="O94" s="266"/>
      <c r="P94" s="266"/>
      <c r="Q94" s="266"/>
      <c r="R94" s="266"/>
      <c r="S94" s="266"/>
      <c r="T94" s="384"/>
      <c r="U94" s="266"/>
    </row>
    <row r="95" spans="2:21">
      <c r="B95" s="63"/>
      <c r="C95" s="266"/>
      <c r="D95" s="266"/>
      <c r="E95" s="266"/>
      <c r="F95" s="266"/>
      <c r="G95" s="63"/>
      <c r="H95" s="63"/>
      <c r="I95" s="63"/>
      <c r="J95" s="266"/>
      <c r="K95" s="266"/>
      <c r="L95" s="266"/>
      <c r="M95" s="266"/>
      <c r="N95" s="266"/>
      <c r="O95" s="266"/>
      <c r="P95" s="266"/>
      <c r="Q95" s="266"/>
      <c r="R95" s="266"/>
      <c r="S95" s="266"/>
      <c r="T95" s="384"/>
      <c r="U95" s="266"/>
    </row>
    <row r="96" spans="2:21">
      <c r="B96" s="63"/>
      <c r="C96" s="266"/>
      <c r="D96" s="266"/>
      <c r="E96" s="266"/>
      <c r="F96" s="266"/>
      <c r="G96" s="63"/>
      <c r="H96" s="63"/>
      <c r="I96" s="63"/>
      <c r="J96" s="266"/>
      <c r="K96" s="266"/>
      <c r="L96" s="266"/>
      <c r="M96" s="266"/>
      <c r="N96" s="266"/>
      <c r="O96" s="266"/>
      <c r="P96" s="266"/>
      <c r="Q96" s="266"/>
      <c r="R96" s="266"/>
      <c r="S96" s="266"/>
      <c r="T96" s="384"/>
      <c r="U96" s="266"/>
    </row>
    <row r="97" spans="2:21">
      <c r="B97" s="63"/>
      <c r="C97" s="266"/>
      <c r="D97" s="266"/>
      <c r="E97" s="266"/>
      <c r="F97" s="266"/>
      <c r="G97" s="63"/>
      <c r="H97" s="63"/>
      <c r="I97" s="63"/>
      <c r="J97" s="266"/>
      <c r="K97" s="266"/>
      <c r="L97" s="266"/>
      <c r="M97" s="266"/>
      <c r="N97" s="266"/>
      <c r="O97" s="266"/>
      <c r="P97" s="266"/>
      <c r="Q97" s="266"/>
      <c r="R97" s="266"/>
      <c r="S97" s="266"/>
      <c r="T97" s="384"/>
      <c r="U97" s="266"/>
    </row>
    <row r="98" spans="2:21">
      <c r="B98" s="63"/>
      <c r="C98" s="266"/>
      <c r="D98" s="266"/>
      <c r="E98" s="266"/>
      <c r="F98" s="266"/>
      <c r="G98" s="63"/>
      <c r="H98" s="63"/>
      <c r="I98" s="63"/>
      <c r="J98" s="266"/>
      <c r="K98" s="266"/>
      <c r="L98" s="266"/>
      <c r="M98" s="266"/>
      <c r="N98" s="266"/>
      <c r="O98" s="266"/>
      <c r="P98" s="266"/>
      <c r="Q98" s="266"/>
      <c r="R98" s="266"/>
      <c r="S98" s="266"/>
      <c r="T98" s="384"/>
      <c r="U98" s="266"/>
    </row>
    <row r="99" spans="2:21">
      <c r="B99" s="63"/>
      <c r="C99" s="266"/>
      <c r="D99" s="266"/>
      <c r="E99" s="266"/>
      <c r="F99" s="266"/>
      <c r="G99" s="63"/>
      <c r="H99" s="63"/>
      <c r="I99" s="63"/>
      <c r="J99" s="266"/>
      <c r="K99" s="266"/>
      <c r="L99" s="266"/>
      <c r="M99" s="266"/>
      <c r="N99" s="266"/>
      <c r="O99" s="266"/>
      <c r="P99" s="266"/>
      <c r="Q99" s="266"/>
      <c r="R99" s="266"/>
      <c r="S99" s="266"/>
      <c r="T99" s="384"/>
      <c r="U99" s="266"/>
    </row>
    <row r="100" spans="2:21">
      <c r="B100" s="63"/>
      <c r="C100" s="266"/>
      <c r="D100" s="266"/>
      <c r="E100" s="266"/>
      <c r="F100" s="266"/>
      <c r="G100" s="63"/>
      <c r="H100" s="63"/>
      <c r="I100" s="63"/>
      <c r="J100" s="266"/>
      <c r="K100" s="266"/>
      <c r="L100" s="266"/>
      <c r="M100" s="266"/>
      <c r="N100" s="266"/>
      <c r="O100" s="266"/>
      <c r="P100" s="266"/>
      <c r="Q100" s="266"/>
      <c r="R100" s="266"/>
      <c r="S100" s="266"/>
      <c r="T100" s="384"/>
      <c r="U100" s="266"/>
    </row>
    <row r="101" spans="2:21">
      <c r="B101" s="63"/>
      <c r="C101" s="266"/>
      <c r="D101" s="266"/>
      <c r="E101" s="266"/>
      <c r="F101" s="266"/>
      <c r="G101" s="63"/>
      <c r="H101" s="63"/>
      <c r="I101" s="63"/>
      <c r="J101" s="266"/>
      <c r="K101" s="266"/>
      <c r="L101" s="266"/>
      <c r="M101" s="266"/>
      <c r="N101" s="266"/>
      <c r="O101" s="266"/>
      <c r="P101" s="266"/>
      <c r="Q101" s="266"/>
      <c r="R101" s="266"/>
      <c r="S101" s="266"/>
      <c r="T101" s="384"/>
      <c r="U101" s="266"/>
    </row>
    <row r="102" spans="2:21">
      <c r="B102" s="63"/>
      <c r="C102" s="266"/>
      <c r="D102" s="266"/>
      <c r="E102" s="266"/>
      <c r="F102" s="266"/>
      <c r="G102" s="63"/>
      <c r="H102" s="63"/>
      <c r="I102" s="63"/>
      <c r="J102" s="266"/>
      <c r="K102" s="266"/>
      <c r="L102" s="266"/>
      <c r="M102" s="266"/>
      <c r="N102" s="266"/>
      <c r="O102" s="266"/>
      <c r="P102" s="266"/>
      <c r="Q102" s="266"/>
      <c r="R102" s="266"/>
      <c r="S102" s="266"/>
      <c r="T102" s="384"/>
      <c r="U102" s="266"/>
    </row>
    <row r="103" spans="2:21">
      <c r="B103" s="63"/>
      <c r="C103" s="266"/>
      <c r="D103" s="266"/>
      <c r="E103" s="266"/>
      <c r="F103" s="266"/>
      <c r="G103" s="63"/>
      <c r="H103" s="63"/>
      <c r="I103" s="63"/>
      <c r="J103" s="266"/>
      <c r="K103" s="266"/>
      <c r="L103" s="266"/>
      <c r="M103" s="266"/>
      <c r="N103" s="266"/>
      <c r="O103" s="266"/>
      <c r="P103" s="266"/>
      <c r="Q103" s="266"/>
      <c r="R103" s="266"/>
      <c r="S103" s="266"/>
      <c r="T103" s="384"/>
      <c r="U103" s="266"/>
    </row>
    <row r="104" spans="2:21">
      <c r="B104" s="63"/>
      <c r="C104" s="266"/>
      <c r="D104" s="266"/>
      <c r="E104" s="266"/>
      <c r="F104" s="266"/>
      <c r="G104" s="63"/>
      <c r="H104" s="63"/>
      <c r="I104" s="63"/>
      <c r="J104" s="266"/>
      <c r="K104" s="266"/>
      <c r="L104" s="266"/>
      <c r="M104" s="266"/>
      <c r="N104" s="266"/>
      <c r="O104" s="266"/>
      <c r="P104" s="266"/>
      <c r="Q104" s="266"/>
      <c r="R104" s="266"/>
      <c r="S104" s="266"/>
      <c r="T104" s="384"/>
      <c r="U104" s="266"/>
    </row>
    <row r="105" spans="2:21">
      <c r="B105" s="63"/>
      <c r="C105" s="266"/>
      <c r="D105" s="266"/>
      <c r="E105" s="266"/>
      <c r="F105" s="266"/>
      <c r="G105" s="63"/>
      <c r="H105" s="63"/>
      <c r="I105" s="63"/>
      <c r="J105" s="266"/>
      <c r="K105" s="266"/>
      <c r="L105" s="266"/>
      <c r="M105" s="266"/>
      <c r="N105" s="266"/>
      <c r="O105" s="266"/>
      <c r="P105" s="266"/>
      <c r="Q105" s="266"/>
      <c r="R105" s="266"/>
      <c r="S105" s="266"/>
      <c r="T105" s="384"/>
      <c r="U105" s="266"/>
    </row>
    <row r="106" spans="2:21">
      <c r="B106" s="63"/>
      <c r="C106" s="266"/>
      <c r="D106" s="266"/>
      <c r="E106" s="266"/>
      <c r="F106" s="266"/>
      <c r="G106" s="63"/>
      <c r="H106" s="63"/>
      <c r="I106" s="63"/>
      <c r="J106" s="266"/>
      <c r="K106" s="266"/>
      <c r="L106" s="266"/>
      <c r="M106" s="266"/>
      <c r="N106" s="266"/>
      <c r="O106" s="266"/>
      <c r="P106" s="266"/>
      <c r="Q106" s="266"/>
      <c r="R106" s="266"/>
      <c r="S106" s="266"/>
      <c r="T106" s="384"/>
      <c r="U106" s="266"/>
    </row>
    <row r="107" spans="2:21">
      <c r="B107" s="63"/>
      <c r="C107" s="266"/>
      <c r="D107" s="266"/>
      <c r="E107" s="266"/>
      <c r="F107" s="266"/>
      <c r="G107" s="63"/>
      <c r="H107" s="63"/>
      <c r="I107" s="63"/>
      <c r="J107" s="266"/>
      <c r="K107" s="266"/>
      <c r="L107" s="266"/>
      <c r="M107" s="266"/>
      <c r="N107" s="266"/>
      <c r="O107" s="266"/>
      <c r="P107" s="266"/>
      <c r="Q107" s="266"/>
      <c r="R107" s="266"/>
      <c r="S107" s="266"/>
      <c r="T107" s="384"/>
      <c r="U107" s="266"/>
    </row>
    <row r="108" spans="2:21">
      <c r="B108" s="63"/>
      <c r="C108" s="266"/>
      <c r="D108" s="266"/>
      <c r="E108" s="266"/>
      <c r="F108" s="266"/>
      <c r="G108" s="63"/>
      <c r="H108" s="63"/>
      <c r="I108" s="63"/>
      <c r="J108" s="266"/>
      <c r="K108" s="266"/>
      <c r="L108" s="266"/>
      <c r="M108" s="266"/>
      <c r="N108" s="266"/>
      <c r="O108" s="266"/>
      <c r="P108" s="266"/>
      <c r="Q108" s="266"/>
      <c r="R108" s="266"/>
      <c r="S108" s="266"/>
      <c r="T108" s="384"/>
      <c r="U108" s="266"/>
    </row>
    <row r="109" spans="2:21">
      <c r="B109" s="63"/>
      <c r="C109" s="266"/>
      <c r="D109" s="266"/>
      <c r="E109" s="266"/>
      <c r="F109" s="266"/>
      <c r="G109" s="63"/>
      <c r="H109" s="63"/>
      <c r="I109" s="63"/>
      <c r="J109" s="266"/>
      <c r="K109" s="266"/>
      <c r="L109" s="266"/>
      <c r="M109" s="266"/>
      <c r="N109" s="266"/>
      <c r="O109" s="266"/>
      <c r="P109" s="266"/>
      <c r="Q109" s="266"/>
      <c r="R109" s="266"/>
      <c r="S109" s="266"/>
      <c r="T109" s="384"/>
      <c r="U109" s="266"/>
    </row>
    <row r="110" spans="2:21">
      <c r="B110" s="63"/>
      <c r="C110" s="266"/>
      <c r="D110" s="266"/>
      <c r="E110" s="266"/>
      <c r="F110" s="266"/>
      <c r="G110" s="63"/>
      <c r="H110" s="63"/>
      <c r="I110" s="63"/>
      <c r="J110" s="266"/>
      <c r="K110" s="266"/>
      <c r="L110" s="266"/>
      <c r="M110" s="266"/>
      <c r="N110" s="266"/>
      <c r="O110" s="266"/>
      <c r="P110" s="266"/>
      <c r="Q110" s="266"/>
      <c r="R110" s="266"/>
      <c r="S110" s="266"/>
      <c r="T110" s="384"/>
      <c r="U110" s="266"/>
    </row>
    <row r="111" spans="2:21">
      <c r="B111" s="63"/>
      <c r="C111" s="266"/>
      <c r="D111" s="266"/>
      <c r="E111" s="266"/>
      <c r="F111" s="266"/>
      <c r="G111" s="63"/>
      <c r="H111" s="63"/>
      <c r="I111" s="63"/>
      <c r="J111" s="266"/>
      <c r="K111" s="266"/>
      <c r="L111" s="266"/>
      <c r="M111" s="266"/>
      <c r="N111" s="266"/>
      <c r="O111" s="266"/>
      <c r="P111" s="266"/>
      <c r="Q111" s="266"/>
      <c r="R111" s="266"/>
      <c r="S111" s="266"/>
      <c r="T111" s="384"/>
      <c r="U111" s="266"/>
    </row>
    <row r="112" spans="2:21">
      <c r="B112" s="63"/>
      <c r="C112" s="266"/>
      <c r="D112" s="266"/>
      <c r="E112" s="266"/>
      <c r="F112" s="266"/>
      <c r="G112" s="63"/>
      <c r="H112" s="63"/>
      <c r="I112" s="63"/>
      <c r="J112" s="266"/>
      <c r="K112" s="266"/>
      <c r="L112" s="266"/>
      <c r="M112" s="266"/>
      <c r="N112" s="266"/>
      <c r="O112" s="266"/>
      <c r="P112" s="266"/>
      <c r="Q112" s="266"/>
      <c r="R112" s="266"/>
      <c r="S112" s="266"/>
      <c r="T112" s="384"/>
      <c r="U112" s="266"/>
    </row>
    <row r="113" spans="1:21">
      <c r="B113" s="63"/>
      <c r="C113" s="266"/>
      <c r="D113" s="266"/>
      <c r="E113" s="266"/>
      <c r="F113" s="266"/>
      <c r="G113" s="63"/>
      <c r="H113" s="63"/>
      <c r="I113" s="63"/>
      <c r="J113" s="266"/>
      <c r="K113" s="266"/>
      <c r="L113" s="266"/>
      <c r="M113" s="266"/>
      <c r="N113" s="266"/>
      <c r="O113" s="266"/>
      <c r="P113" s="266"/>
      <c r="Q113" s="266"/>
      <c r="R113" s="266"/>
      <c r="S113" s="266"/>
      <c r="T113" s="384"/>
      <c r="U113" s="266"/>
    </row>
    <row r="114" spans="1:21">
      <c r="B114" s="63"/>
      <c r="C114" s="266"/>
      <c r="D114" s="266"/>
      <c r="E114" s="266"/>
      <c r="F114" s="266"/>
      <c r="G114" s="63"/>
      <c r="H114" s="63"/>
      <c r="I114" s="63"/>
      <c r="J114" s="266"/>
      <c r="K114" s="266"/>
      <c r="L114" s="266"/>
      <c r="M114" s="266"/>
      <c r="N114" s="266"/>
      <c r="O114" s="266"/>
      <c r="P114" s="266"/>
      <c r="Q114" s="266"/>
      <c r="R114" s="266"/>
      <c r="S114" s="266"/>
      <c r="T114" s="384"/>
      <c r="U114" s="266"/>
    </row>
    <row r="115" spans="1:21">
      <c r="B115" s="63"/>
      <c r="C115" s="266"/>
      <c r="D115" s="266"/>
      <c r="E115" s="266"/>
      <c r="F115" s="266"/>
      <c r="G115" s="63"/>
      <c r="H115" s="63"/>
      <c r="I115" s="63"/>
      <c r="J115" s="266"/>
      <c r="K115" s="266"/>
      <c r="L115" s="266"/>
      <c r="M115" s="266"/>
      <c r="N115" s="266"/>
      <c r="O115" s="266"/>
      <c r="P115" s="266"/>
      <c r="Q115" s="266"/>
      <c r="R115" s="266"/>
      <c r="S115" s="266"/>
      <c r="T115" s="384"/>
      <c r="U115" s="266"/>
    </row>
    <row r="116" spans="1:21">
      <c r="B116" s="63"/>
      <c r="C116" s="266"/>
      <c r="D116" s="266"/>
      <c r="E116" s="266"/>
      <c r="F116" s="266"/>
      <c r="G116" s="63"/>
      <c r="H116" s="63"/>
      <c r="I116" s="63"/>
      <c r="J116" s="266"/>
      <c r="K116" s="266"/>
      <c r="L116" s="266"/>
      <c r="M116" s="266"/>
      <c r="N116" s="266"/>
      <c r="O116" s="266"/>
      <c r="P116" s="266"/>
      <c r="Q116" s="266"/>
      <c r="R116" s="266"/>
      <c r="S116" s="266"/>
      <c r="T116" s="384"/>
      <c r="U116" s="266"/>
    </row>
    <row r="117" spans="1:21">
      <c r="B117" s="63"/>
      <c r="C117" s="266"/>
      <c r="D117" s="266"/>
      <c r="E117" s="266"/>
      <c r="F117" s="266"/>
      <c r="G117" s="63"/>
      <c r="H117" s="63"/>
      <c r="I117" s="63"/>
      <c r="J117" s="266"/>
      <c r="K117" s="266"/>
      <c r="L117" s="266"/>
      <c r="M117" s="266"/>
      <c r="N117" s="266"/>
      <c r="O117" s="266"/>
      <c r="P117" s="266"/>
      <c r="Q117" s="266"/>
      <c r="R117" s="266"/>
      <c r="S117" s="266"/>
      <c r="T117" s="384"/>
      <c r="U117" s="266"/>
    </row>
    <row r="118" spans="1:21">
      <c r="B118" s="63"/>
      <c r="C118" s="266"/>
      <c r="D118" s="266"/>
      <c r="E118" s="266"/>
      <c r="F118" s="266"/>
      <c r="G118" s="63"/>
      <c r="H118" s="63"/>
      <c r="I118" s="63"/>
      <c r="J118" s="266"/>
      <c r="K118" s="266"/>
      <c r="L118" s="266"/>
      <c r="M118" s="266"/>
      <c r="N118" s="266"/>
      <c r="O118" s="266"/>
      <c r="P118" s="266"/>
      <c r="Q118" s="266"/>
      <c r="R118" s="266"/>
      <c r="S118" s="266"/>
      <c r="T118" s="384"/>
      <c r="U118" s="266"/>
    </row>
    <row r="119" spans="1:21">
      <c r="B119" s="63"/>
      <c r="C119" s="266"/>
      <c r="D119" s="266"/>
      <c r="E119" s="266"/>
      <c r="F119" s="266"/>
      <c r="G119" s="63"/>
      <c r="H119" s="63"/>
      <c r="I119" s="63"/>
      <c r="J119" s="266"/>
      <c r="K119" s="266"/>
      <c r="L119" s="266"/>
      <c r="M119" s="266"/>
      <c r="N119" s="266"/>
      <c r="O119" s="266"/>
      <c r="P119" s="266"/>
      <c r="Q119" s="266"/>
      <c r="R119" s="266"/>
      <c r="S119" s="266"/>
      <c r="T119" s="384"/>
      <c r="U119" s="266"/>
    </row>
    <row r="120" spans="1:21">
      <c r="B120" s="63"/>
      <c r="C120" s="266"/>
      <c r="D120" s="266"/>
      <c r="E120" s="266"/>
      <c r="F120" s="266"/>
      <c r="G120" s="63"/>
      <c r="H120" s="63"/>
      <c r="I120" s="63"/>
      <c r="J120" s="266"/>
      <c r="K120" s="266"/>
      <c r="L120" s="266"/>
      <c r="M120" s="266"/>
      <c r="N120" s="266"/>
      <c r="O120" s="266"/>
      <c r="P120" s="266"/>
      <c r="Q120" s="266"/>
      <c r="R120" s="266"/>
      <c r="S120" s="266"/>
      <c r="T120" s="384"/>
      <c r="U120" s="266"/>
    </row>
    <row r="121" spans="1:21">
      <c r="B121" s="63"/>
      <c r="C121" s="266"/>
      <c r="D121" s="266"/>
      <c r="E121" s="266"/>
      <c r="F121" s="266"/>
      <c r="G121" s="63"/>
      <c r="H121" s="63"/>
      <c r="I121" s="63"/>
      <c r="J121" s="266"/>
      <c r="K121" s="266"/>
      <c r="L121" s="266"/>
      <c r="M121" s="266"/>
      <c r="N121" s="266"/>
      <c r="O121" s="266"/>
      <c r="P121" s="266"/>
      <c r="Q121" s="266"/>
      <c r="R121" s="266"/>
      <c r="S121" s="266"/>
      <c r="T121" s="384"/>
      <c r="U121" s="266"/>
    </row>
    <row r="122" spans="1:21">
      <c r="B122" s="63"/>
      <c r="C122" s="266"/>
      <c r="D122" s="266"/>
      <c r="E122" s="266"/>
      <c r="F122" s="266"/>
      <c r="G122" s="63"/>
      <c r="H122" s="63"/>
      <c r="I122" s="63"/>
      <c r="J122" s="266"/>
      <c r="K122" s="266"/>
      <c r="L122" s="266"/>
      <c r="M122" s="266"/>
      <c r="N122" s="266"/>
      <c r="O122" s="266"/>
      <c r="P122" s="266"/>
      <c r="Q122" s="266"/>
      <c r="R122" s="266"/>
      <c r="S122" s="266"/>
      <c r="T122" s="384"/>
      <c r="U122" s="266"/>
    </row>
    <row r="123" spans="1:21">
      <c r="B123" s="63"/>
      <c r="C123" s="266"/>
      <c r="D123" s="266"/>
      <c r="E123" s="266"/>
      <c r="F123" s="266"/>
      <c r="G123" s="63"/>
      <c r="H123" s="63"/>
      <c r="I123" s="63"/>
      <c r="J123" s="266"/>
      <c r="K123" s="266"/>
      <c r="L123" s="266"/>
      <c r="M123" s="266"/>
      <c r="N123" s="266"/>
      <c r="O123" s="266"/>
      <c r="P123" s="266"/>
      <c r="Q123" s="266"/>
      <c r="R123" s="266"/>
      <c r="S123" s="266"/>
      <c r="T123" s="384"/>
      <c r="U123" s="266"/>
    </row>
    <row r="124" spans="1:21">
      <c r="A124" s="266"/>
      <c r="B124" s="63"/>
      <c r="C124" s="266"/>
      <c r="D124" s="266"/>
      <c r="E124" s="266"/>
      <c r="F124" s="266"/>
      <c r="G124" s="63"/>
      <c r="H124" s="63"/>
      <c r="I124" s="63"/>
      <c r="J124" s="266"/>
      <c r="K124" s="266"/>
      <c r="L124" s="266"/>
      <c r="M124" s="266"/>
      <c r="N124" s="266"/>
      <c r="O124" s="266"/>
      <c r="P124" s="266"/>
      <c r="Q124" s="266"/>
      <c r="R124" s="266"/>
      <c r="S124" s="266"/>
      <c r="T124" s="384"/>
      <c r="U124" s="266"/>
    </row>
    <row r="125" spans="1:21">
      <c r="A125" s="266"/>
      <c r="B125" s="63"/>
      <c r="C125" s="266"/>
      <c r="D125" s="266"/>
      <c r="E125" s="266"/>
      <c r="F125" s="266"/>
      <c r="G125" s="63"/>
      <c r="H125" s="63"/>
      <c r="I125" s="63"/>
      <c r="J125" s="266"/>
      <c r="K125" s="266"/>
      <c r="L125" s="266"/>
      <c r="M125" s="266"/>
      <c r="N125" s="266"/>
      <c r="O125" s="266"/>
      <c r="P125" s="266"/>
      <c r="Q125" s="266"/>
      <c r="R125" s="266"/>
      <c r="S125" s="266"/>
      <c r="T125" s="384"/>
      <c r="U125" s="266"/>
    </row>
    <row r="126" spans="1:21">
      <c r="A126" s="266"/>
      <c r="B126" s="63"/>
      <c r="C126" s="266"/>
      <c r="D126" s="266"/>
      <c r="E126" s="266"/>
      <c r="F126" s="266"/>
      <c r="G126" s="63"/>
      <c r="H126" s="63"/>
      <c r="I126" s="63"/>
      <c r="J126" s="266"/>
      <c r="K126" s="266"/>
      <c r="L126" s="266"/>
      <c r="M126" s="266"/>
      <c r="N126" s="266"/>
      <c r="O126" s="266"/>
      <c r="P126" s="266"/>
      <c r="Q126" s="266"/>
      <c r="R126" s="266"/>
      <c r="S126" s="266"/>
      <c r="T126" s="384"/>
      <c r="U126" s="266"/>
    </row>
    <row r="127" spans="1:21">
      <c r="A127" s="266"/>
      <c r="B127" s="63"/>
      <c r="C127" s="266"/>
      <c r="D127" s="266"/>
      <c r="E127" s="266"/>
      <c r="F127" s="266"/>
      <c r="G127" s="63"/>
      <c r="H127" s="63"/>
      <c r="I127" s="63"/>
      <c r="J127" s="266"/>
      <c r="K127" s="266"/>
      <c r="L127" s="266"/>
      <c r="M127" s="266"/>
      <c r="N127" s="266"/>
      <c r="O127" s="266"/>
      <c r="P127" s="266"/>
      <c r="Q127" s="266"/>
      <c r="R127" s="266"/>
      <c r="S127" s="266"/>
      <c r="T127" s="384"/>
      <c r="U127" s="266"/>
    </row>
    <row r="128" spans="1:21">
      <c r="A128" s="266"/>
      <c r="B128" s="63"/>
      <c r="C128" s="266"/>
      <c r="D128" s="266"/>
      <c r="E128" s="266"/>
      <c r="F128" s="266"/>
      <c r="G128" s="63"/>
      <c r="H128" s="63"/>
      <c r="I128" s="63"/>
      <c r="J128" s="266"/>
      <c r="K128" s="266"/>
      <c r="L128" s="266"/>
      <c r="M128" s="266"/>
      <c r="N128" s="266"/>
      <c r="O128" s="266"/>
      <c r="P128" s="266"/>
      <c r="Q128" s="266"/>
      <c r="R128" s="266"/>
      <c r="S128" s="266"/>
      <c r="T128" s="384"/>
      <c r="U128" s="266"/>
    </row>
    <row r="129" spans="1:21">
      <c r="A129" s="266"/>
      <c r="B129" s="63"/>
      <c r="C129" s="266"/>
      <c r="D129" s="266"/>
      <c r="E129" s="266"/>
      <c r="F129" s="266"/>
      <c r="G129" s="63"/>
      <c r="H129" s="63"/>
      <c r="I129" s="63"/>
      <c r="J129" s="266"/>
      <c r="K129" s="266"/>
      <c r="L129" s="266"/>
      <c r="M129" s="266"/>
      <c r="N129" s="266"/>
      <c r="O129" s="266"/>
      <c r="P129" s="266"/>
      <c r="Q129" s="266"/>
      <c r="R129" s="266"/>
      <c r="S129" s="266"/>
      <c r="T129" s="384"/>
      <c r="U129" s="266"/>
    </row>
    <row r="130" spans="1:21">
      <c r="A130" s="266"/>
      <c r="B130" s="63"/>
      <c r="C130" s="266"/>
      <c r="D130" s="266"/>
      <c r="E130" s="266"/>
      <c r="F130" s="266"/>
      <c r="G130" s="63"/>
      <c r="H130" s="63"/>
      <c r="I130" s="63"/>
      <c r="J130" s="266"/>
      <c r="K130" s="266"/>
      <c r="L130" s="266"/>
      <c r="M130" s="266"/>
      <c r="N130" s="266"/>
      <c r="O130" s="266"/>
      <c r="P130" s="266"/>
      <c r="Q130" s="266"/>
      <c r="R130" s="266"/>
      <c r="S130" s="266"/>
      <c r="T130" s="384"/>
      <c r="U130" s="266"/>
    </row>
    <row r="131" spans="1:21">
      <c r="A131" s="266"/>
      <c r="B131" s="63"/>
      <c r="C131" s="266"/>
      <c r="D131" s="266"/>
      <c r="E131" s="266"/>
      <c r="F131" s="266"/>
      <c r="G131" s="63"/>
      <c r="H131" s="63"/>
      <c r="I131" s="63"/>
      <c r="J131" s="266"/>
      <c r="K131" s="266"/>
      <c r="L131" s="266"/>
      <c r="M131" s="266"/>
      <c r="N131" s="266"/>
      <c r="O131" s="266"/>
      <c r="P131" s="266"/>
      <c r="Q131" s="266"/>
      <c r="R131" s="266"/>
      <c r="S131" s="266"/>
      <c r="T131" s="384"/>
      <c r="U131" s="266"/>
    </row>
    <row r="132" spans="1:21">
      <c r="A132" s="266"/>
      <c r="B132" s="63"/>
      <c r="C132" s="266"/>
      <c r="D132" s="266"/>
      <c r="E132" s="266"/>
      <c r="F132" s="266"/>
      <c r="G132" s="63"/>
      <c r="H132" s="63"/>
      <c r="I132" s="63"/>
      <c r="J132" s="266"/>
      <c r="K132" s="266"/>
      <c r="L132" s="266"/>
      <c r="M132" s="266"/>
      <c r="N132" s="266"/>
      <c r="O132" s="266"/>
      <c r="P132" s="266"/>
      <c r="Q132" s="266"/>
      <c r="R132" s="266"/>
      <c r="S132" s="266"/>
      <c r="T132" s="384"/>
      <c r="U132" s="266"/>
    </row>
    <row r="133" spans="1:21">
      <c r="A133" s="266"/>
      <c r="B133" s="63"/>
      <c r="C133" s="266"/>
      <c r="D133" s="266"/>
      <c r="E133" s="266"/>
      <c r="F133" s="266"/>
      <c r="G133" s="63"/>
      <c r="H133" s="63"/>
      <c r="I133" s="63"/>
      <c r="J133" s="266"/>
      <c r="K133" s="266"/>
      <c r="L133" s="266"/>
      <c r="M133" s="266"/>
      <c r="N133" s="266"/>
      <c r="O133" s="266"/>
      <c r="P133" s="266"/>
      <c r="Q133" s="266"/>
      <c r="R133" s="266"/>
      <c r="S133" s="266"/>
      <c r="T133" s="384"/>
      <c r="U133" s="266"/>
    </row>
    <row r="134" spans="1:21">
      <c r="A134" s="266"/>
      <c r="B134" s="63"/>
      <c r="C134" s="266"/>
      <c r="D134" s="266"/>
      <c r="E134" s="266"/>
      <c r="F134" s="266"/>
      <c r="G134" s="63"/>
      <c r="H134" s="63"/>
      <c r="I134" s="63"/>
      <c r="J134" s="266"/>
      <c r="K134" s="266"/>
      <c r="L134" s="266"/>
      <c r="M134" s="266"/>
      <c r="N134" s="266"/>
      <c r="O134" s="266"/>
      <c r="P134" s="266"/>
      <c r="Q134" s="266"/>
      <c r="R134" s="266"/>
      <c r="S134" s="266"/>
      <c r="T134" s="384"/>
      <c r="U134" s="266"/>
    </row>
    <row r="135" spans="1:21">
      <c r="A135" s="266"/>
      <c r="B135" s="63"/>
      <c r="C135" s="266"/>
      <c r="D135" s="266"/>
      <c r="E135" s="266"/>
      <c r="F135" s="266"/>
      <c r="G135" s="63"/>
      <c r="H135" s="63"/>
      <c r="I135" s="63"/>
      <c r="J135" s="266"/>
      <c r="K135" s="266"/>
      <c r="L135" s="266"/>
      <c r="M135" s="266"/>
      <c r="N135" s="266"/>
      <c r="O135" s="266"/>
      <c r="P135" s="266"/>
      <c r="Q135" s="266"/>
      <c r="R135" s="266"/>
      <c r="S135" s="266"/>
      <c r="T135" s="384"/>
      <c r="U135" s="266"/>
    </row>
    <row r="136" spans="1:21">
      <c r="A136" s="266"/>
      <c r="B136" s="63"/>
      <c r="C136" s="266"/>
      <c r="D136" s="266"/>
      <c r="E136" s="266"/>
      <c r="F136" s="266"/>
      <c r="G136" s="63"/>
      <c r="H136" s="63"/>
      <c r="I136" s="63"/>
      <c r="J136" s="266"/>
      <c r="K136" s="266"/>
      <c r="L136" s="266"/>
      <c r="M136" s="266"/>
      <c r="N136" s="266"/>
      <c r="O136" s="266"/>
      <c r="P136" s="266"/>
      <c r="Q136" s="266"/>
      <c r="R136" s="266"/>
      <c r="S136" s="266"/>
      <c r="T136" s="384"/>
      <c r="U136" s="266"/>
    </row>
    <row r="137" spans="1:21">
      <c r="A137" s="266"/>
      <c r="B137" s="63"/>
      <c r="C137" s="266"/>
      <c r="D137" s="266"/>
      <c r="E137" s="266"/>
      <c r="F137" s="266"/>
      <c r="G137" s="63"/>
      <c r="H137" s="63"/>
      <c r="I137" s="63"/>
      <c r="J137" s="266"/>
      <c r="K137" s="266"/>
      <c r="L137" s="266"/>
      <c r="M137" s="266"/>
      <c r="N137" s="266"/>
      <c r="O137" s="266"/>
      <c r="P137" s="266"/>
      <c r="Q137" s="266"/>
      <c r="R137" s="266"/>
      <c r="S137" s="266"/>
      <c r="T137" s="384"/>
      <c r="U137" s="266"/>
    </row>
    <row r="138" spans="1:21">
      <c r="A138" s="266"/>
      <c r="B138" s="63"/>
      <c r="C138" s="266"/>
      <c r="D138" s="266"/>
      <c r="E138" s="266"/>
      <c r="F138" s="266"/>
      <c r="G138" s="63"/>
      <c r="H138" s="63"/>
      <c r="I138" s="63"/>
      <c r="J138" s="266"/>
      <c r="K138" s="266"/>
      <c r="L138" s="266"/>
      <c r="M138" s="266"/>
      <c r="N138" s="266"/>
      <c r="O138" s="266"/>
      <c r="P138" s="266"/>
      <c r="Q138" s="266"/>
      <c r="R138" s="266"/>
      <c r="S138" s="266"/>
      <c r="T138" s="384"/>
      <c r="U138" s="266"/>
    </row>
    <row r="139" spans="1:21">
      <c r="A139" s="266"/>
      <c r="B139" s="63"/>
      <c r="C139" s="266"/>
      <c r="D139" s="266"/>
      <c r="E139" s="266"/>
      <c r="F139" s="266"/>
      <c r="G139" s="63"/>
      <c r="H139" s="63"/>
      <c r="I139" s="63"/>
      <c r="J139" s="266"/>
      <c r="K139" s="266"/>
      <c r="L139" s="266"/>
      <c r="M139" s="266"/>
      <c r="N139" s="266"/>
      <c r="O139" s="266"/>
      <c r="P139" s="266"/>
      <c r="Q139" s="266"/>
      <c r="R139" s="266"/>
      <c r="S139" s="266"/>
      <c r="T139" s="384"/>
      <c r="U139" s="266"/>
    </row>
    <row r="140" spans="1:21">
      <c r="A140" s="266"/>
      <c r="B140" s="63"/>
      <c r="C140" s="266"/>
      <c r="D140" s="266"/>
      <c r="E140" s="266"/>
      <c r="F140" s="266"/>
      <c r="G140" s="63"/>
      <c r="H140" s="63"/>
      <c r="I140" s="63"/>
      <c r="J140" s="266"/>
      <c r="K140" s="266"/>
      <c r="L140" s="266"/>
      <c r="M140" s="266"/>
      <c r="N140" s="266"/>
      <c r="O140" s="266"/>
      <c r="P140" s="266"/>
      <c r="Q140" s="266"/>
      <c r="R140" s="266"/>
      <c r="S140" s="266"/>
      <c r="T140" s="384"/>
      <c r="U140" s="266"/>
    </row>
    <row r="141" spans="1:21">
      <c r="A141" s="266"/>
      <c r="B141" s="63"/>
      <c r="C141" s="266"/>
      <c r="D141" s="266"/>
      <c r="E141" s="266"/>
      <c r="F141" s="266"/>
      <c r="G141" s="63"/>
      <c r="H141" s="63"/>
      <c r="I141" s="63"/>
      <c r="J141" s="266"/>
      <c r="K141" s="266"/>
      <c r="L141" s="266"/>
      <c r="M141" s="266"/>
      <c r="N141" s="266"/>
      <c r="O141" s="266"/>
      <c r="P141" s="266"/>
      <c r="Q141" s="266"/>
      <c r="R141" s="266"/>
      <c r="S141" s="266"/>
      <c r="T141" s="384"/>
      <c r="U141" s="266"/>
    </row>
    <row r="142" spans="1:21">
      <c r="A142" s="266"/>
      <c r="B142" s="63"/>
      <c r="C142" s="266"/>
      <c r="D142" s="266"/>
      <c r="E142" s="266"/>
      <c r="F142" s="266"/>
      <c r="G142" s="63"/>
      <c r="H142" s="63"/>
      <c r="I142" s="63"/>
      <c r="J142" s="266"/>
      <c r="K142" s="266"/>
      <c r="L142" s="266"/>
      <c r="M142" s="266"/>
      <c r="N142" s="266"/>
      <c r="O142" s="266"/>
      <c r="P142" s="266"/>
      <c r="Q142" s="266"/>
      <c r="R142" s="266"/>
      <c r="S142" s="266"/>
      <c r="T142" s="384"/>
      <c r="U142" s="266"/>
    </row>
    <row r="143" spans="1:21">
      <c r="A143" s="266"/>
      <c r="B143" s="63"/>
      <c r="C143" s="266"/>
      <c r="D143" s="266"/>
      <c r="E143" s="266"/>
      <c r="F143" s="266"/>
      <c r="G143" s="63"/>
      <c r="H143" s="63"/>
      <c r="I143" s="63"/>
      <c r="J143" s="266"/>
      <c r="K143" s="266"/>
      <c r="L143" s="266"/>
      <c r="M143" s="266"/>
      <c r="N143" s="266"/>
      <c r="O143" s="266"/>
      <c r="P143" s="266"/>
      <c r="Q143" s="266"/>
      <c r="R143" s="266"/>
      <c r="S143" s="266"/>
      <c r="T143" s="384"/>
      <c r="U143" s="266"/>
    </row>
    <row r="144" spans="1:21">
      <c r="A144" s="266"/>
      <c r="B144" s="63"/>
      <c r="C144" s="266"/>
      <c r="D144" s="266"/>
      <c r="E144" s="266"/>
      <c r="F144" s="266"/>
      <c r="G144" s="63"/>
      <c r="H144" s="63"/>
      <c r="I144" s="63"/>
      <c r="J144" s="266"/>
      <c r="K144" s="266"/>
      <c r="L144" s="266"/>
      <c r="M144" s="266"/>
      <c r="N144" s="266"/>
      <c r="O144" s="266"/>
      <c r="P144" s="266"/>
      <c r="Q144" s="266"/>
      <c r="R144" s="266"/>
      <c r="S144" s="266"/>
      <c r="T144" s="384"/>
      <c r="U144" s="266"/>
    </row>
    <row r="145" spans="1:21">
      <c r="A145" s="266"/>
      <c r="B145" s="63"/>
      <c r="C145" s="266"/>
      <c r="D145" s="266"/>
      <c r="E145" s="266"/>
      <c r="F145" s="266"/>
      <c r="G145" s="63"/>
      <c r="H145" s="63"/>
      <c r="I145" s="63"/>
      <c r="J145" s="266"/>
      <c r="K145" s="266"/>
      <c r="L145" s="266"/>
      <c r="M145" s="266"/>
      <c r="N145" s="266"/>
      <c r="O145" s="266"/>
      <c r="P145" s="266"/>
      <c r="Q145" s="266"/>
      <c r="R145" s="266"/>
      <c r="S145" s="266"/>
      <c r="T145" s="384"/>
      <c r="U145" s="266"/>
    </row>
    <row r="146" spans="1:21">
      <c r="A146" s="266"/>
      <c r="B146" s="63"/>
      <c r="C146" s="266"/>
      <c r="D146" s="266"/>
      <c r="E146" s="266"/>
      <c r="F146" s="266"/>
      <c r="G146" s="63"/>
      <c r="H146" s="63"/>
      <c r="I146" s="63"/>
      <c r="J146" s="266"/>
      <c r="K146" s="266"/>
      <c r="L146" s="266"/>
      <c r="M146" s="266"/>
      <c r="N146" s="266"/>
      <c r="O146" s="266"/>
      <c r="P146" s="266"/>
      <c r="Q146" s="266"/>
      <c r="R146" s="266"/>
      <c r="S146" s="266"/>
      <c r="T146" s="384"/>
      <c r="U146" s="266"/>
    </row>
    <row r="147" spans="1:21">
      <c r="A147" s="266"/>
      <c r="B147" s="63"/>
      <c r="C147" s="266"/>
      <c r="D147" s="266"/>
      <c r="E147" s="266"/>
      <c r="F147" s="266"/>
      <c r="G147" s="63"/>
      <c r="H147" s="63"/>
      <c r="I147" s="63"/>
      <c r="J147" s="266"/>
      <c r="K147" s="266"/>
      <c r="L147" s="266"/>
      <c r="M147" s="266"/>
      <c r="N147" s="266"/>
      <c r="O147" s="266"/>
      <c r="P147" s="266"/>
      <c r="Q147" s="266"/>
      <c r="R147" s="266"/>
      <c r="S147" s="266"/>
      <c r="T147" s="384"/>
      <c r="U147" s="266"/>
    </row>
    <row r="148" spans="1:21">
      <c r="A148" s="266"/>
      <c r="B148" s="63"/>
      <c r="C148" s="266"/>
      <c r="D148" s="266"/>
      <c r="E148" s="266"/>
      <c r="F148" s="266"/>
      <c r="G148" s="63"/>
      <c r="H148" s="63"/>
      <c r="I148" s="63"/>
      <c r="J148" s="266"/>
      <c r="K148" s="266"/>
      <c r="L148" s="266"/>
      <c r="M148" s="266"/>
      <c r="N148" s="266"/>
      <c r="O148" s="266"/>
      <c r="P148" s="266"/>
      <c r="Q148" s="266"/>
      <c r="R148" s="266"/>
      <c r="S148" s="266"/>
      <c r="T148" s="384"/>
      <c r="U148" s="266"/>
    </row>
    <row r="149" spans="1:21">
      <c r="A149" s="266"/>
      <c r="B149" s="63"/>
      <c r="C149" s="266"/>
      <c r="D149" s="266"/>
      <c r="E149" s="266"/>
      <c r="F149" s="266"/>
      <c r="G149" s="63"/>
      <c r="H149" s="63"/>
      <c r="I149" s="63"/>
      <c r="J149" s="266"/>
      <c r="K149" s="266"/>
      <c r="L149" s="266"/>
      <c r="M149" s="266"/>
      <c r="N149" s="266"/>
      <c r="O149" s="266"/>
      <c r="P149" s="266"/>
      <c r="Q149" s="266"/>
      <c r="R149" s="266"/>
      <c r="S149" s="266"/>
      <c r="T149" s="384"/>
      <c r="U149" s="266"/>
    </row>
    <row r="150" spans="1:21">
      <c r="A150" s="266"/>
      <c r="B150" s="63"/>
      <c r="C150" s="266"/>
      <c r="D150" s="266"/>
      <c r="E150" s="266"/>
      <c r="F150" s="266"/>
      <c r="G150" s="63"/>
      <c r="H150" s="63"/>
      <c r="I150" s="63"/>
      <c r="J150" s="266"/>
      <c r="K150" s="266"/>
      <c r="L150" s="266"/>
      <c r="M150" s="266"/>
      <c r="N150" s="266"/>
      <c r="O150" s="266"/>
      <c r="P150" s="266"/>
      <c r="Q150" s="266"/>
      <c r="R150" s="266"/>
      <c r="S150" s="266"/>
      <c r="T150" s="384"/>
      <c r="U150" s="266"/>
    </row>
    <row r="151" spans="1:21">
      <c r="A151" s="266"/>
      <c r="B151" s="63"/>
      <c r="C151" s="266"/>
      <c r="D151" s="266"/>
      <c r="E151" s="266"/>
      <c r="F151" s="266"/>
      <c r="G151" s="63"/>
      <c r="H151" s="63"/>
      <c r="I151" s="63"/>
      <c r="J151" s="266"/>
      <c r="K151" s="266"/>
      <c r="L151" s="266"/>
      <c r="M151" s="266"/>
      <c r="N151" s="266"/>
      <c r="O151" s="266"/>
      <c r="P151" s="266"/>
      <c r="Q151" s="266"/>
      <c r="R151" s="266"/>
      <c r="S151" s="266"/>
      <c r="T151" s="384"/>
      <c r="U151" s="266"/>
    </row>
    <row r="152" spans="1:21">
      <c r="A152" s="266"/>
      <c r="B152" s="63"/>
      <c r="C152" s="266"/>
      <c r="D152" s="266"/>
      <c r="E152" s="266"/>
      <c r="F152" s="266"/>
      <c r="G152" s="63"/>
      <c r="H152" s="63"/>
      <c r="I152" s="63"/>
      <c r="J152" s="266"/>
      <c r="K152" s="266"/>
      <c r="L152" s="266"/>
      <c r="M152" s="266"/>
      <c r="N152" s="266"/>
      <c r="O152" s="266"/>
      <c r="P152" s="266"/>
      <c r="Q152" s="266"/>
      <c r="R152" s="266"/>
      <c r="S152" s="266"/>
      <c r="T152" s="384"/>
      <c r="U152" s="266"/>
    </row>
    <row r="153" spans="1:21">
      <c r="A153" s="266"/>
      <c r="B153" s="63"/>
      <c r="C153" s="266"/>
      <c r="D153" s="266"/>
      <c r="E153" s="266"/>
      <c r="F153" s="266"/>
      <c r="G153" s="63"/>
      <c r="H153" s="63"/>
      <c r="I153" s="63"/>
      <c r="J153" s="266"/>
      <c r="K153" s="266"/>
      <c r="L153" s="266"/>
      <c r="M153" s="266"/>
      <c r="N153" s="266"/>
      <c r="O153" s="266"/>
      <c r="P153" s="266"/>
      <c r="Q153" s="266"/>
      <c r="R153" s="266"/>
      <c r="S153" s="266"/>
      <c r="T153" s="384"/>
      <c r="U153" s="266"/>
    </row>
    <row r="154" spans="1:21">
      <c r="A154" s="266"/>
      <c r="B154" s="63"/>
      <c r="C154" s="266"/>
      <c r="D154" s="266"/>
      <c r="E154" s="266"/>
      <c r="F154" s="266"/>
      <c r="G154" s="63"/>
      <c r="H154" s="63"/>
      <c r="I154" s="63"/>
      <c r="J154" s="266"/>
      <c r="K154" s="266"/>
      <c r="L154" s="266"/>
      <c r="M154" s="266"/>
      <c r="N154" s="266"/>
      <c r="O154" s="266"/>
      <c r="P154" s="266"/>
      <c r="Q154" s="266"/>
      <c r="R154" s="266"/>
      <c r="S154" s="266"/>
      <c r="T154" s="384"/>
      <c r="U154" s="266"/>
    </row>
    <row r="155" spans="1:21">
      <c r="A155" s="266"/>
      <c r="B155" s="63"/>
      <c r="C155" s="266"/>
      <c r="D155" s="266"/>
      <c r="E155" s="266"/>
      <c r="F155" s="266"/>
      <c r="G155" s="63"/>
      <c r="H155" s="63"/>
      <c r="I155" s="63"/>
      <c r="J155" s="266"/>
      <c r="K155" s="266"/>
      <c r="L155" s="266"/>
      <c r="M155" s="266"/>
      <c r="N155" s="266"/>
      <c r="O155" s="266"/>
      <c r="P155" s="266"/>
      <c r="Q155" s="266"/>
      <c r="R155" s="266"/>
      <c r="S155" s="266"/>
      <c r="T155" s="384"/>
      <c r="U155" s="266"/>
    </row>
    <row r="156" spans="1:21">
      <c r="A156" s="266"/>
      <c r="B156" s="63"/>
      <c r="C156" s="266"/>
      <c r="D156" s="266"/>
      <c r="E156" s="266"/>
      <c r="F156" s="266"/>
      <c r="G156" s="63"/>
      <c r="H156" s="63"/>
      <c r="I156" s="63"/>
      <c r="J156" s="266"/>
      <c r="K156" s="266"/>
      <c r="L156" s="266"/>
      <c r="M156" s="266"/>
      <c r="N156" s="266"/>
      <c r="O156" s="266"/>
      <c r="P156" s="266"/>
      <c r="Q156" s="266"/>
      <c r="R156" s="266"/>
      <c r="S156" s="266"/>
      <c r="T156" s="384"/>
      <c r="U156" s="266"/>
    </row>
    <row r="157" spans="1:21">
      <c r="A157" s="266"/>
      <c r="B157" s="63"/>
      <c r="C157" s="266"/>
      <c r="D157" s="266"/>
      <c r="E157" s="266"/>
      <c r="F157" s="266"/>
      <c r="G157" s="63"/>
      <c r="H157" s="63"/>
      <c r="I157" s="63"/>
      <c r="J157" s="266"/>
      <c r="K157" s="266"/>
      <c r="L157" s="266"/>
      <c r="M157" s="266"/>
      <c r="N157" s="266"/>
      <c r="O157" s="266"/>
      <c r="P157" s="266"/>
      <c r="Q157" s="266"/>
      <c r="R157" s="266"/>
      <c r="S157" s="266"/>
      <c r="T157" s="384"/>
      <c r="U157" s="266"/>
    </row>
    <row r="158" spans="1:21">
      <c r="A158" s="266"/>
      <c r="B158" s="63"/>
      <c r="C158" s="266"/>
      <c r="D158" s="266"/>
      <c r="E158" s="266"/>
      <c r="F158" s="266"/>
      <c r="G158" s="63"/>
      <c r="H158" s="63"/>
      <c r="I158" s="63"/>
      <c r="J158" s="266"/>
      <c r="K158" s="266"/>
      <c r="L158" s="266"/>
      <c r="M158" s="266"/>
      <c r="N158" s="266"/>
      <c r="O158" s="266"/>
      <c r="P158" s="266"/>
      <c r="Q158" s="266"/>
      <c r="R158" s="266"/>
      <c r="S158" s="266"/>
      <c r="T158" s="384"/>
      <c r="U158" s="266"/>
    </row>
    <row r="159" spans="1:21">
      <c r="A159" s="266"/>
      <c r="B159" s="63"/>
      <c r="C159" s="266"/>
      <c r="D159" s="266"/>
      <c r="E159" s="266"/>
      <c r="F159" s="266"/>
      <c r="G159" s="63"/>
      <c r="H159" s="63"/>
      <c r="I159" s="63"/>
      <c r="J159" s="266"/>
      <c r="K159" s="266"/>
      <c r="L159" s="266"/>
      <c r="M159" s="266"/>
      <c r="N159" s="266"/>
      <c r="O159" s="266"/>
      <c r="P159" s="266"/>
      <c r="Q159" s="266"/>
      <c r="R159" s="266"/>
      <c r="S159" s="266"/>
      <c r="T159" s="384"/>
      <c r="U159" s="266"/>
    </row>
    <row r="160" spans="1:21">
      <c r="A160" s="266"/>
      <c r="B160" s="63"/>
      <c r="C160" s="266"/>
      <c r="D160" s="266"/>
      <c r="E160" s="266"/>
      <c r="F160" s="266"/>
      <c r="G160" s="63"/>
      <c r="H160" s="63"/>
      <c r="I160" s="63"/>
      <c r="J160" s="266"/>
      <c r="K160" s="266"/>
      <c r="L160" s="266"/>
      <c r="M160" s="266"/>
      <c r="N160" s="266"/>
      <c r="O160" s="266"/>
      <c r="P160" s="266"/>
      <c r="Q160" s="266"/>
      <c r="R160" s="266"/>
      <c r="S160" s="266"/>
      <c r="T160" s="384"/>
      <c r="U160" s="266"/>
    </row>
    <row r="161" spans="1:21">
      <c r="A161" s="266"/>
      <c r="B161" s="63"/>
      <c r="C161" s="266"/>
      <c r="D161" s="266"/>
      <c r="E161" s="266"/>
      <c r="F161" s="266"/>
      <c r="G161" s="63"/>
      <c r="H161" s="63"/>
      <c r="I161" s="63"/>
      <c r="J161" s="266"/>
      <c r="K161" s="266"/>
      <c r="L161" s="266"/>
      <c r="M161" s="266"/>
      <c r="N161" s="266"/>
      <c r="O161" s="266"/>
      <c r="P161" s="266"/>
      <c r="Q161" s="266"/>
      <c r="R161" s="266"/>
      <c r="S161" s="266"/>
      <c r="T161" s="384"/>
      <c r="U161" s="266"/>
    </row>
    <row r="162" spans="1:21">
      <c r="A162" s="266"/>
      <c r="B162" s="63"/>
      <c r="C162" s="266"/>
      <c r="D162" s="266"/>
      <c r="E162" s="266"/>
      <c r="F162" s="266"/>
      <c r="G162" s="63"/>
      <c r="H162" s="63"/>
      <c r="I162" s="63"/>
      <c r="J162" s="266"/>
      <c r="K162" s="266"/>
      <c r="L162" s="266"/>
      <c r="M162" s="266"/>
      <c r="N162" s="266"/>
      <c r="O162" s="266"/>
      <c r="P162" s="266"/>
      <c r="Q162" s="266"/>
      <c r="R162" s="266"/>
      <c r="S162" s="266"/>
      <c r="T162" s="384"/>
      <c r="U162" s="266"/>
    </row>
    <row r="163" spans="1:21">
      <c r="A163" s="266"/>
      <c r="B163" s="63"/>
      <c r="C163" s="266"/>
      <c r="D163" s="266"/>
      <c r="E163" s="266"/>
      <c r="F163" s="266"/>
      <c r="G163" s="63"/>
      <c r="H163" s="63"/>
      <c r="I163" s="63"/>
      <c r="J163" s="266"/>
      <c r="K163" s="266"/>
      <c r="L163" s="266"/>
      <c r="M163" s="266"/>
      <c r="N163" s="266"/>
      <c r="O163" s="266"/>
      <c r="P163" s="266"/>
      <c r="Q163" s="266"/>
      <c r="R163" s="266"/>
      <c r="S163" s="266"/>
      <c r="T163" s="384"/>
      <c r="U163" s="266"/>
    </row>
    <row r="164" spans="1:21">
      <c r="A164" s="266"/>
      <c r="B164" s="63"/>
      <c r="C164" s="266"/>
      <c r="D164" s="266"/>
      <c r="E164" s="266"/>
      <c r="F164" s="266"/>
      <c r="G164" s="63"/>
      <c r="H164" s="63"/>
      <c r="I164" s="63"/>
      <c r="J164" s="266"/>
      <c r="K164" s="266"/>
      <c r="L164" s="266"/>
      <c r="M164" s="266"/>
      <c r="N164" s="266"/>
      <c r="O164" s="266"/>
      <c r="P164" s="266"/>
      <c r="Q164" s="266"/>
      <c r="R164" s="266"/>
      <c r="S164" s="266"/>
      <c r="T164" s="384"/>
      <c r="U164" s="266"/>
    </row>
    <row r="165" spans="1:21">
      <c r="A165" s="266"/>
      <c r="B165" s="63"/>
      <c r="C165" s="266"/>
      <c r="D165" s="266"/>
      <c r="E165" s="266"/>
      <c r="F165" s="266"/>
      <c r="G165" s="63"/>
      <c r="H165" s="63"/>
      <c r="I165" s="63"/>
      <c r="J165" s="266"/>
      <c r="K165" s="266"/>
      <c r="L165" s="266"/>
      <c r="M165" s="266"/>
      <c r="N165" s="266"/>
      <c r="O165" s="266"/>
      <c r="P165" s="266"/>
      <c r="Q165" s="266"/>
      <c r="R165" s="266"/>
      <c r="S165" s="266"/>
      <c r="T165" s="384"/>
      <c r="U165" s="266"/>
    </row>
    <row r="166" spans="1:21">
      <c r="A166" s="266"/>
      <c r="B166" s="63"/>
      <c r="C166" s="266"/>
      <c r="D166" s="266"/>
      <c r="E166" s="266"/>
      <c r="F166" s="266"/>
      <c r="G166" s="63"/>
      <c r="H166" s="63"/>
      <c r="I166" s="63"/>
      <c r="J166" s="266"/>
      <c r="K166" s="266"/>
      <c r="L166" s="266"/>
      <c r="M166" s="266"/>
      <c r="N166" s="266"/>
      <c r="O166" s="266"/>
      <c r="P166" s="266"/>
      <c r="Q166" s="266"/>
      <c r="R166" s="266"/>
      <c r="S166" s="266"/>
      <c r="T166" s="384"/>
      <c r="U166" s="266"/>
    </row>
    <row r="167" spans="1:21">
      <c r="A167" s="266"/>
      <c r="B167" s="63"/>
      <c r="C167" s="266"/>
      <c r="D167" s="266"/>
      <c r="E167" s="266"/>
      <c r="F167" s="266"/>
      <c r="G167" s="63"/>
      <c r="H167" s="63"/>
      <c r="I167" s="63"/>
      <c r="J167" s="266"/>
      <c r="K167" s="266"/>
      <c r="L167" s="266"/>
      <c r="M167" s="266"/>
      <c r="N167" s="266"/>
      <c r="O167" s="266"/>
      <c r="P167" s="266"/>
      <c r="Q167" s="266"/>
      <c r="R167" s="266"/>
      <c r="S167" s="266"/>
      <c r="T167" s="384"/>
      <c r="U167" s="266"/>
    </row>
    <row r="168" spans="1:21">
      <c r="A168" s="266"/>
      <c r="B168" s="63"/>
      <c r="C168" s="266"/>
      <c r="D168" s="266"/>
      <c r="E168" s="266"/>
      <c r="F168" s="266"/>
      <c r="G168" s="63"/>
      <c r="H168" s="63"/>
      <c r="I168" s="63"/>
      <c r="J168" s="266"/>
      <c r="K168" s="266"/>
      <c r="L168" s="266"/>
      <c r="M168" s="266"/>
      <c r="N168" s="266"/>
      <c r="O168" s="266"/>
      <c r="P168" s="266"/>
      <c r="Q168" s="266"/>
      <c r="R168" s="266"/>
      <c r="S168" s="266"/>
      <c r="T168" s="384"/>
      <c r="U168" s="266"/>
    </row>
    <row r="169" spans="1:21">
      <c r="A169" s="266"/>
      <c r="B169" s="63"/>
      <c r="C169" s="266"/>
      <c r="D169" s="266"/>
      <c r="E169" s="266"/>
      <c r="F169" s="266"/>
      <c r="G169" s="63"/>
      <c r="H169" s="63"/>
      <c r="I169" s="63"/>
      <c r="J169" s="266"/>
      <c r="K169" s="266"/>
      <c r="L169" s="266"/>
      <c r="M169" s="266"/>
      <c r="N169" s="266"/>
      <c r="O169" s="266"/>
      <c r="P169" s="266"/>
      <c r="Q169" s="266"/>
      <c r="R169" s="266"/>
      <c r="S169" s="266"/>
      <c r="T169" s="384"/>
      <c r="U169" s="266"/>
    </row>
    <row r="170" spans="1:21">
      <c r="A170" s="266"/>
      <c r="B170" s="63"/>
      <c r="C170" s="266"/>
      <c r="D170" s="266"/>
      <c r="E170" s="266"/>
      <c r="F170" s="266"/>
      <c r="G170" s="63"/>
      <c r="H170" s="63"/>
      <c r="I170" s="63"/>
      <c r="J170" s="266"/>
      <c r="K170" s="266"/>
      <c r="L170" s="266"/>
      <c r="M170" s="266"/>
      <c r="N170" s="266"/>
      <c r="O170" s="266"/>
      <c r="P170" s="266"/>
      <c r="Q170" s="266"/>
      <c r="R170" s="266"/>
      <c r="S170" s="266"/>
      <c r="T170" s="384"/>
      <c r="U170" s="266"/>
    </row>
    <row r="171" spans="1:21">
      <c r="A171" s="266"/>
      <c r="B171" s="63"/>
      <c r="C171" s="266"/>
      <c r="D171" s="266"/>
      <c r="E171" s="266"/>
      <c r="F171" s="266"/>
      <c r="G171" s="63"/>
      <c r="H171" s="63"/>
      <c r="I171" s="63"/>
      <c r="J171" s="266"/>
      <c r="K171" s="266"/>
      <c r="L171" s="266"/>
      <c r="M171" s="266"/>
      <c r="N171" s="266"/>
      <c r="O171" s="266"/>
      <c r="P171" s="266"/>
      <c r="Q171" s="266"/>
      <c r="R171" s="266"/>
      <c r="S171" s="266"/>
      <c r="T171" s="384"/>
      <c r="U171" s="266"/>
    </row>
    <row r="172" spans="1:21">
      <c r="A172" s="266"/>
      <c r="B172" s="63"/>
      <c r="C172" s="266"/>
      <c r="D172" s="266"/>
      <c r="E172" s="266"/>
      <c r="F172" s="266"/>
      <c r="G172" s="63"/>
      <c r="H172" s="63"/>
      <c r="I172" s="63"/>
      <c r="J172" s="266"/>
      <c r="K172" s="266"/>
      <c r="L172" s="266"/>
      <c r="M172" s="266"/>
      <c r="N172" s="266"/>
      <c r="O172" s="266"/>
      <c r="P172" s="266"/>
      <c r="Q172" s="266"/>
      <c r="R172" s="266"/>
      <c r="S172" s="266"/>
      <c r="T172" s="384"/>
      <c r="U172" s="266"/>
    </row>
    <row r="173" spans="1:21">
      <c r="A173" s="266"/>
      <c r="B173" s="63"/>
      <c r="C173" s="266"/>
      <c r="D173" s="266"/>
      <c r="E173" s="266"/>
      <c r="F173" s="266"/>
      <c r="G173" s="63"/>
      <c r="H173" s="63"/>
      <c r="I173" s="63"/>
      <c r="J173" s="266"/>
      <c r="K173" s="266"/>
      <c r="L173" s="266"/>
      <c r="M173" s="266"/>
      <c r="N173" s="266"/>
      <c r="O173" s="266"/>
      <c r="P173" s="266"/>
      <c r="Q173" s="266"/>
      <c r="R173" s="266"/>
      <c r="S173" s="266"/>
      <c r="T173" s="384"/>
      <c r="U173" s="266"/>
    </row>
    <row r="174" spans="1:21">
      <c r="A174" s="266"/>
      <c r="B174" s="63"/>
      <c r="C174" s="266"/>
      <c r="D174" s="266"/>
      <c r="E174" s="266"/>
      <c r="F174" s="266"/>
      <c r="G174" s="63"/>
      <c r="H174" s="63"/>
      <c r="I174" s="63"/>
      <c r="J174" s="266"/>
      <c r="K174" s="266"/>
      <c r="L174" s="266"/>
      <c r="M174" s="266"/>
      <c r="N174" s="266"/>
      <c r="O174" s="266"/>
      <c r="P174" s="266"/>
      <c r="Q174" s="266"/>
      <c r="R174" s="266"/>
      <c r="S174" s="266"/>
      <c r="T174" s="384"/>
      <c r="U174" s="266"/>
    </row>
    <row r="175" spans="1:21">
      <c r="A175" s="266"/>
      <c r="B175" s="63"/>
      <c r="C175" s="266"/>
      <c r="D175" s="266"/>
      <c r="E175" s="266"/>
      <c r="F175" s="266"/>
      <c r="G175" s="63"/>
      <c r="H175" s="63"/>
      <c r="I175" s="63"/>
      <c r="J175" s="266"/>
      <c r="K175" s="266"/>
      <c r="L175" s="266"/>
      <c r="M175" s="266"/>
      <c r="N175" s="266"/>
      <c r="O175" s="266"/>
      <c r="P175" s="266"/>
      <c r="Q175" s="266"/>
      <c r="R175" s="266"/>
      <c r="S175" s="266"/>
      <c r="T175" s="384"/>
      <c r="U175" s="266"/>
    </row>
    <row r="176" spans="1:21">
      <c r="A176" s="266"/>
      <c r="B176" s="63"/>
      <c r="C176" s="266"/>
      <c r="D176" s="266"/>
      <c r="E176" s="266"/>
      <c r="F176" s="266"/>
      <c r="G176" s="63"/>
      <c r="H176" s="63"/>
      <c r="I176" s="63"/>
      <c r="J176" s="266"/>
      <c r="K176" s="266"/>
      <c r="L176" s="266"/>
      <c r="M176" s="266"/>
      <c r="N176" s="266"/>
      <c r="O176" s="266"/>
      <c r="P176" s="266"/>
      <c r="Q176" s="266"/>
      <c r="R176" s="266"/>
      <c r="S176" s="266"/>
      <c r="T176" s="384"/>
      <c r="U176" s="266"/>
    </row>
    <row r="177" spans="1:21">
      <c r="A177" s="266"/>
      <c r="B177" s="63"/>
      <c r="C177" s="266"/>
      <c r="D177" s="266"/>
      <c r="E177" s="266"/>
      <c r="F177" s="266"/>
      <c r="G177" s="63"/>
      <c r="H177" s="63"/>
      <c r="I177" s="63"/>
      <c r="J177" s="266"/>
      <c r="K177" s="266"/>
      <c r="L177" s="266"/>
      <c r="M177" s="266"/>
      <c r="N177" s="266"/>
      <c r="O177" s="266"/>
      <c r="P177" s="266"/>
      <c r="Q177" s="266"/>
      <c r="R177" s="266"/>
      <c r="S177" s="266"/>
      <c r="T177" s="384"/>
      <c r="U177" s="266"/>
    </row>
    <row r="178" spans="1:21">
      <c r="A178" s="266"/>
      <c r="B178" s="63"/>
      <c r="C178" s="266"/>
      <c r="D178" s="266"/>
      <c r="E178" s="266"/>
      <c r="F178" s="266"/>
      <c r="G178" s="63"/>
      <c r="H178" s="63"/>
      <c r="I178" s="63"/>
      <c r="J178" s="266"/>
      <c r="K178" s="266"/>
      <c r="L178" s="266"/>
      <c r="M178" s="266"/>
      <c r="N178" s="266"/>
      <c r="O178" s="266"/>
      <c r="P178" s="266"/>
      <c r="Q178" s="266"/>
      <c r="R178" s="266"/>
      <c r="S178" s="266"/>
      <c r="T178" s="384"/>
      <c r="U178" s="266"/>
    </row>
    <row r="179" spans="1:21">
      <c r="A179" s="266"/>
      <c r="B179" s="63"/>
      <c r="C179" s="266"/>
      <c r="D179" s="266"/>
      <c r="E179" s="266"/>
      <c r="F179" s="266"/>
      <c r="G179" s="63"/>
      <c r="H179" s="63"/>
      <c r="I179" s="63"/>
      <c r="J179" s="266"/>
      <c r="K179" s="266"/>
      <c r="L179" s="266"/>
      <c r="M179" s="266"/>
      <c r="N179" s="266"/>
      <c r="O179" s="266"/>
      <c r="P179" s="266"/>
      <c r="Q179" s="266"/>
      <c r="R179" s="266"/>
      <c r="S179" s="266"/>
      <c r="T179" s="384"/>
      <c r="U179" s="266"/>
    </row>
  </sheetData>
  <dataConsolidate/>
  <mergeCells count="26">
    <mergeCell ref="A33:A35"/>
    <mergeCell ref="A36:A37"/>
    <mergeCell ref="A39:A40"/>
    <mergeCell ref="A9:A13"/>
    <mergeCell ref="A55:A56"/>
    <mergeCell ref="A41:A43"/>
    <mergeCell ref="A45:A48"/>
    <mergeCell ref="A49:A50"/>
    <mergeCell ref="A51:A52"/>
    <mergeCell ref="A53:A54"/>
    <mergeCell ref="A21:A24"/>
    <mergeCell ref="A26:A27"/>
    <mergeCell ref="V26:V27"/>
    <mergeCell ref="W26:W27"/>
    <mergeCell ref="A28:A32"/>
    <mergeCell ref="A4:A5"/>
    <mergeCell ref="A6:A8"/>
    <mergeCell ref="V7:W7"/>
    <mergeCell ref="V9:W13"/>
    <mergeCell ref="A15:A20"/>
    <mergeCell ref="AF55:AK55"/>
    <mergeCell ref="X62:AC62"/>
    <mergeCell ref="C1:K1"/>
    <mergeCell ref="M1:U1"/>
    <mergeCell ref="V3:W3"/>
    <mergeCell ref="X42:AC42"/>
  </mergeCells>
  <conditionalFormatting sqref="T3:T56">
    <cfRule type="cellIs" dxfId="61" priority="9" operator="lessThan">
      <formula>0</formula>
    </cfRule>
  </conditionalFormatting>
  <conditionalFormatting sqref="U3:U56">
    <cfRule type="containsText" dxfId="60" priority="8" operator="containsText" text="Yes">
      <formula>NOT(ISERROR(SEARCH("Yes",U3)))</formula>
    </cfRule>
  </conditionalFormatting>
  <conditionalFormatting sqref="S3:S56">
    <cfRule type="expression" dxfId="59" priority="7">
      <formula>(S3&lt;O3)</formula>
    </cfRule>
  </conditionalFormatting>
  <conditionalFormatting sqref="Y44:AD55">
    <cfRule type="cellIs" dxfId="58" priority="6" operator="greaterThan">
      <formula>0</formula>
    </cfRule>
  </conditionalFormatting>
  <conditionalFormatting sqref="AH72:AL72">
    <cfRule type="cellIs" dxfId="57" priority="5" operator="greaterThan">
      <formula>0</formula>
    </cfRule>
  </conditionalFormatting>
  <conditionalFormatting sqref="AG57:AL68">
    <cfRule type="cellIs" dxfId="56" priority="4" operator="greaterThan">
      <formula>0</formula>
    </cfRule>
  </conditionalFormatting>
  <conditionalFormatting sqref="AD64:AD75">
    <cfRule type="cellIs" dxfId="55" priority="3" operator="greaterThan">
      <formula>0</formula>
    </cfRule>
  </conditionalFormatting>
  <conditionalFormatting sqref="Z64:AC75">
    <cfRule type="cellIs" dxfId="54" priority="2" operator="greaterThan">
      <formula>0</formula>
    </cfRule>
  </conditionalFormatting>
  <conditionalFormatting sqref="Y64:Y75">
    <cfRule type="cellIs" dxfId="53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9"/>
  <sheetViews>
    <sheetView topLeftCell="V38" zoomScale="110" zoomScaleNormal="110" workbookViewId="0">
      <selection activeCell="X62" sqref="X62:AD78"/>
    </sheetView>
  </sheetViews>
  <sheetFormatPr defaultColWidth="9" defaultRowHeight="12.75"/>
  <cols>
    <col min="1" max="1" width="13.42578125" style="5" customWidth="1"/>
    <col min="2" max="2" width="22.7109375" style="62" customWidth="1"/>
    <col min="3" max="3" width="26.7109375" style="58" customWidth="1"/>
    <col min="4" max="4" width="16.85546875" style="58" customWidth="1"/>
    <col min="5" max="5" width="19.42578125" style="58" customWidth="1"/>
    <col min="6" max="6" width="16.7109375" style="61" customWidth="1"/>
    <col min="7" max="9" width="23.7109375" style="60" customWidth="1"/>
    <col min="10" max="11" width="16.140625" style="58" customWidth="1"/>
    <col min="12" max="12" width="28.85546875" style="58" customWidth="1"/>
    <col min="13" max="13" width="17.7109375" style="58" customWidth="1"/>
    <col min="14" max="14" width="16.140625" style="58" customWidth="1"/>
    <col min="15" max="16" width="17.7109375" style="58" customWidth="1"/>
    <col min="17" max="17" width="21.28515625" style="58" customWidth="1"/>
    <col min="18" max="18" width="23.28515625" style="58" customWidth="1"/>
    <col min="19" max="19" width="17.5703125" style="61" customWidth="1"/>
    <col min="20" max="20" width="33.85546875" style="10" customWidth="1"/>
    <col min="21" max="21" width="27" style="58" customWidth="1"/>
    <col min="22" max="22" width="23" style="57" customWidth="1"/>
    <col min="23" max="23" width="22.85546875" style="5" customWidth="1"/>
    <col min="24" max="24" width="23.7109375" style="5" customWidth="1"/>
    <col min="25" max="25" width="21.5703125" style="5" customWidth="1"/>
    <col min="26" max="26" width="26" style="5" customWidth="1"/>
    <col min="27" max="27" width="16.42578125" style="5" customWidth="1"/>
    <col min="28" max="16384" width="9" style="5"/>
  </cols>
  <sheetData>
    <row r="1" spans="1:34" ht="14.25" customHeight="1">
      <c r="A1" s="184"/>
      <c r="B1" s="185"/>
      <c r="C1" s="572" t="s">
        <v>450</v>
      </c>
      <c r="D1" s="573"/>
      <c r="E1" s="573"/>
      <c r="F1" s="573"/>
      <c r="G1" s="573"/>
      <c r="H1" s="573"/>
      <c r="I1" s="573"/>
      <c r="J1" s="573"/>
      <c r="K1" s="574"/>
      <c r="L1" s="373"/>
      <c r="M1" s="570" t="s">
        <v>449</v>
      </c>
      <c r="N1" s="571"/>
      <c r="O1" s="571"/>
      <c r="P1" s="571"/>
      <c r="Q1" s="571"/>
      <c r="R1" s="571"/>
      <c r="S1" s="571"/>
      <c r="T1" s="571"/>
      <c r="U1" s="623"/>
    </row>
    <row r="2" spans="1:34" ht="13.5" thickBot="1">
      <c r="A2" s="184" t="s">
        <v>448</v>
      </c>
      <c r="B2" s="183" t="s">
        <v>447</v>
      </c>
      <c r="C2" s="182" t="s">
        <v>446</v>
      </c>
      <c r="D2" s="181" t="s">
        <v>34</v>
      </c>
      <c r="E2" s="181" t="s">
        <v>463</v>
      </c>
      <c r="F2" s="181" t="s">
        <v>445</v>
      </c>
      <c r="G2" s="181" t="s">
        <v>456</v>
      </c>
      <c r="H2" s="181" t="s">
        <v>457</v>
      </c>
      <c r="I2" s="181" t="s">
        <v>464</v>
      </c>
      <c r="J2" s="181" t="s">
        <v>33</v>
      </c>
      <c r="K2" s="180" t="s">
        <v>442</v>
      </c>
      <c r="L2" s="231" t="s">
        <v>455</v>
      </c>
      <c r="M2" s="179" t="s">
        <v>444</v>
      </c>
      <c r="N2" s="179" t="s">
        <v>34</v>
      </c>
      <c r="O2" s="179" t="s">
        <v>41</v>
      </c>
      <c r="P2" s="178" t="s">
        <v>443</v>
      </c>
      <c r="Q2" s="177" t="s">
        <v>456</v>
      </c>
      <c r="R2" s="250" t="s">
        <v>458</v>
      </c>
      <c r="S2" s="177" t="s">
        <v>33</v>
      </c>
      <c r="T2" s="179" t="s">
        <v>442</v>
      </c>
      <c r="U2" s="222" t="s">
        <v>454</v>
      </c>
      <c r="V2" s="382" t="s">
        <v>438</v>
      </c>
      <c r="W2" s="382" t="s">
        <v>453</v>
      </c>
    </row>
    <row r="3" spans="1:34" ht="13.5" thickBot="1">
      <c r="A3" s="151" t="s">
        <v>436</v>
      </c>
      <c r="B3" s="172" t="s">
        <v>435</v>
      </c>
      <c r="C3" s="171" t="s">
        <v>434</v>
      </c>
      <c r="D3" s="170">
        <v>386.9</v>
      </c>
      <c r="E3" s="82">
        <f>IF(D3&lt;135,300, IF(AND(D3&gt;135,D3&lt;288),250, IF(AND(D3&gt;288,D3&lt;537),200,IF(AND(D3&gt;537,D3&lt;1096),150,100))))</f>
        <v>200</v>
      </c>
      <c r="F3" s="170">
        <v>131.95400000000001</v>
      </c>
      <c r="G3" s="82">
        <v>2.5</v>
      </c>
      <c r="H3" s="82">
        <f>G3*F3</f>
        <v>329.88499999999999</v>
      </c>
      <c r="I3" s="81">
        <f>CEILING(H3/(0.84*E3),1)</f>
        <v>2</v>
      </c>
      <c r="J3" s="269">
        <f t="shared" ref="J3:J13" si="0">E3*I3</f>
        <v>400</v>
      </c>
      <c r="K3" s="81">
        <f t="shared" ref="K3:K56" si="1">J3-H3</f>
        <v>70.115000000000009</v>
      </c>
      <c r="L3" s="82">
        <f>H3/J3 * 100</f>
        <v>82.471249999999998</v>
      </c>
      <c r="M3" s="168" t="s">
        <v>433</v>
      </c>
      <c r="N3" s="168">
        <v>598.85</v>
      </c>
      <c r="O3" s="168">
        <f>IF(N3&lt;135,300, IF(AND(N3&gt;135,N3&lt;288),250, IF(AND(N3&gt;288,N3&lt;537),200,IF(AND(N3&gt;537,N3&lt;1096),150,100))))</f>
        <v>150</v>
      </c>
      <c r="P3" s="168">
        <f>F3</f>
        <v>131.95400000000001</v>
      </c>
      <c r="Q3" s="79">
        <v>2.5</v>
      </c>
      <c r="R3" s="79">
        <f>P3*Q3</f>
        <v>329.88499999999999</v>
      </c>
      <c r="S3" s="168">
        <f t="shared" ref="S3:S13" si="2">O3*I3</f>
        <v>300</v>
      </c>
      <c r="T3" s="228">
        <f t="shared" ref="T3:T13" si="3">S3-R3</f>
        <v>-29.884999999999991</v>
      </c>
      <c r="U3" s="216" t="str">
        <f t="shared" ref="U3:U13" si="4">IF(T3&gt;=0,"No","Yes")</f>
        <v>Yes</v>
      </c>
      <c r="V3" s="643" t="s">
        <v>351</v>
      </c>
      <c r="W3" s="631"/>
    </row>
    <row r="4" spans="1:34" ht="13.5" thickBot="1">
      <c r="A4" s="575" t="s">
        <v>44</v>
      </c>
      <c r="B4" s="165" t="s">
        <v>3</v>
      </c>
      <c r="C4" s="164" t="s">
        <v>44</v>
      </c>
      <c r="D4" s="163">
        <v>424.31</v>
      </c>
      <c r="E4" s="243">
        <f t="shared" ref="E4:E56" si="5">IF(D4&lt;135,300, IF(AND(D4&gt;135,D4&lt;288),250, IF(AND(D4&gt;288,D4&lt;537),200,IF(AND(D4&gt;537,D4&lt;1096),150,100))))</f>
        <v>200</v>
      </c>
      <c r="F4" s="163">
        <v>79.758499999999998</v>
      </c>
      <c r="G4" s="82">
        <v>2.5</v>
      </c>
      <c r="H4" s="82">
        <f t="shared" ref="H4:H56" si="6">G4*F4</f>
        <v>199.39625000000001</v>
      </c>
      <c r="I4" s="81">
        <f t="shared" ref="I4:I56" si="7">CEILING(H4/(0.84*E4),1)</f>
        <v>2</v>
      </c>
      <c r="J4" s="270">
        <f t="shared" si="0"/>
        <v>400</v>
      </c>
      <c r="K4" s="81">
        <f t="shared" si="1"/>
        <v>200.60374999999999</v>
      </c>
      <c r="L4" s="82">
        <f t="shared" ref="L4:L56" si="8">H4/J4 * 100</f>
        <v>49.849062500000002</v>
      </c>
      <c r="M4" s="161" t="s">
        <v>432</v>
      </c>
      <c r="N4" s="162">
        <v>561.44000000000005</v>
      </c>
      <c r="O4" s="168">
        <f t="shared" ref="O4:O56" si="9">IF(N4&lt;135,300, IF(AND(N4&gt;135,N4&lt;288),250, IF(AND(N4&gt;288,N4&lt;537),200,IF(AND(N4&gt;537,N4&lt;1096),150,100))))</f>
        <v>150</v>
      </c>
      <c r="P4" s="168">
        <f t="shared" ref="P4:P13" si="10">F4</f>
        <v>79.758499999999998</v>
      </c>
      <c r="Q4" s="79">
        <v>2.5</v>
      </c>
      <c r="R4" s="251">
        <f t="shared" ref="R4:R56" si="11">P4*Q4</f>
        <v>199.39625000000001</v>
      </c>
      <c r="S4" s="168">
        <f t="shared" si="2"/>
        <v>300</v>
      </c>
      <c r="T4" s="228">
        <f t="shared" si="3"/>
        <v>100.60374999999999</v>
      </c>
      <c r="U4" s="216" t="str">
        <f t="shared" si="4"/>
        <v>No</v>
      </c>
    </row>
    <row r="5" spans="1:34" ht="14.25" customHeight="1" thickBot="1">
      <c r="A5" s="564"/>
      <c r="B5" s="62" t="s">
        <v>25</v>
      </c>
      <c r="C5" s="111" t="s">
        <v>65</v>
      </c>
      <c r="D5" s="92">
        <v>645.40499999999997</v>
      </c>
      <c r="E5" s="245">
        <f t="shared" si="5"/>
        <v>150</v>
      </c>
      <c r="F5" s="92">
        <v>101.52370000000001</v>
      </c>
      <c r="G5" s="82">
        <v>2.5</v>
      </c>
      <c r="H5" s="92">
        <f t="shared" si="6"/>
        <v>253.80925000000002</v>
      </c>
      <c r="I5" s="81">
        <f t="shared" si="7"/>
        <v>3</v>
      </c>
      <c r="J5" s="274">
        <f t="shared" si="0"/>
        <v>450</v>
      </c>
      <c r="K5" s="81">
        <f t="shared" si="1"/>
        <v>196.19074999999998</v>
      </c>
      <c r="L5" s="82">
        <f t="shared" si="8"/>
        <v>56.402055555555563</v>
      </c>
      <c r="M5" s="88" t="s">
        <v>427</v>
      </c>
      <c r="N5" s="90">
        <v>691.82</v>
      </c>
      <c r="O5" s="168">
        <f t="shared" si="9"/>
        <v>150</v>
      </c>
      <c r="P5" s="168">
        <f t="shared" si="10"/>
        <v>101.52370000000001</v>
      </c>
      <c r="Q5" s="79">
        <v>2.5</v>
      </c>
      <c r="R5" s="252">
        <f t="shared" si="11"/>
        <v>253.80925000000002</v>
      </c>
      <c r="S5" s="168">
        <f t="shared" si="2"/>
        <v>450</v>
      </c>
      <c r="T5" s="228">
        <f t="shared" si="3"/>
        <v>196.19074999999998</v>
      </c>
      <c r="U5" s="216" t="str">
        <f t="shared" si="4"/>
        <v>No</v>
      </c>
    </row>
    <row r="6" spans="1:34" ht="13.5" thickBot="1">
      <c r="A6" s="562" t="s">
        <v>431</v>
      </c>
      <c r="B6" s="84" t="s">
        <v>430</v>
      </c>
      <c r="C6" s="83" t="s">
        <v>390</v>
      </c>
      <c r="D6" s="82">
        <v>774.56</v>
      </c>
      <c r="E6" s="243">
        <f t="shared" si="5"/>
        <v>150</v>
      </c>
      <c r="F6" s="82">
        <v>593.39</v>
      </c>
      <c r="G6" s="82">
        <v>2.5</v>
      </c>
      <c r="H6" s="82">
        <f t="shared" si="6"/>
        <v>1483.4749999999999</v>
      </c>
      <c r="I6" s="81">
        <f t="shared" si="7"/>
        <v>12</v>
      </c>
      <c r="J6" s="270">
        <f t="shared" si="0"/>
        <v>1800</v>
      </c>
      <c r="K6" s="81">
        <f t="shared" si="1"/>
        <v>316.52500000000009</v>
      </c>
      <c r="L6" s="82">
        <f t="shared" si="8"/>
        <v>82.415277777777774</v>
      </c>
      <c r="M6" s="98" t="s">
        <v>429</v>
      </c>
      <c r="N6" s="80">
        <v>778.62</v>
      </c>
      <c r="O6" s="168">
        <f t="shared" si="9"/>
        <v>150</v>
      </c>
      <c r="P6" s="168">
        <f t="shared" si="10"/>
        <v>593.39</v>
      </c>
      <c r="Q6" s="79">
        <v>2.5</v>
      </c>
      <c r="R6" s="251">
        <f t="shared" si="11"/>
        <v>1483.4749999999999</v>
      </c>
      <c r="S6" s="168">
        <f t="shared" si="2"/>
        <v>1800</v>
      </c>
      <c r="T6" s="228">
        <f t="shared" si="3"/>
        <v>316.52500000000009</v>
      </c>
      <c r="U6" s="216" t="str">
        <f t="shared" si="4"/>
        <v>No</v>
      </c>
    </row>
    <row r="7" spans="1:34" ht="14.25" customHeight="1" thickBot="1">
      <c r="A7" s="564"/>
      <c r="B7" s="94" t="s">
        <v>4</v>
      </c>
      <c r="C7" s="93" t="s">
        <v>45</v>
      </c>
      <c r="D7" s="105">
        <v>221.095</v>
      </c>
      <c r="E7" s="245">
        <f t="shared" si="5"/>
        <v>250</v>
      </c>
      <c r="F7" s="105">
        <v>165.54</v>
      </c>
      <c r="G7" s="82">
        <v>2.5</v>
      </c>
      <c r="H7" s="92">
        <f t="shared" si="6"/>
        <v>413.84999999999997</v>
      </c>
      <c r="I7" s="81">
        <f t="shared" si="7"/>
        <v>2</v>
      </c>
      <c r="J7" s="274">
        <f t="shared" si="0"/>
        <v>500</v>
      </c>
      <c r="K7" s="81">
        <f t="shared" si="1"/>
        <v>86.150000000000034</v>
      </c>
      <c r="L7" s="82">
        <f t="shared" si="8"/>
        <v>82.769999999999982</v>
      </c>
      <c r="M7" s="99" t="s">
        <v>428</v>
      </c>
      <c r="N7" s="104">
        <v>904.18</v>
      </c>
      <c r="O7" s="168">
        <f t="shared" si="9"/>
        <v>150</v>
      </c>
      <c r="P7" s="168">
        <f t="shared" si="10"/>
        <v>165.54</v>
      </c>
      <c r="Q7" s="79">
        <v>2.5</v>
      </c>
      <c r="R7" s="252">
        <f t="shared" si="11"/>
        <v>413.84999999999997</v>
      </c>
      <c r="S7" s="168">
        <f t="shared" si="2"/>
        <v>300</v>
      </c>
      <c r="T7" s="228">
        <f t="shared" si="3"/>
        <v>-113.84999999999997</v>
      </c>
      <c r="U7" s="216" t="str">
        <f t="shared" si="4"/>
        <v>Yes</v>
      </c>
      <c r="V7" s="643" t="s">
        <v>351</v>
      </c>
      <c r="W7" s="631"/>
    </row>
    <row r="8" spans="1:34" ht="14.25" customHeight="1" thickBot="1">
      <c r="A8" s="564"/>
      <c r="B8" s="94" t="s">
        <v>25</v>
      </c>
      <c r="C8" s="93" t="s">
        <v>65</v>
      </c>
      <c r="D8" s="92">
        <v>645.40499999999997</v>
      </c>
      <c r="E8" s="245">
        <f t="shared" si="5"/>
        <v>150</v>
      </c>
      <c r="F8" s="92">
        <v>101.52370000000001</v>
      </c>
      <c r="G8" s="82">
        <v>2.5</v>
      </c>
      <c r="H8" s="92">
        <f t="shared" si="6"/>
        <v>253.80925000000002</v>
      </c>
      <c r="I8" s="81">
        <f t="shared" si="7"/>
        <v>3</v>
      </c>
      <c r="J8" s="274">
        <f t="shared" si="0"/>
        <v>450</v>
      </c>
      <c r="K8" s="81">
        <f t="shared" si="1"/>
        <v>196.19074999999998</v>
      </c>
      <c r="L8" s="82">
        <f t="shared" si="8"/>
        <v>56.402055555555563</v>
      </c>
      <c r="M8" s="88" t="s">
        <v>427</v>
      </c>
      <c r="N8" s="90">
        <v>691.82</v>
      </c>
      <c r="O8" s="168">
        <f t="shared" si="9"/>
        <v>150</v>
      </c>
      <c r="P8" s="168">
        <f t="shared" si="10"/>
        <v>101.52370000000001</v>
      </c>
      <c r="Q8" s="79">
        <v>2.5</v>
      </c>
      <c r="R8" s="252">
        <f t="shared" si="11"/>
        <v>253.80925000000002</v>
      </c>
      <c r="S8" s="168">
        <f t="shared" si="2"/>
        <v>450</v>
      </c>
      <c r="T8" s="228">
        <f t="shared" si="3"/>
        <v>196.19074999999998</v>
      </c>
      <c r="U8" s="216" t="str">
        <f t="shared" si="4"/>
        <v>No</v>
      </c>
    </row>
    <row r="9" spans="1:34" ht="15" customHeight="1" thickBot="1">
      <c r="A9" s="562" t="s">
        <v>46</v>
      </c>
      <c r="B9" s="84" t="s">
        <v>5</v>
      </c>
      <c r="C9" s="83" t="s">
        <v>46</v>
      </c>
      <c r="D9" s="82">
        <v>87.444999999999993</v>
      </c>
      <c r="E9" s="243">
        <f t="shared" si="5"/>
        <v>300</v>
      </c>
      <c r="F9" s="82">
        <v>330.03719999999998</v>
      </c>
      <c r="G9" s="82">
        <v>2.5</v>
      </c>
      <c r="H9" s="82">
        <f t="shared" si="6"/>
        <v>825.09299999999996</v>
      </c>
      <c r="I9" s="81">
        <f t="shared" si="7"/>
        <v>4</v>
      </c>
      <c r="J9" s="270">
        <f t="shared" si="0"/>
        <v>1200</v>
      </c>
      <c r="K9" s="81">
        <f t="shared" si="1"/>
        <v>374.90700000000004</v>
      </c>
      <c r="L9" s="82">
        <f t="shared" si="8"/>
        <v>68.757750000000001</v>
      </c>
      <c r="M9" s="98" t="s">
        <v>426</v>
      </c>
      <c r="N9" s="80">
        <v>243.73500000000001</v>
      </c>
      <c r="O9" s="168">
        <f t="shared" si="9"/>
        <v>250</v>
      </c>
      <c r="P9" s="168">
        <f t="shared" si="10"/>
        <v>330.03719999999998</v>
      </c>
      <c r="Q9" s="79">
        <v>2.5</v>
      </c>
      <c r="R9" s="251">
        <f t="shared" si="11"/>
        <v>825.09299999999996</v>
      </c>
      <c r="S9" s="168">
        <f t="shared" si="2"/>
        <v>1000</v>
      </c>
      <c r="T9" s="228">
        <f t="shared" si="3"/>
        <v>174.90700000000004</v>
      </c>
      <c r="U9" s="216" t="str">
        <f t="shared" si="4"/>
        <v>No</v>
      </c>
      <c r="V9" s="644" t="s">
        <v>351</v>
      </c>
      <c r="W9" s="633"/>
    </row>
    <row r="10" spans="1:34" ht="14.25" customHeight="1" thickBot="1">
      <c r="A10" s="564"/>
      <c r="B10" s="94" t="s">
        <v>7</v>
      </c>
      <c r="C10" s="93" t="s">
        <v>48</v>
      </c>
      <c r="D10" s="105">
        <v>457.755</v>
      </c>
      <c r="E10" s="245">
        <f t="shared" si="5"/>
        <v>200</v>
      </c>
      <c r="F10" s="105">
        <v>200.11</v>
      </c>
      <c r="G10" s="82">
        <v>2.5</v>
      </c>
      <c r="H10" s="92">
        <f t="shared" si="6"/>
        <v>500.27500000000003</v>
      </c>
      <c r="I10" s="81">
        <f t="shared" si="7"/>
        <v>3</v>
      </c>
      <c r="J10" s="274">
        <f t="shared" si="0"/>
        <v>600</v>
      </c>
      <c r="K10" s="81">
        <f t="shared" si="1"/>
        <v>99.724999999999966</v>
      </c>
      <c r="L10" s="82">
        <f t="shared" si="8"/>
        <v>83.379166666666677</v>
      </c>
      <c r="M10" s="99" t="s">
        <v>425</v>
      </c>
      <c r="N10" s="104">
        <v>614.06500000000005</v>
      </c>
      <c r="O10" s="168">
        <f t="shared" si="9"/>
        <v>150</v>
      </c>
      <c r="P10" s="168">
        <f t="shared" si="10"/>
        <v>200.11</v>
      </c>
      <c r="Q10" s="79">
        <v>2.5</v>
      </c>
      <c r="R10" s="252">
        <f t="shared" si="11"/>
        <v>500.27500000000003</v>
      </c>
      <c r="S10" s="168">
        <f t="shared" si="2"/>
        <v>450</v>
      </c>
      <c r="T10" s="228">
        <f t="shared" si="3"/>
        <v>-50.275000000000034</v>
      </c>
      <c r="U10" s="216" t="str">
        <f t="shared" si="4"/>
        <v>Yes</v>
      </c>
      <c r="V10" s="645"/>
      <c r="W10" s="635"/>
    </row>
    <row r="11" spans="1:34" ht="14.25" customHeight="1" thickBot="1">
      <c r="A11" s="564"/>
      <c r="B11" s="94" t="s">
        <v>8</v>
      </c>
      <c r="C11" s="93" t="s">
        <v>74</v>
      </c>
      <c r="D11" s="105">
        <v>632.29</v>
      </c>
      <c r="E11" s="245">
        <f t="shared" si="5"/>
        <v>150</v>
      </c>
      <c r="F11" s="105">
        <v>416.14780000000002</v>
      </c>
      <c r="G11" s="82">
        <v>2.5</v>
      </c>
      <c r="H11" s="92">
        <f t="shared" si="6"/>
        <v>1040.3695</v>
      </c>
      <c r="I11" s="81">
        <f t="shared" si="7"/>
        <v>9</v>
      </c>
      <c r="J11" s="274">
        <f t="shared" si="0"/>
        <v>1350</v>
      </c>
      <c r="K11" s="81">
        <f t="shared" si="1"/>
        <v>309.63049999999998</v>
      </c>
      <c r="L11" s="82">
        <f t="shared" si="8"/>
        <v>77.064407407407415</v>
      </c>
      <c r="M11" s="99" t="s">
        <v>424</v>
      </c>
      <c r="N11" s="104">
        <v>692.19500000000005</v>
      </c>
      <c r="O11" s="168">
        <f t="shared" si="9"/>
        <v>150</v>
      </c>
      <c r="P11" s="168">
        <f t="shared" si="10"/>
        <v>416.14780000000002</v>
      </c>
      <c r="Q11" s="79">
        <v>2.5</v>
      </c>
      <c r="R11" s="252">
        <f t="shared" si="11"/>
        <v>1040.3695</v>
      </c>
      <c r="S11" s="168">
        <f t="shared" si="2"/>
        <v>1350</v>
      </c>
      <c r="T11" s="228">
        <f t="shared" si="3"/>
        <v>309.63049999999998</v>
      </c>
      <c r="U11" s="216" t="str">
        <f t="shared" si="4"/>
        <v>No</v>
      </c>
      <c r="V11" s="645"/>
      <c r="W11" s="635"/>
      <c r="AG11" s="382" t="s">
        <v>438</v>
      </c>
      <c r="AH11" s="382" t="s">
        <v>453</v>
      </c>
    </row>
    <row r="12" spans="1:34" ht="14.25" customHeight="1" thickBot="1">
      <c r="A12" s="564"/>
      <c r="B12" s="94" t="s">
        <v>12</v>
      </c>
      <c r="C12" s="93" t="s">
        <v>52</v>
      </c>
      <c r="D12" s="105">
        <v>428.91</v>
      </c>
      <c r="E12" s="245">
        <f t="shared" si="5"/>
        <v>200</v>
      </c>
      <c r="F12" s="105">
        <v>320.77999999999997</v>
      </c>
      <c r="G12" s="82">
        <v>2.5</v>
      </c>
      <c r="H12" s="92">
        <f t="shared" si="6"/>
        <v>801.94999999999993</v>
      </c>
      <c r="I12" s="81">
        <f t="shared" si="7"/>
        <v>5</v>
      </c>
      <c r="J12" s="274">
        <f t="shared" si="0"/>
        <v>1000</v>
      </c>
      <c r="K12" s="81">
        <f t="shared" si="1"/>
        <v>198.05000000000007</v>
      </c>
      <c r="L12" s="82">
        <f t="shared" si="8"/>
        <v>80.194999999999993</v>
      </c>
      <c r="M12" s="99" t="s">
        <v>418</v>
      </c>
      <c r="N12" s="104">
        <v>440.09</v>
      </c>
      <c r="O12" s="168">
        <f t="shared" si="9"/>
        <v>200</v>
      </c>
      <c r="P12" s="168">
        <f t="shared" si="10"/>
        <v>320.77999999999997</v>
      </c>
      <c r="Q12" s="79">
        <v>2.5</v>
      </c>
      <c r="R12" s="252">
        <f t="shared" si="11"/>
        <v>801.94999999999993</v>
      </c>
      <c r="S12" s="168">
        <f t="shared" si="2"/>
        <v>1000</v>
      </c>
      <c r="T12" s="228">
        <f t="shared" si="3"/>
        <v>198.05000000000007</v>
      </c>
      <c r="U12" s="216" t="str">
        <f t="shared" si="4"/>
        <v>No</v>
      </c>
      <c r="V12" s="645"/>
      <c r="W12" s="635"/>
      <c r="AG12" s="203"/>
      <c r="AH12" s="202"/>
    </row>
    <row r="13" spans="1:34" ht="14.25" customHeight="1" thickBot="1">
      <c r="A13" s="564"/>
      <c r="B13" s="94" t="s">
        <v>394</v>
      </c>
      <c r="C13" s="93" t="s">
        <v>63</v>
      </c>
      <c r="D13" s="92">
        <v>530.30999999999995</v>
      </c>
      <c r="E13" s="244">
        <f t="shared" si="5"/>
        <v>200</v>
      </c>
      <c r="F13" s="92">
        <v>22.35</v>
      </c>
      <c r="G13" s="82">
        <v>2.5</v>
      </c>
      <c r="H13" s="72">
        <f t="shared" si="6"/>
        <v>55.875</v>
      </c>
      <c r="I13" s="81">
        <f t="shared" si="7"/>
        <v>1</v>
      </c>
      <c r="J13" s="272">
        <f t="shared" si="0"/>
        <v>200</v>
      </c>
      <c r="K13" s="81">
        <f t="shared" si="1"/>
        <v>144.125</v>
      </c>
      <c r="L13" s="82">
        <f t="shared" si="8"/>
        <v>27.9375</v>
      </c>
      <c r="M13" s="88" t="s">
        <v>416</v>
      </c>
      <c r="N13" s="90">
        <v>541.49</v>
      </c>
      <c r="O13" s="168">
        <f t="shared" si="9"/>
        <v>150</v>
      </c>
      <c r="P13" s="168">
        <f t="shared" si="10"/>
        <v>22.35</v>
      </c>
      <c r="Q13" s="79">
        <v>2.5</v>
      </c>
      <c r="R13" s="253">
        <f t="shared" si="11"/>
        <v>55.875</v>
      </c>
      <c r="S13" s="168">
        <f t="shared" si="2"/>
        <v>150</v>
      </c>
      <c r="T13" s="228">
        <f t="shared" si="3"/>
        <v>94.125</v>
      </c>
      <c r="U13" s="216" t="str">
        <f t="shared" si="4"/>
        <v>No</v>
      </c>
      <c r="V13" s="646"/>
      <c r="W13" s="637"/>
      <c r="AG13" s="230" t="s">
        <v>351</v>
      </c>
      <c r="AH13" s="217" t="s">
        <v>351</v>
      </c>
    </row>
    <row r="14" spans="1:34" ht="13.5" thickBot="1">
      <c r="A14" s="372" t="s">
        <v>424</v>
      </c>
      <c r="B14" s="84" t="s">
        <v>351</v>
      </c>
      <c r="C14" s="150"/>
      <c r="D14" s="82"/>
      <c r="E14" s="92">
        <f t="shared" si="5"/>
        <v>300</v>
      </c>
      <c r="F14" s="82"/>
      <c r="G14" s="82">
        <v>2.5</v>
      </c>
      <c r="H14" s="92">
        <f t="shared" si="6"/>
        <v>0</v>
      </c>
      <c r="I14" s="81">
        <f t="shared" si="7"/>
        <v>0</v>
      </c>
      <c r="J14" s="268"/>
      <c r="K14" s="81">
        <f t="shared" si="1"/>
        <v>0</v>
      </c>
      <c r="L14" s="82"/>
      <c r="M14" s="80"/>
      <c r="N14" s="80"/>
      <c r="O14" s="168">
        <f t="shared" si="9"/>
        <v>300</v>
      </c>
      <c r="P14" s="80"/>
      <c r="Q14" s="79">
        <v>2.5</v>
      </c>
      <c r="R14" s="89">
        <f t="shared" si="11"/>
        <v>0</v>
      </c>
      <c r="S14" s="80"/>
      <c r="T14" s="191"/>
      <c r="U14" s="80"/>
      <c r="V14" s="223"/>
      <c r="AG14" s="229"/>
      <c r="AH14" s="217"/>
    </row>
    <row r="15" spans="1:34" ht="13.5" thickBot="1">
      <c r="A15" s="562" t="s">
        <v>49</v>
      </c>
      <c r="B15" s="84" t="s">
        <v>423</v>
      </c>
      <c r="C15" s="83" t="s">
        <v>47</v>
      </c>
      <c r="D15" s="82">
        <v>341.36500000000001</v>
      </c>
      <c r="E15" s="243">
        <f t="shared" si="5"/>
        <v>200</v>
      </c>
      <c r="F15" s="82">
        <v>414.50749999999999</v>
      </c>
      <c r="G15" s="82">
        <v>2.5</v>
      </c>
      <c r="H15" s="82">
        <f t="shared" si="6"/>
        <v>1036.26875</v>
      </c>
      <c r="I15" s="81">
        <f t="shared" si="7"/>
        <v>7</v>
      </c>
      <c r="J15" s="270">
        <f t="shared" ref="J15:J24" si="12">I15*E15</f>
        <v>1400</v>
      </c>
      <c r="K15" s="81">
        <f t="shared" si="1"/>
        <v>363.73125000000005</v>
      </c>
      <c r="L15" s="82">
        <f t="shared" si="8"/>
        <v>74.019196428571419</v>
      </c>
      <c r="M15" s="98" t="s">
        <v>422</v>
      </c>
      <c r="N15" s="80">
        <v>527.53499999999997</v>
      </c>
      <c r="O15" s="168">
        <f t="shared" si="9"/>
        <v>200</v>
      </c>
      <c r="P15" s="80">
        <f>F15</f>
        <v>414.50749999999999</v>
      </c>
      <c r="Q15" s="79">
        <v>2.5</v>
      </c>
      <c r="R15" s="251">
        <f t="shared" si="11"/>
        <v>1036.26875</v>
      </c>
      <c r="S15" s="80">
        <f t="shared" ref="S15:S24" si="13">O15*I15</f>
        <v>1400</v>
      </c>
      <c r="T15" s="188">
        <f t="shared" ref="T15:T24" si="14">S15-R15</f>
        <v>363.73125000000005</v>
      </c>
      <c r="U15" s="79" t="str">
        <f t="shared" ref="U15:U24" si="15">IF(T15&gt;=0,"No","Yes")</f>
        <v>No</v>
      </c>
      <c r="V15" s="223"/>
      <c r="AG15" s="213"/>
      <c r="AH15" s="213"/>
    </row>
    <row r="16" spans="1:34" ht="14.25" customHeight="1" thickBot="1">
      <c r="A16" s="564"/>
      <c r="B16" s="94" t="s">
        <v>9</v>
      </c>
      <c r="C16" s="93" t="s">
        <v>421</v>
      </c>
      <c r="D16" s="105">
        <v>72.555000000000007</v>
      </c>
      <c r="E16" s="245">
        <f t="shared" si="5"/>
        <v>300</v>
      </c>
      <c r="F16" s="105">
        <v>249.06020000000001</v>
      </c>
      <c r="G16" s="82">
        <v>2.5</v>
      </c>
      <c r="H16" s="92">
        <f t="shared" si="6"/>
        <v>622.65049999999997</v>
      </c>
      <c r="I16" s="81">
        <f t="shared" si="7"/>
        <v>3</v>
      </c>
      <c r="J16" s="274">
        <f t="shared" si="12"/>
        <v>900</v>
      </c>
      <c r="K16" s="81">
        <f t="shared" si="1"/>
        <v>277.34950000000003</v>
      </c>
      <c r="L16" s="82">
        <f t="shared" si="8"/>
        <v>69.183388888888885</v>
      </c>
      <c r="M16" s="99" t="s">
        <v>420</v>
      </c>
      <c r="N16" s="104">
        <v>258.625</v>
      </c>
      <c r="O16" s="168">
        <f t="shared" si="9"/>
        <v>250</v>
      </c>
      <c r="P16" s="80">
        <f t="shared" ref="P16:P24" si="16">F16</f>
        <v>249.06020000000001</v>
      </c>
      <c r="Q16" s="79">
        <v>2.5</v>
      </c>
      <c r="R16" s="252">
        <f t="shared" si="11"/>
        <v>622.65049999999997</v>
      </c>
      <c r="S16" s="80">
        <f t="shared" si="13"/>
        <v>750</v>
      </c>
      <c r="T16" s="188">
        <f t="shared" si="14"/>
        <v>127.34950000000003</v>
      </c>
      <c r="U16" s="79" t="str">
        <f t="shared" si="15"/>
        <v>No</v>
      </c>
      <c r="V16" s="223"/>
      <c r="AG16" s="384"/>
      <c r="AH16" s="384"/>
    </row>
    <row r="17" spans="1:34" ht="14.25" customHeight="1" thickBot="1">
      <c r="A17" s="564"/>
      <c r="B17" s="94" t="s">
        <v>10</v>
      </c>
      <c r="C17" s="93" t="s">
        <v>384</v>
      </c>
      <c r="D17" s="105">
        <v>894.93</v>
      </c>
      <c r="E17" s="245">
        <f t="shared" si="5"/>
        <v>150</v>
      </c>
      <c r="F17" s="105">
        <v>185.4342</v>
      </c>
      <c r="G17" s="82">
        <v>2.5</v>
      </c>
      <c r="H17" s="92">
        <f t="shared" si="6"/>
        <v>463.58550000000002</v>
      </c>
      <c r="I17" s="81">
        <f t="shared" si="7"/>
        <v>4</v>
      </c>
      <c r="J17" s="274">
        <f t="shared" si="12"/>
        <v>600</v>
      </c>
      <c r="K17" s="81">
        <f t="shared" si="1"/>
        <v>136.41449999999998</v>
      </c>
      <c r="L17" s="82">
        <f t="shared" si="8"/>
        <v>77.264250000000004</v>
      </c>
      <c r="M17" s="99" t="s">
        <v>383</v>
      </c>
      <c r="N17" s="104">
        <v>975.03499999999997</v>
      </c>
      <c r="O17" s="168">
        <f t="shared" si="9"/>
        <v>150</v>
      </c>
      <c r="P17" s="80">
        <f t="shared" si="16"/>
        <v>185.4342</v>
      </c>
      <c r="Q17" s="79">
        <v>2.5</v>
      </c>
      <c r="R17" s="252">
        <f t="shared" si="11"/>
        <v>463.58550000000002</v>
      </c>
      <c r="S17" s="80">
        <f t="shared" si="13"/>
        <v>600</v>
      </c>
      <c r="T17" s="188">
        <f t="shared" si="14"/>
        <v>136.41449999999998</v>
      </c>
      <c r="U17" s="79" t="str">
        <f t="shared" si="15"/>
        <v>No</v>
      </c>
      <c r="V17" s="223"/>
      <c r="AG17" s="384"/>
      <c r="AH17" s="384"/>
    </row>
    <row r="18" spans="1:34" ht="14.25" customHeight="1" thickBot="1">
      <c r="A18" s="564"/>
      <c r="B18" s="94" t="s">
        <v>11</v>
      </c>
      <c r="C18" s="93" t="s">
        <v>377</v>
      </c>
      <c r="D18" s="105">
        <v>839.23</v>
      </c>
      <c r="E18" s="245">
        <f t="shared" si="5"/>
        <v>150</v>
      </c>
      <c r="F18" s="105">
        <v>213.84829999999999</v>
      </c>
      <c r="G18" s="82">
        <v>2.5</v>
      </c>
      <c r="H18" s="92">
        <f t="shared" si="6"/>
        <v>534.62075000000004</v>
      </c>
      <c r="I18" s="81">
        <f t="shared" si="7"/>
        <v>5</v>
      </c>
      <c r="J18" s="274">
        <f t="shared" si="12"/>
        <v>750</v>
      </c>
      <c r="K18" s="81">
        <f t="shared" si="1"/>
        <v>215.37924999999996</v>
      </c>
      <c r="L18" s="82">
        <f t="shared" si="8"/>
        <v>71.282766666666674</v>
      </c>
      <c r="M18" s="99" t="s">
        <v>419</v>
      </c>
      <c r="N18" s="104">
        <v>1025.3</v>
      </c>
      <c r="O18" s="168">
        <f t="shared" si="9"/>
        <v>150</v>
      </c>
      <c r="P18" s="80">
        <f t="shared" si="16"/>
        <v>213.84829999999999</v>
      </c>
      <c r="Q18" s="79">
        <v>2.5</v>
      </c>
      <c r="R18" s="252">
        <f t="shared" si="11"/>
        <v>534.62075000000004</v>
      </c>
      <c r="S18" s="80">
        <f t="shared" si="13"/>
        <v>750</v>
      </c>
      <c r="T18" s="188">
        <f t="shared" si="14"/>
        <v>215.37924999999996</v>
      </c>
      <c r="U18" s="79" t="str">
        <f t="shared" si="15"/>
        <v>No</v>
      </c>
      <c r="V18" s="223"/>
      <c r="AG18" s="384"/>
      <c r="AH18" s="384"/>
    </row>
    <row r="19" spans="1:34" ht="14.25" customHeight="1" thickBot="1">
      <c r="A19" s="564"/>
      <c r="B19" s="94" t="s">
        <v>12</v>
      </c>
      <c r="C19" s="93" t="s">
        <v>52</v>
      </c>
      <c r="D19" s="105">
        <v>428.91</v>
      </c>
      <c r="E19" s="245">
        <f t="shared" si="5"/>
        <v>200</v>
      </c>
      <c r="F19" s="105">
        <v>320.7817</v>
      </c>
      <c r="G19" s="82">
        <v>2.5</v>
      </c>
      <c r="H19" s="92">
        <f t="shared" si="6"/>
        <v>801.95425</v>
      </c>
      <c r="I19" s="81">
        <f t="shared" si="7"/>
        <v>5</v>
      </c>
      <c r="J19" s="274">
        <f t="shared" si="12"/>
        <v>1000</v>
      </c>
      <c r="K19" s="81">
        <f t="shared" si="1"/>
        <v>198.04575</v>
      </c>
      <c r="L19" s="82">
        <f t="shared" si="8"/>
        <v>80.195425</v>
      </c>
      <c r="M19" s="99" t="s">
        <v>418</v>
      </c>
      <c r="N19" s="104">
        <v>440.09</v>
      </c>
      <c r="O19" s="168">
        <f t="shared" si="9"/>
        <v>200</v>
      </c>
      <c r="P19" s="80">
        <f t="shared" si="16"/>
        <v>320.7817</v>
      </c>
      <c r="Q19" s="79">
        <v>2.5</v>
      </c>
      <c r="R19" s="252">
        <f t="shared" si="11"/>
        <v>801.95425</v>
      </c>
      <c r="S19" s="80">
        <f t="shared" si="13"/>
        <v>1000</v>
      </c>
      <c r="T19" s="188">
        <f t="shared" si="14"/>
        <v>198.04575</v>
      </c>
      <c r="U19" s="79" t="str">
        <f t="shared" si="15"/>
        <v>No</v>
      </c>
      <c r="V19" s="223"/>
      <c r="AG19" s="384"/>
      <c r="AH19" s="384"/>
    </row>
    <row r="20" spans="1:34" ht="14.25" customHeight="1" thickBot="1">
      <c r="A20" s="564"/>
      <c r="B20" s="94" t="s">
        <v>417</v>
      </c>
      <c r="C20" s="93" t="s">
        <v>409</v>
      </c>
      <c r="D20" s="92">
        <v>530.30999999999995</v>
      </c>
      <c r="E20" s="245">
        <f t="shared" si="5"/>
        <v>200</v>
      </c>
      <c r="F20" s="92">
        <v>22.35</v>
      </c>
      <c r="G20" s="82">
        <v>2.5</v>
      </c>
      <c r="H20" s="92">
        <f t="shared" si="6"/>
        <v>55.875</v>
      </c>
      <c r="I20" s="81">
        <f t="shared" si="7"/>
        <v>1</v>
      </c>
      <c r="J20" s="274">
        <f t="shared" si="12"/>
        <v>200</v>
      </c>
      <c r="K20" s="81">
        <f t="shared" si="1"/>
        <v>144.125</v>
      </c>
      <c r="L20" s="82">
        <f t="shared" si="8"/>
        <v>27.9375</v>
      </c>
      <c r="M20" s="88" t="s">
        <v>416</v>
      </c>
      <c r="N20" s="90">
        <v>541.49</v>
      </c>
      <c r="O20" s="168">
        <f t="shared" si="9"/>
        <v>150</v>
      </c>
      <c r="P20" s="80">
        <f t="shared" si="16"/>
        <v>22.35</v>
      </c>
      <c r="Q20" s="79">
        <v>2.5</v>
      </c>
      <c r="R20" s="252">
        <f t="shared" si="11"/>
        <v>55.875</v>
      </c>
      <c r="S20" s="80">
        <f t="shared" si="13"/>
        <v>150</v>
      </c>
      <c r="T20" s="188">
        <f t="shared" si="14"/>
        <v>94.125</v>
      </c>
      <c r="U20" s="79" t="str">
        <f t="shared" si="15"/>
        <v>No</v>
      </c>
      <c r="V20" s="223"/>
      <c r="AG20" s="384"/>
      <c r="AH20" s="384"/>
    </row>
    <row r="21" spans="1:34" ht="13.5" thickBot="1">
      <c r="A21" s="562" t="s">
        <v>411</v>
      </c>
      <c r="B21" s="84" t="s">
        <v>7</v>
      </c>
      <c r="C21" s="83" t="s">
        <v>48</v>
      </c>
      <c r="D21" s="82">
        <v>457.755</v>
      </c>
      <c r="E21" s="243">
        <f t="shared" si="5"/>
        <v>200</v>
      </c>
      <c r="F21" s="82">
        <v>200.1122</v>
      </c>
      <c r="G21" s="82">
        <v>2.5</v>
      </c>
      <c r="H21" s="82">
        <f t="shared" si="6"/>
        <v>500.28050000000002</v>
      </c>
      <c r="I21" s="81">
        <f t="shared" si="7"/>
        <v>3</v>
      </c>
      <c r="J21" s="270">
        <f t="shared" si="12"/>
        <v>600</v>
      </c>
      <c r="K21" s="81">
        <f t="shared" si="1"/>
        <v>99.719499999999982</v>
      </c>
      <c r="L21" s="82">
        <f t="shared" si="8"/>
        <v>83.380083333333332</v>
      </c>
      <c r="M21" s="98" t="s">
        <v>414</v>
      </c>
      <c r="N21" s="80">
        <v>733.18499999999995</v>
      </c>
      <c r="O21" s="168">
        <f t="shared" si="9"/>
        <v>150</v>
      </c>
      <c r="P21" s="80">
        <f t="shared" si="16"/>
        <v>200.1122</v>
      </c>
      <c r="Q21" s="79">
        <v>2.5</v>
      </c>
      <c r="R21" s="251">
        <f t="shared" si="11"/>
        <v>500.28050000000002</v>
      </c>
      <c r="S21" s="80">
        <f t="shared" si="13"/>
        <v>450</v>
      </c>
      <c r="T21" s="188">
        <f t="shared" si="14"/>
        <v>-50.280500000000018</v>
      </c>
      <c r="U21" s="79" t="str">
        <f t="shared" si="15"/>
        <v>Yes</v>
      </c>
      <c r="V21" s="223"/>
      <c r="AG21" s="384"/>
      <c r="AH21" s="384"/>
    </row>
    <row r="22" spans="1:34" ht="14.25" customHeight="1" thickBot="1">
      <c r="A22" s="564"/>
      <c r="B22" s="94" t="s">
        <v>413</v>
      </c>
      <c r="C22" s="93" t="s">
        <v>74</v>
      </c>
      <c r="D22" s="105">
        <v>632.29</v>
      </c>
      <c r="E22" s="245">
        <f t="shared" si="5"/>
        <v>150</v>
      </c>
      <c r="F22" s="105">
        <v>416.14780000000002</v>
      </c>
      <c r="G22" s="82">
        <v>2.5</v>
      </c>
      <c r="H22" s="92">
        <f t="shared" si="6"/>
        <v>1040.3695</v>
      </c>
      <c r="I22" s="81">
        <f t="shared" si="7"/>
        <v>9</v>
      </c>
      <c r="J22" s="274">
        <f t="shared" si="12"/>
        <v>1350</v>
      </c>
      <c r="K22" s="81">
        <f t="shared" si="1"/>
        <v>309.63049999999998</v>
      </c>
      <c r="L22" s="82">
        <f t="shared" si="8"/>
        <v>77.064407407407415</v>
      </c>
      <c r="M22" s="99" t="s">
        <v>361</v>
      </c>
      <c r="N22" s="104">
        <v>692.19500000000005</v>
      </c>
      <c r="O22" s="168">
        <f t="shared" si="9"/>
        <v>150</v>
      </c>
      <c r="P22" s="80">
        <f t="shared" si="16"/>
        <v>416.14780000000002</v>
      </c>
      <c r="Q22" s="79">
        <v>2.5</v>
      </c>
      <c r="R22" s="252">
        <f t="shared" si="11"/>
        <v>1040.3695</v>
      </c>
      <c r="S22" s="80">
        <f t="shared" si="13"/>
        <v>1350</v>
      </c>
      <c r="T22" s="188">
        <f t="shared" si="14"/>
        <v>309.63049999999998</v>
      </c>
      <c r="U22" s="79" t="str">
        <f t="shared" si="15"/>
        <v>No</v>
      </c>
      <c r="V22" s="223"/>
      <c r="AG22" s="384"/>
      <c r="AH22" s="384"/>
    </row>
    <row r="23" spans="1:34" ht="14.25" customHeight="1" thickBot="1">
      <c r="A23" s="564"/>
      <c r="B23" s="94" t="s">
        <v>412</v>
      </c>
      <c r="C23" s="93" t="s">
        <v>411</v>
      </c>
      <c r="D23" s="105">
        <v>370.31</v>
      </c>
      <c r="E23" s="245">
        <f t="shared" si="5"/>
        <v>200</v>
      </c>
      <c r="F23" s="105">
        <v>24.103000000000002</v>
      </c>
      <c r="G23" s="82">
        <v>2.5</v>
      </c>
      <c r="H23" s="92">
        <f t="shared" si="6"/>
        <v>60.257500000000007</v>
      </c>
      <c r="I23" s="81">
        <f t="shared" si="7"/>
        <v>1</v>
      </c>
      <c r="J23" s="274">
        <f t="shared" si="12"/>
        <v>200</v>
      </c>
      <c r="K23" s="81">
        <f t="shared" si="1"/>
        <v>139.74250000000001</v>
      </c>
      <c r="L23" s="82">
        <f t="shared" si="8"/>
        <v>30.128750000000004</v>
      </c>
      <c r="M23" s="99" t="s">
        <v>410</v>
      </c>
      <c r="N23" s="104">
        <v>820.63</v>
      </c>
      <c r="O23" s="168">
        <f t="shared" si="9"/>
        <v>150</v>
      </c>
      <c r="P23" s="80">
        <f t="shared" si="16"/>
        <v>24.103000000000002</v>
      </c>
      <c r="Q23" s="79">
        <v>2.5</v>
      </c>
      <c r="R23" s="252">
        <f t="shared" si="11"/>
        <v>60.257500000000007</v>
      </c>
      <c r="S23" s="80">
        <f t="shared" si="13"/>
        <v>150</v>
      </c>
      <c r="T23" s="188">
        <f t="shared" si="14"/>
        <v>89.742499999999993</v>
      </c>
      <c r="U23" s="79" t="str">
        <f t="shared" si="15"/>
        <v>No</v>
      </c>
      <c r="V23" s="223"/>
      <c r="AG23" s="384"/>
      <c r="AH23" s="384"/>
    </row>
    <row r="24" spans="1:34" ht="14.25" customHeight="1" thickBot="1">
      <c r="A24" s="564"/>
      <c r="B24" s="94" t="s">
        <v>394</v>
      </c>
      <c r="C24" s="93" t="s">
        <v>409</v>
      </c>
      <c r="D24" s="92">
        <v>530.30999999999995</v>
      </c>
      <c r="E24" s="244">
        <f t="shared" si="5"/>
        <v>200</v>
      </c>
      <c r="F24" s="92">
        <v>22.35</v>
      </c>
      <c r="G24" s="82">
        <v>2.5</v>
      </c>
      <c r="H24" s="72">
        <f t="shared" si="6"/>
        <v>55.875</v>
      </c>
      <c r="I24" s="81">
        <f t="shared" si="7"/>
        <v>1</v>
      </c>
      <c r="J24" s="272">
        <f t="shared" si="12"/>
        <v>200</v>
      </c>
      <c r="K24" s="81">
        <f t="shared" si="1"/>
        <v>144.125</v>
      </c>
      <c r="L24" s="82">
        <f t="shared" si="8"/>
        <v>27.9375</v>
      </c>
      <c r="M24" s="88" t="s">
        <v>408</v>
      </c>
      <c r="N24" s="90">
        <v>660.63</v>
      </c>
      <c r="O24" s="168">
        <f t="shared" si="9"/>
        <v>150</v>
      </c>
      <c r="P24" s="80">
        <f t="shared" si="16"/>
        <v>22.35</v>
      </c>
      <c r="Q24" s="79">
        <v>2.5</v>
      </c>
      <c r="R24" s="253">
        <f t="shared" si="11"/>
        <v>55.875</v>
      </c>
      <c r="S24" s="80">
        <f t="shared" si="13"/>
        <v>150</v>
      </c>
      <c r="T24" s="188">
        <f t="shared" si="14"/>
        <v>94.125</v>
      </c>
      <c r="U24" s="79" t="str">
        <f t="shared" si="15"/>
        <v>No</v>
      </c>
      <c r="AG24" s="384"/>
      <c r="AH24" s="384"/>
    </row>
    <row r="25" spans="1:34" ht="13.5" thickBot="1">
      <c r="A25" s="151" t="s">
        <v>407</v>
      </c>
      <c r="B25" s="84" t="s">
        <v>406</v>
      </c>
      <c r="C25" s="150"/>
      <c r="D25" s="82"/>
      <c r="E25" s="92">
        <f t="shared" si="5"/>
        <v>300</v>
      </c>
      <c r="F25" s="82"/>
      <c r="G25" s="82">
        <v>2.5</v>
      </c>
      <c r="H25" s="92">
        <f t="shared" si="6"/>
        <v>0</v>
      </c>
      <c r="I25" s="81">
        <f t="shared" si="7"/>
        <v>0</v>
      </c>
      <c r="J25" s="268"/>
      <c r="K25" s="81">
        <f t="shared" si="1"/>
        <v>0</v>
      </c>
      <c r="L25" s="82"/>
      <c r="M25" s="80"/>
      <c r="N25" s="80"/>
      <c r="O25" s="168">
        <f t="shared" si="9"/>
        <v>300</v>
      </c>
      <c r="P25" s="80"/>
      <c r="Q25" s="79">
        <v>2.5</v>
      </c>
      <c r="R25" s="89">
        <f t="shared" si="11"/>
        <v>0</v>
      </c>
      <c r="S25" s="80"/>
      <c r="T25" s="191"/>
      <c r="U25" s="79"/>
      <c r="V25" s="382" t="s">
        <v>438</v>
      </c>
      <c r="W25" s="382" t="s">
        <v>453</v>
      </c>
      <c r="AG25" s="384"/>
      <c r="AH25" s="384"/>
    </row>
    <row r="26" spans="1:34" ht="15" customHeight="1" thickBot="1">
      <c r="A26" s="575" t="s">
        <v>405</v>
      </c>
      <c r="B26" s="148" t="s">
        <v>14</v>
      </c>
      <c r="C26" s="83" t="s">
        <v>404</v>
      </c>
      <c r="D26" s="82">
        <v>391.72</v>
      </c>
      <c r="E26" s="243">
        <f t="shared" si="5"/>
        <v>200</v>
      </c>
      <c r="F26" s="82">
        <v>664.51419999999996</v>
      </c>
      <c r="G26" s="82">
        <v>2.5</v>
      </c>
      <c r="H26" s="82">
        <f t="shared" si="6"/>
        <v>1661.2855</v>
      </c>
      <c r="I26" s="81">
        <f t="shared" si="7"/>
        <v>10</v>
      </c>
      <c r="J26" s="270">
        <f t="shared" ref="J26:J56" si="17">I26*E26</f>
        <v>2000</v>
      </c>
      <c r="K26" s="81">
        <f t="shared" si="1"/>
        <v>338.71450000000004</v>
      </c>
      <c r="L26" s="82">
        <f t="shared" si="8"/>
        <v>83.064274999999995</v>
      </c>
      <c r="M26" s="98" t="s">
        <v>403</v>
      </c>
      <c r="N26" s="80">
        <v>799.22</v>
      </c>
      <c r="O26" s="168">
        <f t="shared" si="9"/>
        <v>150</v>
      </c>
      <c r="P26" s="80">
        <f>F26</f>
        <v>664.51419999999996</v>
      </c>
      <c r="Q26" s="79">
        <v>2.5</v>
      </c>
      <c r="R26" s="80">
        <f t="shared" si="11"/>
        <v>1661.2855</v>
      </c>
      <c r="S26" s="247">
        <f t="shared" ref="S26:S56" si="18">O26*I26</f>
        <v>1500</v>
      </c>
      <c r="T26" s="191">
        <f t="shared" ref="T26:T56" si="19">S26-R26</f>
        <v>-161.28549999999996</v>
      </c>
      <c r="U26" s="306" t="str">
        <f t="shared" ref="U26:U57" si="20">IF(T26&gt;=0,"No","Yes")</f>
        <v>Yes</v>
      </c>
      <c r="V26" s="647" t="s">
        <v>14</v>
      </c>
      <c r="W26" s="627">
        <v>55</v>
      </c>
      <c r="Y26" s="380" t="s">
        <v>452</v>
      </c>
      <c r="Z26" s="381"/>
      <c r="AA26" s="383"/>
      <c r="AG26" s="384"/>
      <c r="AH26" s="384"/>
    </row>
    <row r="27" spans="1:34" ht="14.25" customHeight="1" thickBot="1">
      <c r="A27" s="576"/>
      <c r="B27" s="74" t="s">
        <v>360</v>
      </c>
      <c r="C27" s="73" t="s">
        <v>55</v>
      </c>
      <c r="D27" s="146">
        <v>566.26</v>
      </c>
      <c r="E27" s="245">
        <f t="shared" si="5"/>
        <v>150</v>
      </c>
      <c r="F27" s="146">
        <v>424.66829999999999</v>
      </c>
      <c r="G27" s="82">
        <v>2.5</v>
      </c>
      <c r="H27" s="92">
        <f t="shared" si="6"/>
        <v>1061.67075</v>
      </c>
      <c r="I27" s="81">
        <f t="shared" si="7"/>
        <v>9</v>
      </c>
      <c r="J27" s="274">
        <f t="shared" si="17"/>
        <v>1350</v>
      </c>
      <c r="K27" s="81">
        <f t="shared" si="1"/>
        <v>288.32925</v>
      </c>
      <c r="L27" s="82">
        <f t="shared" si="8"/>
        <v>78.642277777777778</v>
      </c>
      <c r="M27" s="246" t="s">
        <v>402</v>
      </c>
      <c r="N27" s="145">
        <v>973.76</v>
      </c>
      <c r="O27" s="168">
        <f t="shared" si="9"/>
        <v>150</v>
      </c>
      <c r="P27" s="80">
        <f t="shared" ref="P27:P56" si="21">F27</f>
        <v>424.66829999999999</v>
      </c>
      <c r="Q27" s="79">
        <v>2.5</v>
      </c>
      <c r="R27" s="90">
        <f t="shared" si="11"/>
        <v>1061.67075</v>
      </c>
      <c r="S27" s="249">
        <f t="shared" si="18"/>
        <v>1350</v>
      </c>
      <c r="T27" s="305">
        <f t="shared" si="19"/>
        <v>288.32925</v>
      </c>
      <c r="U27" s="307" t="str">
        <f t="shared" si="20"/>
        <v>No</v>
      </c>
      <c r="V27" s="648"/>
      <c r="W27" s="629"/>
      <c r="Y27" s="87"/>
      <c r="Z27" s="266"/>
      <c r="AA27" s="97"/>
      <c r="AG27" s="384"/>
      <c r="AH27" s="384"/>
    </row>
    <row r="28" spans="1:34" ht="15" customHeight="1" thickBot="1">
      <c r="A28" s="564" t="s">
        <v>401</v>
      </c>
      <c r="B28" s="62" t="s">
        <v>6</v>
      </c>
      <c r="C28" s="111" t="s">
        <v>47</v>
      </c>
      <c r="D28" s="92">
        <v>341.46499999999997</v>
      </c>
      <c r="E28" s="243">
        <f t="shared" si="5"/>
        <v>200</v>
      </c>
      <c r="F28" s="92">
        <v>414.50749999999999</v>
      </c>
      <c r="G28" s="82">
        <v>2.5</v>
      </c>
      <c r="H28" s="82">
        <f t="shared" si="6"/>
        <v>1036.26875</v>
      </c>
      <c r="I28" s="81">
        <f t="shared" si="7"/>
        <v>7</v>
      </c>
      <c r="J28" s="270">
        <f t="shared" si="17"/>
        <v>1400</v>
      </c>
      <c r="K28" s="81">
        <f t="shared" si="1"/>
        <v>363.73125000000005</v>
      </c>
      <c r="L28" s="82">
        <f t="shared" si="8"/>
        <v>74.019196428571419</v>
      </c>
      <c r="M28" s="88" t="s">
        <v>400</v>
      </c>
      <c r="N28" s="90">
        <v>849.47500000000002</v>
      </c>
      <c r="O28" s="168">
        <f t="shared" si="9"/>
        <v>150</v>
      </c>
      <c r="P28" s="80">
        <f t="shared" si="21"/>
        <v>414.50749999999999</v>
      </c>
      <c r="Q28" s="79">
        <v>2.5</v>
      </c>
      <c r="R28" s="80">
        <f t="shared" si="11"/>
        <v>1036.26875</v>
      </c>
      <c r="S28" s="248">
        <f t="shared" si="18"/>
        <v>1050</v>
      </c>
      <c r="T28" s="302">
        <f t="shared" si="19"/>
        <v>13.731250000000045</v>
      </c>
      <c r="U28" s="308" t="str">
        <f t="shared" si="20"/>
        <v>No</v>
      </c>
      <c r="V28" s="374"/>
      <c r="W28" s="377"/>
      <c r="Y28" s="256" t="s">
        <v>388</v>
      </c>
      <c r="Z28" s="184" t="s">
        <v>387</v>
      </c>
      <c r="AA28" s="257" t="s">
        <v>386</v>
      </c>
      <c r="AG28" s="384"/>
      <c r="AH28" s="384"/>
    </row>
    <row r="29" spans="1:34" ht="14.25" customHeight="1" thickBot="1">
      <c r="A29" s="564"/>
      <c r="B29" s="62" t="s">
        <v>399</v>
      </c>
      <c r="C29" s="111" t="s">
        <v>384</v>
      </c>
      <c r="D29" s="92">
        <v>894.93</v>
      </c>
      <c r="E29" s="245">
        <f t="shared" si="5"/>
        <v>150</v>
      </c>
      <c r="F29" s="92">
        <v>185.4342</v>
      </c>
      <c r="G29" s="82">
        <v>2.5</v>
      </c>
      <c r="H29" s="92">
        <f t="shared" si="6"/>
        <v>463.58550000000002</v>
      </c>
      <c r="I29" s="81">
        <f t="shared" si="7"/>
        <v>4</v>
      </c>
      <c r="J29" s="274">
        <f t="shared" si="17"/>
        <v>600</v>
      </c>
      <c r="K29" s="81">
        <f t="shared" si="1"/>
        <v>136.41449999999998</v>
      </c>
      <c r="L29" s="82">
        <f t="shared" si="8"/>
        <v>77.264250000000004</v>
      </c>
      <c r="M29" s="88" t="s">
        <v>383</v>
      </c>
      <c r="N29" s="90">
        <v>975.03499999999997</v>
      </c>
      <c r="O29" s="168">
        <f t="shared" si="9"/>
        <v>150</v>
      </c>
      <c r="P29" s="80">
        <f t="shared" si="21"/>
        <v>185.4342</v>
      </c>
      <c r="Q29" s="79">
        <v>2.5</v>
      </c>
      <c r="R29" s="90">
        <f t="shared" si="11"/>
        <v>463.58550000000002</v>
      </c>
      <c r="S29" s="248">
        <f t="shared" si="18"/>
        <v>600</v>
      </c>
      <c r="T29" s="302">
        <f t="shared" si="19"/>
        <v>136.41449999999998</v>
      </c>
      <c r="U29" s="308" t="str">
        <f t="shared" si="20"/>
        <v>No</v>
      </c>
      <c r="V29" s="376" t="s">
        <v>393</v>
      </c>
      <c r="W29" s="378">
        <v>15</v>
      </c>
      <c r="Y29" s="126" t="s">
        <v>14</v>
      </c>
      <c r="Z29" s="125">
        <v>100</v>
      </c>
      <c r="AA29" s="97"/>
      <c r="AG29" s="384"/>
      <c r="AH29" s="384"/>
    </row>
    <row r="30" spans="1:34" ht="14.25" customHeight="1" thickBot="1">
      <c r="A30" s="564"/>
      <c r="B30" s="94" t="s">
        <v>398</v>
      </c>
      <c r="C30" s="93" t="s">
        <v>377</v>
      </c>
      <c r="D30" s="105">
        <v>839.23</v>
      </c>
      <c r="E30" s="245">
        <f t="shared" si="5"/>
        <v>150</v>
      </c>
      <c r="F30" s="105">
        <v>213.84829999999999</v>
      </c>
      <c r="G30" s="82">
        <v>2.5</v>
      </c>
      <c r="H30" s="92">
        <f t="shared" si="6"/>
        <v>534.62075000000004</v>
      </c>
      <c r="I30" s="81">
        <f t="shared" si="7"/>
        <v>5</v>
      </c>
      <c r="J30" s="274">
        <f t="shared" si="17"/>
        <v>750</v>
      </c>
      <c r="K30" s="81">
        <f t="shared" si="1"/>
        <v>215.37924999999996</v>
      </c>
      <c r="L30" s="82">
        <f t="shared" si="8"/>
        <v>71.282766666666674</v>
      </c>
      <c r="M30" s="99" t="s">
        <v>397</v>
      </c>
      <c r="N30" s="104">
        <v>1347.24</v>
      </c>
      <c r="O30" s="168">
        <f t="shared" si="9"/>
        <v>100</v>
      </c>
      <c r="P30" s="80">
        <f t="shared" si="21"/>
        <v>213.84829999999999</v>
      </c>
      <c r="Q30" s="79">
        <v>2.5</v>
      </c>
      <c r="R30" s="90">
        <f t="shared" si="11"/>
        <v>534.62075000000004</v>
      </c>
      <c r="S30" s="248">
        <f t="shared" si="18"/>
        <v>500</v>
      </c>
      <c r="T30" s="302">
        <f t="shared" si="19"/>
        <v>-34.620750000000044</v>
      </c>
      <c r="U30" s="308" t="str">
        <f t="shared" si="20"/>
        <v>Yes</v>
      </c>
      <c r="V30" s="376"/>
      <c r="W30" s="378"/>
      <c r="Y30" s="126" t="s">
        <v>12</v>
      </c>
      <c r="Z30" s="125">
        <v>32</v>
      </c>
      <c r="AA30" s="97"/>
      <c r="AG30" s="384"/>
      <c r="AH30" s="384"/>
    </row>
    <row r="31" spans="1:34" ht="14.25" customHeight="1" thickBot="1">
      <c r="A31" s="564"/>
      <c r="B31" s="94" t="s">
        <v>396</v>
      </c>
      <c r="C31" s="93" t="s">
        <v>52</v>
      </c>
      <c r="D31" s="92">
        <v>428.91</v>
      </c>
      <c r="E31" s="245">
        <f t="shared" si="5"/>
        <v>200</v>
      </c>
      <c r="F31" s="92">
        <v>320.7817</v>
      </c>
      <c r="G31" s="82">
        <v>2.5</v>
      </c>
      <c r="H31" s="92">
        <f t="shared" si="6"/>
        <v>801.95425</v>
      </c>
      <c r="I31" s="81">
        <f t="shared" si="7"/>
        <v>5</v>
      </c>
      <c r="J31" s="274">
        <f t="shared" si="17"/>
        <v>1000</v>
      </c>
      <c r="K31" s="81">
        <f t="shared" si="1"/>
        <v>198.04575</v>
      </c>
      <c r="L31" s="82">
        <f t="shared" si="8"/>
        <v>80.195425</v>
      </c>
      <c r="M31" s="88" t="s">
        <v>395</v>
      </c>
      <c r="N31" s="90">
        <v>762.03</v>
      </c>
      <c r="O31" s="168">
        <f t="shared" si="9"/>
        <v>150</v>
      </c>
      <c r="P31" s="80">
        <f t="shared" si="21"/>
        <v>320.7817</v>
      </c>
      <c r="Q31" s="79">
        <v>2.5</v>
      </c>
      <c r="R31" s="90">
        <f t="shared" si="11"/>
        <v>801.95425</v>
      </c>
      <c r="S31" s="248">
        <f t="shared" si="18"/>
        <v>750</v>
      </c>
      <c r="T31" s="302">
        <f t="shared" si="19"/>
        <v>-51.954250000000002</v>
      </c>
      <c r="U31" s="308" t="str">
        <f t="shared" si="20"/>
        <v>Yes</v>
      </c>
      <c r="V31" s="376"/>
      <c r="W31" s="378"/>
      <c r="Y31" s="126" t="s">
        <v>16</v>
      </c>
      <c r="Z31" s="125">
        <v>78</v>
      </c>
      <c r="AA31" s="97"/>
    </row>
    <row r="32" spans="1:34" ht="14.25" customHeight="1" thickBot="1">
      <c r="A32" s="564"/>
      <c r="B32" s="94" t="s">
        <v>393</v>
      </c>
      <c r="C32" s="93" t="s">
        <v>56</v>
      </c>
      <c r="D32" s="92">
        <v>268.91000000000003</v>
      </c>
      <c r="E32" s="245">
        <f t="shared" si="5"/>
        <v>250</v>
      </c>
      <c r="F32" s="92">
        <v>277.57420000000002</v>
      </c>
      <c r="G32" s="82">
        <v>2.5</v>
      </c>
      <c r="H32" s="92">
        <f t="shared" si="6"/>
        <v>693.93550000000005</v>
      </c>
      <c r="I32" s="81">
        <f t="shared" si="7"/>
        <v>4</v>
      </c>
      <c r="J32" s="274">
        <f t="shared" si="17"/>
        <v>1000</v>
      </c>
      <c r="K32" s="81">
        <f t="shared" si="1"/>
        <v>306.06449999999995</v>
      </c>
      <c r="L32" s="82">
        <f t="shared" si="8"/>
        <v>69.393550000000005</v>
      </c>
      <c r="M32" s="88" t="s">
        <v>392</v>
      </c>
      <c r="N32" s="90">
        <v>922.03</v>
      </c>
      <c r="O32" s="168">
        <f t="shared" si="9"/>
        <v>150</v>
      </c>
      <c r="P32" s="80">
        <f t="shared" si="21"/>
        <v>277.57420000000002</v>
      </c>
      <c r="Q32" s="79">
        <v>2.5</v>
      </c>
      <c r="R32" s="90">
        <f t="shared" si="11"/>
        <v>693.93550000000005</v>
      </c>
      <c r="S32" s="249">
        <f t="shared" si="18"/>
        <v>600</v>
      </c>
      <c r="T32" s="305">
        <f t="shared" si="19"/>
        <v>-93.935500000000047</v>
      </c>
      <c r="U32" s="307" t="str">
        <f t="shared" si="20"/>
        <v>Yes</v>
      </c>
      <c r="V32" s="375"/>
      <c r="W32" s="379"/>
      <c r="Y32" s="87" t="s">
        <v>6</v>
      </c>
      <c r="Z32" s="266">
        <v>5</v>
      </c>
      <c r="AA32" s="97"/>
    </row>
    <row r="33" spans="1:38" ht="13.5" thickBot="1">
      <c r="A33" s="562" t="s">
        <v>380</v>
      </c>
      <c r="B33" s="84" t="s">
        <v>391</v>
      </c>
      <c r="C33" s="83" t="s">
        <v>390</v>
      </c>
      <c r="D33" s="82">
        <v>774.56</v>
      </c>
      <c r="E33" s="243">
        <f t="shared" si="5"/>
        <v>150</v>
      </c>
      <c r="F33" s="82">
        <v>593.39</v>
      </c>
      <c r="G33" s="82">
        <v>2.5</v>
      </c>
      <c r="H33" s="82">
        <f t="shared" si="6"/>
        <v>1483.4749999999999</v>
      </c>
      <c r="I33" s="81">
        <f t="shared" si="7"/>
        <v>12</v>
      </c>
      <c r="J33" s="270">
        <f t="shared" si="17"/>
        <v>1800</v>
      </c>
      <c r="K33" s="81">
        <f t="shared" si="1"/>
        <v>316.52500000000009</v>
      </c>
      <c r="L33" s="82">
        <f t="shared" si="8"/>
        <v>82.415277777777774</v>
      </c>
      <c r="M33" s="98" t="s">
        <v>389</v>
      </c>
      <c r="N33" s="80">
        <v>778.62</v>
      </c>
      <c r="O33" s="168">
        <f t="shared" si="9"/>
        <v>150</v>
      </c>
      <c r="P33" s="80">
        <f t="shared" si="21"/>
        <v>593.39</v>
      </c>
      <c r="Q33" s="79">
        <v>2.5</v>
      </c>
      <c r="R33" s="251">
        <f t="shared" si="11"/>
        <v>1483.4749999999999</v>
      </c>
      <c r="S33" s="90">
        <f t="shared" si="18"/>
        <v>1800</v>
      </c>
      <c r="T33" s="302">
        <f t="shared" si="19"/>
        <v>316.52500000000009</v>
      </c>
      <c r="U33" s="303" t="str">
        <f t="shared" si="20"/>
        <v>No</v>
      </c>
      <c r="V33" s="213"/>
      <c r="W33" s="213"/>
      <c r="Y33" s="258" t="s">
        <v>19</v>
      </c>
      <c r="Z33" s="214">
        <v>335</v>
      </c>
      <c r="AA33" s="86"/>
    </row>
    <row r="34" spans="1:38" ht="14.25" customHeight="1" thickBot="1">
      <c r="A34" s="564"/>
      <c r="B34" s="94" t="s">
        <v>385</v>
      </c>
      <c r="C34" s="93" t="s">
        <v>384</v>
      </c>
      <c r="D34" s="105">
        <v>894.93</v>
      </c>
      <c r="E34" s="245">
        <f t="shared" si="5"/>
        <v>150</v>
      </c>
      <c r="F34" s="105">
        <v>185.4342</v>
      </c>
      <c r="G34" s="82">
        <v>2.5</v>
      </c>
      <c r="H34" s="92">
        <f t="shared" si="6"/>
        <v>463.58550000000002</v>
      </c>
      <c r="I34" s="81">
        <f t="shared" si="7"/>
        <v>4</v>
      </c>
      <c r="J34" s="274">
        <f t="shared" si="17"/>
        <v>600</v>
      </c>
      <c r="K34" s="81">
        <f t="shared" si="1"/>
        <v>136.41449999999998</v>
      </c>
      <c r="L34" s="82">
        <f t="shared" si="8"/>
        <v>77.264250000000004</v>
      </c>
      <c r="M34" s="99" t="s">
        <v>383</v>
      </c>
      <c r="N34" s="104">
        <v>975.03499999999997</v>
      </c>
      <c r="O34" s="168">
        <f t="shared" si="9"/>
        <v>150</v>
      </c>
      <c r="P34" s="80">
        <f t="shared" si="21"/>
        <v>185.4342</v>
      </c>
      <c r="Q34" s="79">
        <v>2.5</v>
      </c>
      <c r="R34" s="252">
        <f t="shared" si="11"/>
        <v>463.58550000000002</v>
      </c>
      <c r="S34" s="80">
        <f t="shared" si="18"/>
        <v>600</v>
      </c>
      <c r="T34" s="191">
        <f t="shared" si="19"/>
        <v>136.41449999999998</v>
      </c>
      <c r="U34" s="204" t="str">
        <f t="shared" si="20"/>
        <v>No</v>
      </c>
      <c r="V34" s="384"/>
      <c r="W34" s="384"/>
      <c r="Y34" s="5" t="s">
        <v>20</v>
      </c>
      <c r="Z34" s="5">
        <v>480</v>
      </c>
      <c r="AB34" s="57"/>
    </row>
    <row r="35" spans="1:38" ht="14.25" customHeight="1" thickBot="1">
      <c r="A35" s="564"/>
      <c r="B35" s="94" t="s">
        <v>381</v>
      </c>
      <c r="C35" s="93" t="s">
        <v>380</v>
      </c>
      <c r="D35" s="92">
        <v>553.46500000000003</v>
      </c>
      <c r="E35" s="245">
        <f t="shared" si="5"/>
        <v>150</v>
      </c>
      <c r="F35" s="92">
        <v>491.47570000000002</v>
      </c>
      <c r="G35" s="82">
        <v>2.5</v>
      </c>
      <c r="H35" s="92">
        <f t="shared" si="6"/>
        <v>1228.6892500000001</v>
      </c>
      <c r="I35" s="81">
        <f t="shared" si="7"/>
        <v>10</v>
      </c>
      <c r="J35" s="274">
        <f t="shared" si="17"/>
        <v>1500</v>
      </c>
      <c r="K35" s="81">
        <f t="shared" si="1"/>
        <v>271.31074999999987</v>
      </c>
      <c r="L35" s="82">
        <f t="shared" si="8"/>
        <v>81.912616666666665</v>
      </c>
      <c r="M35" s="88" t="s">
        <v>379</v>
      </c>
      <c r="N35" s="90">
        <v>660.12</v>
      </c>
      <c r="O35" s="168">
        <f t="shared" si="9"/>
        <v>150</v>
      </c>
      <c r="P35" s="80">
        <f t="shared" si="21"/>
        <v>491.47570000000002</v>
      </c>
      <c r="Q35" s="79">
        <v>2.5</v>
      </c>
      <c r="R35" s="252">
        <f t="shared" si="11"/>
        <v>1228.6892500000001</v>
      </c>
      <c r="S35" s="80">
        <f t="shared" si="18"/>
        <v>1500</v>
      </c>
      <c r="T35" s="191">
        <f t="shared" si="19"/>
        <v>271.31074999999987</v>
      </c>
      <c r="U35" s="204" t="str">
        <f t="shared" si="20"/>
        <v>No</v>
      </c>
      <c r="V35" s="384"/>
      <c r="W35" s="384"/>
    </row>
    <row r="36" spans="1:38" ht="13.5" thickBot="1">
      <c r="A36" s="562" t="s">
        <v>374</v>
      </c>
      <c r="B36" s="84" t="s">
        <v>378</v>
      </c>
      <c r="C36" s="83" t="s">
        <v>377</v>
      </c>
      <c r="D36" s="82">
        <v>839.23</v>
      </c>
      <c r="E36" s="243">
        <f t="shared" si="5"/>
        <v>150</v>
      </c>
      <c r="F36" s="82">
        <v>213.84829999999999</v>
      </c>
      <c r="G36" s="82">
        <v>2.5</v>
      </c>
      <c r="H36" s="82">
        <f t="shared" si="6"/>
        <v>534.62075000000004</v>
      </c>
      <c r="I36" s="81">
        <f t="shared" si="7"/>
        <v>5</v>
      </c>
      <c r="J36" s="270">
        <f t="shared" si="17"/>
        <v>750</v>
      </c>
      <c r="K36" s="81">
        <f t="shared" si="1"/>
        <v>215.37924999999996</v>
      </c>
      <c r="L36" s="82">
        <f t="shared" si="8"/>
        <v>71.282766666666674</v>
      </c>
      <c r="M36" s="98" t="s">
        <v>376</v>
      </c>
      <c r="N36" s="80">
        <v>844.89</v>
      </c>
      <c r="O36" s="168">
        <f t="shared" si="9"/>
        <v>150</v>
      </c>
      <c r="P36" s="80">
        <f t="shared" si="21"/>
        <v>213.84829999999999</v>
      </c>
      <c r="Q36" s="79">
        <v>2.5</v>
      </c>
      <c r="R36" s="251">
        <f t="shared" si="11"/>
        <v>534.62075000000004</v>
      </c>
      <c r="S36" s="80">
        <f t="shared" si="18"/>
        <v>750</v>
      </c>
      <c r="T36" s="191">
        <f t="shared" si="19"/>
        <v>215.37924999999996</v>
      </c>
      <c r="U36" s="204" t="str">
        <f t="shared" si="20"/>
        <v>No</v>
      </c>
      <c r="V36" s="384"/>
      <c r="W36" s="384"/>
      <c r="AA36" s="266"/>
    </row>
    <row r="37" spans="1:38" ht="14.25" customHeight="1" thickBot="1">
      <c r="A37" s="564"/>
      <c r="B37" s="94" t="s">
        <v>375</v>
      </c>
      <c r="C37" s="93" t="s">
        <v>374</v>
      </c>
      <c r="D37" s="92">
        <v>497.76499999999999</v>
      </c>
      <c r="E37" s="244">
        <f t="shared" si="5"/>
        <v>200</v>
      </c>
      <c r="F37" s="92">
        <v>1151.328</v>
      </c>
      <c r="G37" s="82">
        <v>2.5</v>
      </c>
      <c r="H37" s="72">
        <f t="shared" si="6"/>
        <v>2878.3199999999997</v>
      </c>
      <c r="I37" s="81">
        <f t="shared" si="7"/>
        <v>18</v>
      </c>
      <c r="J37" s="272">
        <f t="shared" si="17"/>
        <v>3600</v>
      </c>
      <c r="K37" s="81">
        <f t="shared" si="1"/>
        <v>721.68000000000029</v>
      </c>
      <c r="L37" s="82">
        <f t="shared" si="8"/>
        <v>79.953333333333319</v>
      </c>
      <c r="M37" s="88" t="s">
        <v>373</v>
      </c>
      <c r="N37" s="90">
        <v>503.42500000000001</v>
      </c>
      <c r="O37" s="168">
        <f t="shared" si="9"/>
        <v>200</v>
      </c>
      <c r="P37" s="80">
        <f t="shared" si="21"/>
        <v>1151.328</v>
      </c>
      <c r="Q37" s="79">
        <v>2.5</v>
      </c>
      <c r="R37" s="253">
        <f t="shared" si="11"/>
        <v>2878.3199999999997</v>
      </c>
      <c r="S37" s="80">
        <f t="shared" si="18"/>
        <v>3600</v>
      </c>
      <c r="T37" s="191">
        <f t="shared" si="19"/>
        <v>721.68000000000029</v>
      </c>
      <c r="U37" s="204" t="str">
        <f t="shared" si="20"/>
        <v>No</v>
      </c>
      <c r="V37" s="224"/>
      <c r="W37" s="224"/>
      <c r="Y37" s="153" t="s">
        <v>369</v>
      </c>
      <c r="Z37" s="227">
        <f>SUM(Z29:Z36)</f>
        <v>1030</v>
      </c>
      <c r="AA37" s="266"/>
    </row>
    <row r="38" spans="1:38" ht="13.5" thickBot="1">
      <c r="A38" s="372" t="s">
        <v>371</v>
      </c>
      <c r="B38" s="84" t="s">
        <v>372</v>
      </c>
      <c r="C38" s="83" t="s">
        <v>371</v>
      </c>
      <c r="D38" s="82">
        <v>285.27999999999997</v>
      </c>
      <c r="E38" s="92">
        <f t="shared" si="5"/>
        <v>250</v>
      </c>
      <c r="F38" s="82">
        <v>779.52329999999995</v>
      </c>
      <c r="G38" s="82">
        <v>2.5</v>
      </c>
      <c r="H38" s="92">
        <f t="shared" si="6"/>
        <v>1948.8082499999998</v>
      </c>
      <c r="I38" s="81">
        <f t="shared" si="7"/>
        <v>10</v>
      </c>
      <c r="J38" s="242">
        <f t="shared" si="17"/>
        <v>2500</v>
      </c>
      <c r="K38" s="81">
        <f t="shared" si="1"/>
        <v>551.19175000000018</v>
      </c>
      <c r="L38" s="82">
        <f t="shared" si="8"/>
        <v>77.952329999999989</v>
      </c>
      <c r="M38" s="80" t="s">
        <v>370</v>
      </c>
      <c r="N38" s="80">
        <v>539.80499999999995</v>
      </c>
      <c r="O38" s="168">
        <f t="shared" si="9"/>
        <v>150</v>
      </c>
      <c r="P38" s="80">
        <f t="shared" si="21"/>
        <v>779.52329999999995</v>
      </c>
      <c r="Q38" s="79">
        <v>2.5</v>
      </c>
      <c r="R38" s="89">
        <f t="shared" si="11"/>
        <v>1948.8082499999998</v>
      </c>
      <c r="S38" s="80">
        <f t="shared" si="18"/>
        <v>1500</v>
      </c>
      <c r="T38" s="191">
        <f t="shared" si="19"/>
        <v>-448.80824999999982</v>
      </c>
      <c r="U38" s="204" t="str">
        <f t="shared" si="20"/>
        <v>Yes</v>
      </c>
      <c r="V38" s="206" t="s">
        <v>511</v>
      </c>
      <c r="W38" s="205" t="s">
        <v>512</v>
      </c>
      <c r="Y38" s="226" t="s">
        <v>365</v>
      </c>
      <c r="Z38" s="225">
        <f>Z37/J57</f>
        <v>2.2318526543878656E-2</v>
      </c>
    </row>
    <row r="39" spans="1:38" ht="13.5" thickBot="1">
      <c r="A39" s="562" t="s">
        <v>60</v>
      </c>
      <c r="B39" s="84" t="s">
        <v>368</v>
      </c>
      <c r="C39" s="83" t="s">
        <v>367</v>
      </c>
      <c r="D39" s="82">
        <v>239.47</v>
      </c>
      <c r="E39" s="243">
        <f t="shared" si="5"/>
        <v>250</v>
      </c>
      <c r="F39" s="82">
        <v>886.15449999999998</v>
      </c>
      <c r="G39" s="82">
        <v>2.5</v>
      </c>
      <c r="H39" s="82">
        <f t="shared" si="6"/>
        <v>2215.38625</v>
      </c>
      <c r="I39" s="81">
        <f t="shared" si="7"/>
        <v>11</v>
      </c>
      <c r="J39" s="270">
        <f t="shared" si="17"/>
        <v>2750</v>
      </c>
      <c r="K39" s="81">
        <f t="shared" si="1"/>
        <v>534.61374999999998</v>
      </c>
      <c r="L39" s="82">
        <f t="shared" si="8"/>
        <v>80.5595</v>
      </c>
      <c r="M39" s="98" t="s">
        <v>366</v>
      </c>
      <c r="N39" s="80">
        <v>585.61500000000001</v>
      </c>
      <c r="O39" s="168">
        <f t="shared" si="9"/>
        <v>150</v>
      </c>
      <c r="P39" s="80">
        <f t="shared" si="21"/>
        <v>886.15449999999998</v>
      </c>
      <c r="Q39" s="79">
        <v>2.5</v>
      </c>
      <c r="R39" s="251">
        <f t="shared" si="11"/>
        <v>2215.38625</v>
      </c>
      <c r="S39" s="80">
        <f t="shared" si="18"/>
        <v>1650</v>
      </c>
      <c r="T39" s="191">
        <f t="shared" si="19"/>
        <v>-565.38625000000002</v>
      </c>
      <c r="U39" s="204" t="str">
        <f t="shared" si="20"/>
        <v>Yes</v>
      </c>
      <c r="V39" s="203" t="s">
        <v>20</v>
      </c>
      <c r="W39" s="202">
        <v>420</v>
      </c>
    </row>
    <row r="40" spans="1:38" ht="14.25" customHeight="1" thickBot="1">
      <c r="A40" s="563"/>
      <c r="B40" s="74" t="s">
        <v>364</v>
      </c>
      <c r="C40" s="73" t="s">
        <v>61</v>
      </c>
      <c r="D40" s="72">
        <v>381.34</v>
      </c>
      <c r="E40" s="245">
        <f t="shared" si="5"/>
        <v>200</v>
      </c>
      <c r="F40" s="72">
        <v>233.80699999999999</v>
      </c>
      <c r="G40" s="82">
        <v>2.5</v>
      </c>
      <c r="H40" s="92">
        <f t="shared" si="6"/>
        <v>584.51749999999993</v>
      </c>
      <c r="I40" s="81">
        <f t="shared" si="7"/>
        <v>4</v>
      </c>
      <c r="J40" s="274">
        <f t="shared" si="17"/>
        <v>800</v>
      </c>
      <c r="K40" s="81">
        <f t="shared" si="1"/>
        <v>215.48250000000007</v>
      </c>
      <c r="L40" s="82">
        <f t="shared" si="8"/>
        <v>73.064687499999991</v>
      </c>
      <c r="M40" s="69" t="s">
        <v>328</v>
      </c>
      <c r="N40" s="70">
        <v>673.16499999999996</v>
      </c>
      <c r="O40" s="168">
        <f t="shared" si="9"/>
        <v>150</v>
      </c>
      <c r="P40" s="80">
        <f t="shared" si="21"/>
        <v>233.80699999999999</v>
      </c>
      <c r="Q40" s="79">
        <v>2.5</v>
      </c>
      <c r="R40" s="252">
        <f t="shared" si="11"/>
        <v>584.51749999999993</v>
      </c>
      <c r="S40" s="80">
        <f t="shared" si="18"/>
        <v>600</v>
      </c>
      <c r="T40" s="191">
        <f t="shared" si="19"/>
        <v>15.482500000000073</v>
      </c>
      <c r="U40" s="204" t="str">
        <f t="shared" si="20"/>
        <v>No</v>
      </c>
      <c r="V40" s="201" t="s">
        <v>28</v>
      </c>
      <c r="W40" s="200">
        <v>10</v>
      </c>
    </row>
    <row r="41" spans="1:38" ht="13.5" thickBot="1">
      <c r="A41" s="564" t="s">
        <v>363</v>
      </c>
      <c r="B41" s="62" t="s">
        <v>362</v>
      </c>
      <c r="C41" s="111" t="s">
        <v>74</v>
      </c>
      <c r="D41" s="92">
        <v>632.29499999999996</v>
      </c>
      <c r="E41" s="243">
        <f t="shared" si="5"/>
        <v>150</v>
      </c>
      <c r="F41" s="92">
        <v>416.14780000000002</v>
      </c>
      <c r="G41" s="82">
        <v>2.5</v>
      </c>
      <c r="H41" s="82">
        <f t="shared" si="6"/>
        <v>1040.3695</v>
      </c>
      <c r="I41" s="81">
        <f t="shared" si="7"/>
        <v>9</v>
      </c>
      <c r="J41" s="270">
        <f t="shared" si="17"/>
        <v>1350</v>
      </c>
      <c r="K41" s="81">
        <f t="shared" si="1"/>
        <v>309.63049999999998</v>
      </c>
      <c r="L41" s="82">
        <f t="shared" si="8"/>
        <v>77.064407407407415</v>
      </c>
      <c r="M41" s="88" t="s">
        <v>361</v>
      </c>
      <c r="N41" s="90">
        <v>692.19500000000005</v>
      </c>
      <c r="O41" s="168">
        <f t="shared" si="9"/>
        <v>150</v>
      </c>
      <c r="P41" s="80">
        <f t="shared" si="21"/>
        <v>416.14780000000002</v>
      </c>
      <c r="Q41" s="79">
        <v>2.5</v>
      </c>
      <c r="R41" s="251">
        <f t="shared" si="11"/>
        <v>1040.3695</v>
      </c>
      <c r="S41" s="80">
        <f t="shared" si="18"/>
        <v>1350</v>
      </c>
      <c r="T41" s="191">
        <f t="shared" si="19"/>
        <v>309.63049999999998</v>
      </c>
      <c r="U41" s="348" t="str">
        <f t="shared" si="20"/>
        <v>No</v>
      </c>
      <c r="V41" s="350"/>
      <c r="W41" s="351"/>
    </row>
    <row r="42" spans="1:38" ht="14.25" customHeight="1" thickBot="1">
      <c r="A42" s="564"/>
      <c r="B42" s="94" t="s">
        <v>360</v>
      </c>
      <c r="C42" s="93" t="s">
        <v>55</v>
      </c>
      <c r="D42" s="105">
        <v>566.26</v>
      </c>
      <c r="E42" s="245">
        <f t="shared" si="5"/>
        <v>150</v>
      </c>
      <c r="F42" s="105">
        <v>424.66829999999999</v>
      </c>
      <c r="G42" s="82">
        <v>2.5</v>
      </c>
      <c r="H42" s="92">
        <f t="shared" si="6"/>
        <v>1061.67075</v>
      </c>
      <c r="I42" s="81">
        <f t="shared" si="7"/>
        <v>9</v>
      </c>
      <c r="J42" s="274">
        <f t="shared" si="17"/>
        <v>1350</v>
      </c>
      <c r="K42" s="81">
        <f t="shared" si="1"/>
        <v>288.32925</v>
      </c>
      <c r="L42" s="82">
        <f t="shared" si="8"/>
        <v>78.642277777777778</v>
      </c>
      <c r="M42" s="99" t="s">
        <v>359</v>
      </c>
      <c r="N42" s="104">
        <v>1033.6600000000001</v>
      </c>
      <c r="O42" s="168">
        <f t="shared" si="9"/>
        <v>150</v>
      </c>
      <c r="P42" s="80">
        <f t="shared" si="21"/>
        <v>424.66829999999999</v>
      </c>
      <c r="Q42" s="79">
        <v>2.5</v>
      </c>
      <c r="R42" s="252">
        <f t="shared" si="11"/>
        <v>1061.67075</v>
      </c>
      <c r="S42" s="80">
        <f t="shared" si="18"/>
        <v>1350</v>
      </c>
      <c r="T42" s="191">
        <f t="shared" si="19"/>
        <v>288.32925</v>
      </c>
      <c r="U42" s="348" t="str">
        <f t="shared" si="20"/>
        <v>No</v>
      </c>
      <c r="V42" s="352" t="s">
        <v>22</v>
      </c>
      <c r="W42" s="353">
        <v>30</v>
      </c>
      <c r="X42" s="558" t="s">
        <v>592</v>
      </c>
      <c r="Y42" s="558"/>
      <c r="Z42" s="558"/>
      <c r="AA42" s="558"/>
      <c r="AB42" s="558"/>
      <c r="AC42" s="559"/>
      <c r="AD42" s="154"/>
      <c r="AI42" s="486"/>
      <c r="AJ42" s="486"/>
      <c r="AK42" s="486"/>
      <c r="AL42" s="486"/>
    </row>
    <row r="43" spans="1:38" ht="14.25" customHeight="1" thickBot="1">
      <c r="A43" s="564"/>
      <c r="B43" s="94" t="s">
        <v>358</v>
      </c>
      <c r="C43" s="93" t="s">
        <v>62</v>
      </c>
      <c r="D43" s="92">
        <v>174.54</v>
      </c>
      <c r="E43" s="244">
        <f t="shared" si="5"/>
        <v>250</v>
      </c>
      <c r="F43" s="92">
        <v>80.336669999999998</v>
      </c>
      <c r="G43" s="82">
        <v>2.5</v>
      </c>
      <c r="H43" s="72">
        <f t="shared" si="6"/>
        <v>200.84167500000001</v>
      </c>
      <c r="I43" s="81">
        <f t="shared" si="7"/>
        <v>1</v>
      </c>
      <c r="J43" s="272">
        <f t="shared" si="17"/>
        <v>250</v>
      </c>
      <c r="K43" s="81">
        <f t="shared" si="1"/>
        <v>49.158324999999991</v>
      </c>
      <c r="L43" s="82">
        <f t="shared" si="8"/>
        <v>80.336669999999998</v>
      </c>
      <c r="M43" s="88" t="s">
        <v>357</v>
      </c>
      <c r="N43" s="90">
        <v>811.21</v>
      </c>
      <c r="O43" s="168">
        <f t="shared" si="9"/>
        <v>150</v>
      </c>
      <c r="P43" s="80">
        <f t="shared" si="21"/>
        <v>80.336669999999998</v>
      </c>
      <c r="Q43" s="79">
        <v>2.5</v>
      </c>
      <c r="R43" s="253">
        <f t="shared" si="11"/>
        <v>200.84167500000001</v>
      </c>
      <c r="S43" s="80">
        <f t="shared" si="18"/>
        <v>150</v>
      </c>
      <c r="T43" s="191">
        <f t="shared" si="19"/>
        <v>-50.841675000000009</v>
      </c>
      <c r="U43" s="348" t="str">
        <f t="shared" si="20"/>
        <v>Yes</v>
      </c>
      <c r="V43" s="354"/>
      <c r="W43" s="355"/>
      <c r="X43" s="349" t="s">
        <v>491</v>
      </c>
      <c r="Y43" s="333" t="s">
        <v>493</v>
      </c>
      <c r="Z43" s="333" t="s">
        <v>494</v>
      </c>
      <c r="AA43" s="333" t="s">
        <v>495</v>
      </c>
      <c r="AB43" s="333" t="s">
        <v>496</v>
      </c>
      <c r="AC43" s="334" t="s">
        <v>562</v>
      </c>
      <c r="AD43" s="290" t="s">
        <v>415</v>
      </c>
      <c r="AI43" s="486"/>
      <c r="AJ43" s="486"/>
      <c r="AK43" s="486"/>
      <c r="AL43" s="491"/>
    </row>
    <row r="44" spans="1:38" ht="13.5" thickBot="1">
      <c r="A44" s="372" t="s">
        <v>355</v>
      </c>
      <c r="B44" s="84" t="s">
        <v>356</v>
      </c>
      <c r="C44" s="83" t="s">
        <v>355</v>
      </c>
      <c r="D44" s="82">
        <v>517.28</v>
      </c>
      <c r="E44" s="92">
        <f t="shared" si="5"/>
        <v>200</v>
      </c>
      <c r="F44" s="82">
        <v>67.241829999999993</v>
      </c>
      <c r="G44" s="82">
        <v>2.5</v>
      </c>
      <c r="H44" s="92">
        <f t="shared" si="6"/>
        <v>168.10457499999998</v>
      </c>
      <c r="I44" s="81">
        <f t="shared" si="7"/>
        <v>2</v>
      </c>
      <c r="J44" s="242">
        <f t="shared" si="17"/>
        <v>400</v>
      </c>
      <c r="K44" s="81">
        <f t="shared" si="1"/>
        <v>231.89542500000002</v>
      </c>
      <c r="L44" s="82">
        <f t="shared" si="8"/>
        <v>42.026143749999996</v>
      </c>
      <c r="M44" s="80" t="s">
        <v>354</v>
      </c>
      <c r="N44" s="80">
        <v>607.995</v>
      </c>
      <c r="O44" s="168">
        <f t="shared" si="9"/>
        <v>150</v>
      </c>
      <c r="P44" s="80">
        <f t="shared" si="21"/>
        <v>67.241829999999993</v>
      </c>
      <c r="Q44" s="79">
        <v>2.5</v>
      </c>
      <c r="R44" s="89">
        <f t="shared" si="11"/>
        <v>168.10457499999998</v>
      </c>
      <c r="S44" s="80">
        <f t="shared" si="18"/>
        <v>300</v>
      </c>
      <c r="T44" s="191">
        <f t="shared" si="19"/>
        <v>131.89542500000002</v>
      </c>
      <c r="U44" s="204" t="str">
        <f t="shared" si="20"/>
        <v>No</v>
      </c>
      <c r="V44" s="223"/>
      <c r="X44" s="59" t="s">
        <v>84</v>
      </c>
      <c r="Y44" s="335">
        <v>0</v>
      </c>
      <c r="Z44" s="335">
        <v>0</v>
      </c>
      <c r="AA44" s="336">
        <v>0</v>
      </c>
      <c r="AB44" s="336">
        <v>0</v>
      </c>
      <c r="AC44" s="337">
        <v>0</v>
      </c>
      <c r="AD44" s="338">
        <f>SUM(Y44:AC44)</f>
        <v>0</v>
      </c>
      <c r="AI44" s="486"/>
      <c r="AJ44" s="486"/>
      <c r="AK44" s="486"/>
      <c r="AL44" s="486"/>
    </row>
    <row r="45" spans="1:38" ht="13.5" thickBot="1">
      <c r="A45" s="562" t="s">
        <v>349</v>
      </c>
      <c r="B45" s="84" t="s">
        <v>353</v>
      </c>
      <c r="C45" s="83" t="s">
        <v>342</v>
      </c>
      <c r="D45" s="82">
        <v>592.98500000000001</v>
      </c>
      <c r="E45" s="243">
        <f t="shared" si="5"/>
        <v>150</v>
      </c>
      <c r="F45" s="82">
        <v>175.91919999999999</v>
      </c>
      <c r="G45" s="82">
        <v>2.5</v>
      </c>
      <c r="H45" s="82">
        <f t="shared" si="6"/>
        <v>439.798</v>
      </c>
      <c r="I45" s="81">
        <f t="shared" si="7"/>
        <v>4</v>
      </c>
      <c r="J45" s="270">
        <f t="shared" si="17"/>
        <v>600</v>
      </c>
      <c r="K45" s="81">
        <f t="shared" si="1"/>
        <v>160.202</v>
      </c>
      <c r="L45" s="82">
        <f t="shared" si="8"/>
        <v>73.299666666666667</v>
      </c>
      <c r="M45" s="98" t="s">
        <v>352</v>
      </c>
      <c r="N45" s="80">
        <v>1051.23</v>
      </c>
      <c r="O45" s="168">
        <f t="shared" si="9"/>
        <v>150</v>
      </c>
      <c r="P45" s="80">
        <f t="shared" si="21"/>
        <v>175.91919999999999</v>
      </c>
      <c r="Q45" s="79">
        <v>2.5</v>
      </c>
      <c r="R45" s="251">
        <f t="shared" si="11"/>
        <v>439.798</v>
      </c>
      <c r="S45" s="80">
        <f t="shared" si="18"/>
        <v>600</v>
      </c>
      <c r="T45" s="191">
        <f t="shared" si="19"/>
        <v>160.202</v>
      </c>
      <c r="U45" s="204" t="str">
        <f t="shared" si="20"/>
        <v>No</v>
      </c>
      <c r="V45" s="223"/>
      <c r="X45" s="59" t="s">
        <v>85</v>
      </c>
      <c r="Y45" s="335">
        <v>0</v>
      </c>
      <c r="Z45" s="335">
        <v>0</v>
      </c>
      <c r="AA45" s="335">
        <v>0</v>
      </c>
      <c r="AB45" s="335">
        <v>0</v>
      </c>
      <c r="AC45" s="337">
        <v>0</v>
      </c>
      <c r="AD45" s="59">
        <f t="shared" ref="AD45:AD55" si="22">SUM(Y45:AC45)</f>
        <v>0</v>
      </c>
      <c r="AI45" s="486"/>
      <c r="AJ45" s="486"/>
      <c r="AK45" s="486"/>
      <c r="AL45" s="486"/>
    </row>
    <row r="46" spans="1:38" ht="14.25" customHeight="1" thickBot="1">
      <c r="A46" s="564"/>
      <c r="B46" s="94" t="s">
        <v>350</v>
      </c>
      <c r="C46" s="93" t="s">
        <v>349</v>
      </c>
      <c r="D46" s="105">
        <v>374.84</v>
      </c>
      <c r="E46" s="245">
        <f t="shared" si="5"/>
        <v>200</v>
      </c>
      <c r="F46" s="105">
        <v>115.1143</v>
      </c>
      <c r="G46" s="82">
        <v>2.5</v>
      </c>
      <c r="H46" s="92">
        <f t="shared" si="6"/>
        <v>287.78575000000001</v>
      </c>
      <c r="I46" s="81">
        <f t="shared" si="7"/>
        <v>2</v>
      </c>
      <c r="J46" s="274">
        <f t="shared" si="17"/>
        <v>400</v>
      </c>
      <c r="K46" s="81">
        <f t="shared" si="1"/>
        <v>112.21424999999999</v>
      </c>
      <c r="L46" s="82">
        <f t="shared" si="8"/>
        <v>71.946437500000002</v>
      </c>
      <c r="M46" s="99" t="s">
        <v>348</v>
      </c>
      <c r="N46" s="104">
        <v>838.745</v>
      </c>
      <c r="O46" s="168">
        <f t="shared" si="9"/>
        <v>150</v>
      </c>
      <c r="P46" s="80">
        <f t="shared" si="21"/>
        <v>115.1143</v>
      </c>
      <c r="Q46" s="79">
        <v>2.5</v>
      </c>
      <c r="R46" s="252">
        <f t="shared" si="11"/>
        <v>287.78575000000001</v>
      </c>
      <c r="S46" s="80">
        <f t="shared" si="18"/>
        <v>300</v>
      </c>
      <c r="T46" s="191">
        <f t="shared" si="19"/>
        <v>12.214249999999993</v>
      </c>
      <c r="U46" s="204" t="str">
        <f t="shared" si="20"/>
        <v>No</v>
      </c>
      <c r="V46" s="223"/>
      <c r="X46" s="59" t="s">
        <v>86</v>
      </c>
      <c r="Y46" s="335">
        <v>0</v>
      </c>
      <c r="Z46" s="335">
        <v>0</v>
      </c>
      <c r="AA46" s="335">
        <v>0</v>
      </c>
      <c r="AB46" s="335">
        <v>0</v>
      </c>
      <c r="AC46" s="337">
        <v>0</v>
      </c>
      <c r="AD46" s="59">
        <f t="shared" si="22"/>
        <v>0</v>
      </c>
      <c r="AF46" s="481" t="s">
        <v>498</v>
      </c>
      <c r="AG46" s="481" t="s">
        <v>499</v>
      </c>
      <c r="AH46" s="340" t="s">
        <v>500</v>
      </c>
      <c r="AI46" s="486"/>
      <c r="AJ46" s="486"/>
    </row>
    <row r="47" spans="1:38" ht="14.25" customHeight="1" thickBot="1">
      <c r="A47" s="564"/>
      <c r="B47" s="94" t="s">
        <v>347</v>
      </c>
      <c r="C47" s="93" t="s">
        <v>335</v>
      </c>
      <c r="D47" s="105">
        <v>675.17499999999995</v>
      </c>
      <c r="E47" s="245">
        <f t="shared" si="5"/>
        <v>150</v>
      </c>
      <c r="F47" s="105">
        <v>87.5685</v>
      </c>
      <c r="G47" s="82">
        <v>2.5</v>
      </c>
      <c r="H47" s="92">
        <f t="shared" si="6"/>
        <v>218.92124999999999</v>
      </c>
      <c r="I47" s="81">
        <f t="shared" si="7"/>
        <v>2</v>
      </c>
      <c r="J47" s="274">
        <f t="shared" si="17"/>
        <v>300</v>
      </c>
      <c r="K47" s="81">
        <f t="shared" si="1"/>
        <v>81.078750000000014</v>
      </c>
      <c r="L47" s="82">
        <f t="shared" si="8"/>
        <v>72.973749999999995</v>
      </c>
      <c r="M47" s="99" t="s">
        <v>346</v>
      </c>
      <c r="N47" s="104">
        <v>792.93499999999995</v>
      </c>
      <c r="O47" s="168">
        <f t="shared" si="9"/>
        <v>150</v>
      </c>
      <c r="P47" s="80">
        <f t="shared" si="21"/>
        <v>87.5685</v>
      </c>
      <c r="Q47" s="79">
        <v>2.5</v>
      </c>
      <c r="R47" s="252">
        <f t="shared" si="11"/>
        <v>218.92124999999999</v>
      </c>
      <c r="S47" s="80">
        <f t="shared" si="18"/>
        <v>300</v>
      </c>
      <c r="T47" s="191">
        <f t="shared" si="19"/>
        <v>81.078750000000014</v>
      </c>
      <c r="U47" s="204" t="str">
        <f t="shared" si="20"/>
        <v>No</v>
      </c>
      <c r="V47" s="223"/>
      <c r="X47" s="59" t="s">
        <v>87</v>
      </c>
      <c r="Y47" s="335">
        <v>0</v>
      </c>
      <c r="Z47" s="335">
        <v>3</v>
      </c>
      <c r="AA47" s="335">
        <v>0</v>
      </c>
      <c r="AB47" s="335">
        <v>0</v>
      </c>
      <c r="AC47" s="337">
        <v>0</v>
      </c>
      <c r="AD47" s="59">
        <f t="shared" si="22"/>
        <v>3</v>
      </c>
      <c r="AF47" s="60" t="s">
        <v>493</v>
      </c>
      <c r="AG47" s="60">
        <v>100</v>
      </c>
      <c r="AH47" s="492">
        <v>15</v>
      </c>
      <c r="AI47" s="486"/>
      <c r="AJ47" s="486"/>
    </row>
    <row r="48" spans="1:38" ht="14.25" customHeight="1" thickBot="1">
      <c r="A48" s="564"/>
      <c r="B48" s="94" t="s">
        <v>339</v>
      </c>
      <c r="C48" s="93" t="s">
        <v>338</v>
      </c>
      <c r="D48" s="92">
        <v>768.38499999999999</v>
      </c>
      <c r="E48" s="245">
        <f t="shared" si="5"/>
        <v>150</v>
      </c>
      <c r="F48" s="92">
        <v>46.164000000000001</v>
      </c>
      <c r="G48" s="82">
        <v>2.5</v>
      </c>
      <c r="H48" s="92">
        <f t="shared" si="6"/>
        <v>115.41</v>
      </c>
      <c r="I48" s="81">
        <f t="shared" si="7"/>
        <v>1</v>
      </c>
      <c r="J48" s="274">
        <f t="shared" si="17"/>
        <v>150</v>
      </c>
      <c r="K48" s="81">
        <f t="shared" si="1"/>
        <v>34.590000000000003</v>
      </c>
      <c r="L48" s="82">
        <f t="shared" si="8"/>
        <v>76.94</v>
      </c>
      <c r="M48" s="88" t="s">
        <v>345</v>
      </c>
      <c r="N48" s="90">
        <v>934.80499999999995</v>
      </c>
      <c r="O48" s="168">
        <f t="shared" si="9"/>
        <v>150</v>
      </c>
      <c r="P48" s="80">
        <f t="shared" si="21"/>
        <v>46.164000000000001</v>
      </c>
      <c r="Q48" s="79">
        <v>2.5</v>
      </c>
      <c r="R48" s="252">
        <f t="shared" si="11"/>
        <v>115.41</v>
      </c>
      <c r="S48" s="80">
        <f t="shared" si="18"/>
        <v>150</v>
      </c>
      <c r="T48" s="191">
        <f t="shared" si="19"/>
        <v>34.590000000000003</v>
      </c>
      <c r="U48" s="204" t="str">
        <f t="shared" si="20"/>
        <v>No</v>
      </c>
      <c r="V48" s="223"/>
      <c r="X48" s="59" t="s">
        <v>88</v>
      </c>
      <c r="Y48" s="335">
        <v>1</v>
      </c>
      <c r="Z48" s="335">
        <v>0</v>
      </c>
      <c r="AA48" s="335">
        <v>0</v>
      </c>
      <c r="AB48" s="335">
        <v>0</v>
      </c>
      <c r="AC48" s="337">
        <v>0</v>
      </c>
      <c r="AD48" s="59">
        <f t="shared" si="22"/>
        <v>1</v>
      </c>
      <c r="AE48" s="384"/>
      <c r="AF48" s="341" t="s">
        <v>494</v>
      </c>
      <c r="AG48" s="341">
        <v>150</v>
      </c>
      <c r="AH48" s="493">
        <v>16.3689</v>
      </c>
      <c r="AI48" s="486"/>
      <c r="AJ48" s="486"/>
      <c r="AL48" s="486"/>
    </row>
    <row r="49" spans="1:38" ht="13.5" thickBot="1">
      <c r="A49" s="562" t="s">
        <v>344</v>
      </c>
      <c r="B49" s="84" t="s">
        <v>343</v>
      </c>
      <c r="C49" s="83" t="s">
        <v>342</v>
      </c>
      <c r="D49" s="82">
        <v>592.98500000000001</v>
      </c>
      <c r="E49" s="243">
        <f t="shared" si="5"/>
        <v>150</v>
      </c>
      <c r="F49" s="82">
        <v>175.91919999999999</v>
      </c>
      <c r="G49" s="82">
        <v>2.5</v>
      </c>
      <c r="H49" s="82">
        <f t="shared" si="6"/>
        <v>439.798</v>
      </c>
      <c r="I49" s="81">
        <f t="shared" si="7"/>
        <v>4</v>
      </c>
      <c r="J49" s="270">
        <f t="shared" si="17"/>
        <v>600</v>
      </c>
      <c r="K49" s="81">
        <f t="shared" si="1"/>
        <v>160.202</v>
      </c>
      <c r="L49" s="82">
        <f t="shared" si="8"/>
        <v>73.299666666666667</v>
      </c>
      <c r="M49" s="98" t="s">
        <v>341</v>
      </c>
      <c r="N49" s="80">
        <v>992.44500000000005</v>
      </c>
      <c r="O49" s="168">
        <f t="shared" si="9"/>
        <v>150</v>
      </c>
      <c r="P49" s="80">
        <f t="shared" si="21"/>
        <v>175.91919999999999</v>
      </c>
      <c r="Q49" s="79">
        <v>2.5</v>
      </c>
      <c r="R49" s="251">
        <f t="shared" si="11"/>
        <v>439.798</v>
      </c>
      <c r="S49" s="80">
        <f t="shared" si="18"/>
        <v>600</v>
      </c>
      <c r="T49" s="191">
        <f t="shared" si="19"/>
        <v>160.202</v>
      </c>
      <c r="U49" s="204" t="str">
        <f t="shared" si="20"/>
        <v>No</v>
      </c>
      <c r="V49" s="223"/>
      <c r="X49" s="59" t="s">
        <v>89</v>
      </c>
      <c r="Y49" s="335">
        <v>1</v>
      </c>
      <c r="Z49" s="335">
        <v>0</v>
      </c>
      <c r="AA49" s="335">
        <v>0</v>
      </c>
      <c r="AB49" s="335">
        <v>0</v>
      </c>
      <c r="AC49" s="337">
        <v>0</v>
      </c>
      <c r="AD49" s="59">
        <f t="shared" si="22"/>
        <v>1</v>
      </c>
      <c r="AE49" s="382"/>
      <c r="AF49" s="341" t="s">
        <v>495</v>
      </c>
      <c r="AG49" s="341">
        <v>200</v>
      </c>
      <c r="AH49" s="493">
        <v>16.746700000000001</v>
      </c>
      <c r="AI49" s="486"/>
      <c r="AJ49" s="486"/>
      <c r="AL49" s="486"/>
    </row>
    <row r="50" spans="1:38" ht="14.25" customHeight="1" thickBot="1">
      <c r="A50" s="564"/>
      <c r="B50" s="94" t="s">
        <v>339</v>
      </c>
      <c r="C50" s="93" t="s">
        <v>338</v>
      </c>
      <c r="D50" s="92">
        <v>768.38499999999999</v>
      </c>
      <c r="E50" s="245">
        <f t="shared" si="5"/>
        <v>150</v>
      </c>
      <c r="F50" s="92">
        <v>46.164000000000001</v>
      </c>
      <c r="G50" s="82">
        <v>2.5</v>
      </c>
      <c r="H50" s="92">
        <f t="shared" si="6"/>
        <v>115.41</v>
      </c>
      <c r="I50" s="81">
        <f t="shared" si="7"/>
        <v>1</v>
      </c>
      <c r="J50" s="274">
        <f t="shared" si="17"/>
        <v>150</v>
      </c>
      <c r="K50" s="81">
        <f t="shared" si="1"/>
        <v>34.590000000000003</v>
      </c>
      <c r="L50" s="82">
        <f t="shared" si="8"/>
        <v>76.94</v>
      </c>
      <c r="M50" s="88" t="s">
        <v>337</v>
      </c>
      <c r="N50" s="90">
        <v>817.04499999999996</v>
      </c>
      <c r="O50" s="168">
        <f t="shared" si="9"/>
        <v>150</v>
      </c>
      <c r="P50" s="80">
        <f t="shared" si="21"/>
        <v>46.164000000000001</v>
      </c>
      <c r="Q50" s="79">
        <v>2.5</v>
      </c>
      <c r="R50" s="252">
        <f t="shared" si="11"/>
        <v>115.41</v>
      </c>
      <c r="S50" s="80">
        <f t="shared" si="18"/>
        <v>150</v>
      </c>
      <c r="T50" s="191">
        <f t="shared" si="19"/>
        <v>34.590000000000003</v>
      </c>
      <c r="U50" s="204" t="str">
        <f t="shared" si="20"/>
        <v>No</v>
      </c>
      <c r="V50" s="223"/>
      <c r="X50" s="59" t="s">
        <v>90</v>
      </c>
      <c r="Y50" s="335">
        <v>1</v>
      </c>
      <c r="Z50" s="335">
        <v>0</v>
      </c>
      <c r="AA50" s="335">
        <v>0</v>
      </c>
      <c r="AB50" s="335">
        <v>0</v>
      </c>
      <c r="AC50" s="337">
        <v>0</v>
      </c>
      <c r="AD50" s="59">
        <f t="shared" si="22"/>
        <v>1</v>
      </c>
      <c r="AE50" s="382"/>
      <c r="AF50" s="341" t="s">
        <v>496</v>
      </c>
      <c r="AG50" s="341">
        <v>250</v>
      </c>
      <c r="AH50" s="493">
        <v>16.886600000000001</v>
      </c>
      <c r="AI50" s="486"/>
      <c r="AJ50" s="486"/>
      <c r="AL50" s="486"/>
    </row>
    <row r="51" spans="1:38" ht="13.5" thickBot="1">
      <c r="A51" s="562" t="s">
        <v>340</v>
      </c>
      <c r="B51" s="84" t="s">
        <v>339</v>
      </c>
      <c r="C51" s="83" t="s">
        <v>338</v>
      </c>
      <c r="D51" s="82">
        <v>768.38499999999999</v>
      </c>
      <c r="E51" s="243">
        <f t="shared" si="5"/>
        <v>150</v>
      </c>
      <c r="F51" s="82">
        <v>46.164000000000001</v>
      </c>
      <c r="G51" s="82">
        <v>2.5</v>
      </c>
      <c r="H51" s="82">
        <f t="shared" si="6"/>
        <v>115.41</v>
      </c>
      <c r="I51" s="81">
        <f t="shared" si="7"/>
        <v>1</v>
      </c>
      <c r="J51" s="270">
        <f t="shared" si="17"/>
        <v>150</v>
      </c>
      <c r="K51" s="81">
        <f t="shared" si="1"/>
        <v>34.590000000000003</v>
      </c>
      <c r="L51" s="82">
        <f t="shared" si="8"/>
        <v>76.94</v>
      </c>
      <c r="M51" s="98" t="s">
        <v>337</v>
      </c>
      <c r="N51" s="80">
        <v>817.04499999999996</v>
      </c>
      <c r="O51" s="168">
        <f t="shared" si="9"/>
        <v>150</v>
      </c>
      <c r="P51" s="80">
        <f t="shared" si="21"/>
        <v>46.164000000000001</v>
      </c>
      <c r="Q51" s="79">
        <v>2.5</v>
      </c>
      <c r="R51" s="251">
        <f t="shared" si="11"/>
        <v>115.41</v>
      </c>
      <c r="S51" s="80">
        <f t="shared" si="18"/>
        <v>150</v>
      </c>
      <c r="T51" s="191">
        <f t="shared" si="19"/>
        <v>34.590000000000003</v>
      </c>
      <c r="U51" s="204" t="str">
        <f t="shared" si="20"/>
        <v>No</v>
      </c>
      <c r="V51" s="223"/>
      <c r="X51" s="59" t="s">
        <v>91</v>
      </c>
      <c r="Y51" s="335">
        <v>1</v>
      </c>
      <c r="Z51" s="335">
        <v>0</v>
      </c>
      <c r="AA51" s="337">
        <v>0</v>
      </c>
      <c r="AB51" s="337">
        <v>0</v>
      </c>
      <c r="AC51" s="337">
        <v>0</v>
      </c>
      <c r="AD51" s="59">
        <f t="shared" si="22"/>
        <v>1</v>
      </c>
      <c r="AE51" s="384"/>
      <c r="AF51" s="342" t="s">
        <v>562</v>
      </c>
      <c r="AG51" s="342">
        <v>300</v>
      </c>
      <c r="AH51" s="494">
        <v>17</v>
      </c>
      <c r="AI51" s="486"/>
      <c r="AJ51" s="486"/>
      <c r="AL51" s="486"/>
    </row>
    <row r="52" spans="1:38" ht="14.25" customHeight="1" thickBot="1">
      <c r="A52" s="564"/>
      <c r="B52" s="94" t="s">
        <v>30</v>
      </c>
      <c r="C52" s="93" t="s">
        <v>326</v>
      </c>
      <c r="D52" s="92">
        <v>317.27</v>
      </c>
      <c r="E52" s="245">
        <f t="shared" si="5"/>
        <v>200</v>
      </c>
      <c r="F52" s="92">
        <v>136.87530000000001</v>
      </c>
      <c r="G52" s="82">
        <v>2.5</v>
      </c>
      <c r="H52" s="92">
        <f t="shared" si="6"/>
        <v>342.18825000000004</v>
      </c>
      <c r="I52" s="81">
        <f t="shared" si="7"/>
        <v>3</v>
      </c>
      <c r="J52" s="274">
        <f t="shared" si="17"/>
        <v>600</v>
      </c>
      <c r="K52" s="81">
        <f t="shared" si="1"/>
        <v>257.81174999999996</v>
      </c>
      <c r="L52" s="82">
        <f t="shared" si="8"/>
        <v>57.031375000000004</v>
      </c>
      <c r="M52" s="88" t="s">
        <v>325</v>
      </c>
      <c r="N52" s="90">
        <v>518.48</v>
      </c>
      <c r="O52" s="168">
        <f t="shared" si="9"/>
        <v>200</v>
      </c>
      <c r="P52" s="80">
        <f t="shared" si="21"/>
        <v>136.87530000000001</v>
      </c>
      <c r="Q52" s="79">
        <v>2.5</v>
      </c>
      <c r="R52" s="252">
        <f t="shared" si="11"/>
        <v>342.18825000000004</v>
      </c>
      <c r="S52" s="80">
        <f t="shared" si="18"/>
        <v>600</v>
      </c>
      <c r="T52" s="191">
        <f t="shared" si="19"/>
        <v>257.81174999999996</v>
      </c>
      <c r="U52" s="204" t="str">
        <f t="shared" si="20"/>
        <v>No</v>
      </c>
      <c r="V52" s="223"/>
      <c r="X52" s="59" t="s">
        <v>92</v>
      </c>
      <c r="Y52" s="337">
        <v>0</v>
      </c>
      <c r="Z52" s="337">
        <v>0</v>
      </c>
      <c r="AA52" s="337">
        <v>0</v>
      </c>
      <c r="AB52" s="337">
        <v>0</v>
      </c>
      <c r="AC52" s="337">
        <v>0</v>
      </c>
      <c r="AD52" s="59">
        <f t="shared" si="22"/>
        <v>0</v>
      </c>
      <c r="AE52" s="384"/>
      <c r="AF52" s="486"/>
      <c r="AG52" s="486"/>
      <c r="AI52" s="486"/>
      <c r="AJ52" s="486"/>
      <c r="AL52" s="486"/>
    </row>
    <row r="53" spans="1:38" ht="13.5" thickBot="1">
      <c r="A53" s="562" t="s">
        <v>336</v>
      </c>
      <c r="B53" s="84" t="s">
        <v>28</v>
      </c>
      <c r="C53" s="83" t="s">
        <v>335</v>
      </c>
      <c r="D53" s="82">
        <v>675.17499999999995</v>
      </c>
      <c r="E53" s="243">
        <f t="shared" si="5"/>
        <v>150</v>
      </c>
      <c r="F53" s="82">
        <v>87.5685</v>
      </c>
      <c r="G53" s="82">
        <v>2.5</v>
      </c>
      <c r="H53" s="82">
        <f t="shared" si="6"/>
        <v>218.92124999999999</v>
      </c>
      <c r="I53" s="81">
        <f t="shared" si="7"/>
        <v>2</v>
      </c>
      <c r="J53" s="270">
        <f t="shared" si="17"/>
        <v>300</v>
      </c>
      <c r="K53" s="81">
        <f t="shared" si="1"/>
        <v>81.078750000000014</v>
      </c>
      <c r="L53" s="82">
        <f t="shared" si="8"/>
        <v>72.973749999999995</v>
      </c>
      <c r="M53" s="98" t="s">
        <v>334</v>
      </c>
      <c r="N53" s="80">
        <v>792.93499999999995</v>
      </c>
      <c r="O53" s="168">
        <f t="shared" si="9"/>
        <v>150</v>
      </c>
      <c r="P53" s="80">
        <f t="shared" si="21"/>
        <v>87.5685</v>
      </c>
      <c r="Q53" s="79">
        <v>2.5</v>
      </c>
      <c r="R53" s="251">
        <f t="shared" si="11"/>
        <v>218.92124999999999</v>
      </c>
      <c r="S53" s="80">
        <f t="shared" si="18"/>
        <v>300</v>
      </c>
      <c r="T53" s="191">
        <f t="shared" si="19"/>
        <v>81.078750000000014</v>
      </c>
      <c r="U53" s="204" t="str">
        <f t="shared" si="20"/>
        <v>No</v>
      </c>
      <c r="V53" s="223"/>
      <c r="X53" s="59" t="s">
        <v>93</v>
      </c>
      <c r="Y53" s="337">
        <v>2</v>
      </c>
      <c r="Z53" s="335">
        <v>1</v>
      </c>
      <c r="AA53" s="337">
        <v>0</v>
      </c>
      <c r="AB53" s="337">
        <v>0</v>
      </c>
      <c r="AC53" s="337">
        <v>0</v>
      </c>
      <c r="AD53" s="59">
        <f t="shared" si="22"/>
        <v>3</v>
      </c>
      <c r="AE53" s="384"/>
      <c r="AF53" s="486"/>
      <c r="AG53" s="486"/>
      <c r="AI53" s="486"/>
      <c r="AJ53" s="486"/>
      <c r="AK53" s="495"/>
      <c r="AL53" s="486"/>
    </row>
    <row r="54" spans="1:38" ht="13.5" thickBot="1">
      <c r="A54" s="564"/>
      <c r="B54" s="94" t="s">
        <v>333</v>
      </c>
      <c r="C54" s="93" t="s">
        <v>332</v>
      </c>
      <c r="D54" s="92">
        <v>300.33499999999998</v>
      </c>
      <c r="E54" s="244">
        <f t="shared" si="5"/>
        <v>200</v>
      </c>
      <c r="F54" s="92">
        <v>33.29833</v>
      </c>
      <c r="G54" s="82">
        <v>2.5</v>
      </c>
      <c r="H54" s="92">
        <f t="shared" si="6"/>
        <v>83.245824999999996</v>
      </c>
      <c r="I54" s="81">
        <f t="shared" si="7"/>
        <v>1</v>
      </c>
      <c r="J54" s="272">
        <f t="shared" si="17"/>
        <v>200</v>
      </c>
      <c r="K54" s="81">
        <f t="shared" si="1"/>
        <v>116.754175</v>
      </c>
      <c r="L54" s="82">
        <f t="shared" si="8"/>
        <v>41.622912499999998</v>
      </c>
      <c r="M54" s="88" t="s">
        <v>331</v>
      </c>
      <c r="N54" s="90">
        <v>524.75</v>
      </c>
      <c r="O54" s="168">
        <f t="shared" si="9"/>
        <v>200</v>
      </c>
      <c r="P54" s="80">
        <f t="shared" si="21"/>
        <v>33.29833</v>
      </c>
      <c r="Q54" s="79">
        <v>2.5</v>
      </c>
      <c r="R54" s="252">
        <f t="shared" si="11"/>
        <v>83.245824999999996</v>
      </c>
      <c r="S54" s="80">
        <f t="shared" si="18"/>
        <v>200</v>
      </c>
      <c r="T54" s="191">
        <f t="shared" si="19"/>
        <v>116.754175</v>
      </c>
      <c r="U54" s="204" t="str">
        <f t="shared" si="20"/>
        <v>No</v>
      </c>
      <c r="V54" s="223"/>
      <c r="X54" s="59" t="s">
        <v>94</v>
      </c>
      <c r="Y54" s="337">
        <v>1</v>
      </c>
      <c r="Z54" s="335">
        <v>3</v>
      </c>
      <c r="AA54" s="337">
        <v>0</v>
      </c>
      <c r="AB54" s="337">
        <v>0</v>
      </c>
      <c r="AC54" s="337">
        <v>0</v>
      </c>
      <c r="AD54" s="59">
        <f t="shared" si="22"/>
        <v>4</v>
      </c>
      <c r="AE54" s="18"/>
      <c r="AF54" s="18"/>
      <c r="AG54" s="486"/>
      <c r="AI54" s="486"/>
      <c r="AJ54" s="486"/>
      <c r="AL54" s="486"/>
    </row>
    <row r="55" spans="1:38" ht="13.5" thickBot="1">
      <c r="A55" s="562" t="s">
        <v>330</v>
      </c>
      <c r="B55" s="84" t="s">
        <v>329</v>
      </c>
      <c r="C55" s="83" t="s">
        <v>61</v>
      </c>
      <c r="D55" s="82">
        <v>381.34</v>
      </c>
      <c r="E55" s="243">
        <f t="shared" si="5"/>
        <v>200</v>
      </c>
      <c r="F55" s="82">
        <v>233.80699999999999</v>
      </c>
      <c r="G55" s="82">
        <v>2.5</v>
      </c>
      <c r="H55" s="82">
        <f t="shared" si="6"/>
        <v>584.51749999999993</v>
      </c>
      <c r="I55" s="81">
        <f t="shared" si="7"/>
        <v>4</v>
      </c>
      <c r="J55" s="270">
        <f t="shared" si="17"/>
        <v>800</v>
      </c>
      <c r="K55" s="81">
        <f t="shared" si="1"/>
        <v>215.48250000000007</v>
      </c>
      <c r="L55" s="82">
        <f t="shared" si="8"/>
        <v>73.064687499999991</v>
      </c>
      <c r="M55" s="98" t="s">
        <v>328</v>
      </c>
      <c r="N55" s="80">
        <v>673.16499999999996</v>
      </c>
      <c r="O55" s="168">
        <f t="shared" si="9"/>
        <v>150</v>
      </c>
      <c r="P55" s="80">
        <f t="shared" si="21"/>
        <v>233.80699999999999</v>
      </c>
      <c r="Q55" s="79">
        <v>2.5</v>
      </c>
      <c r="R55" s="251">
        <f t="shared" si="11"/>
        <v>584.51749999999993</v>
      </c>
      <c r="S55" s="80">
        <f t="shared" si="18"/>
        <v>600</v>
      </c>
      <c r="T55" s="191">
        <f t="shared" si="19"/>
        <v>15.482500000000073</v>
      </c>
      <c r="U55" s="204" t="str">
        <f t="shared" si="20"/>
        <v>No</v>
      </c>
      <c r="V55" s="223"/>
      <c r="X55" s="343" t="s">
        <v>492</v>
      </c>
      <c r="Y55" s="344">
        <v>0</v>
      </c>
      <c r="Z55" s="344">
        <v>0</v>
      </c>
      <c r="AA55" s="344">
        <v>0</v>
      </c>
      <c r="AB55" s="344">
        <v>0</v>
      </c>
      <c r="AC55" s="344">
        <v>0</v>
      </c>
      <c r="AD55" s="343">
        <f t="shared" si="22"/>
        <v>0</v>
      </c>
      <c r="AE55" s="384"/>
      <c r="AF55" s="557" t="s">
        <v>594</v>
      </c>
      <c r="AG55" s="558"/>
      <c r="AH55" s="558"/>
      <c r="AI55" s="558"/>
      <c r="AJ55" s="558"/>
      <c r="AK55" s="559"/>
      <c r="AL55" s="154"/>
    </row>
    <row r="56" spans="1:38" ht="14.25" customHeight="1" thickBot="1">
      <c r="A56" s="563"/>
      <c r="B56" s="74" t="s">
        <v>30</v>
      </c>
      <c r="C56" s="73" t="s">
        <v>326</v>
      </c>
      <c r="D56" s="72">
        <v>317.27</v>
      </c>
      <c r="E56" s="244">
        <f t="shared" si="5"/>
        <v>200</v>
      </c>
      <c r="F56" s="72">
        <v>136.87530000000001</v>
      </c>
      <c r="G56" s="82">
        <v>2.5</v>
      </c>
      <c r="H56" s="72">
        <f t="shared" si="6"/>
        <v>342.18825000000004</v>
      </c>
      <c r="I56" s="81">
        <f t="shared" si="7"/>
        <v>3</v>
      </c>
      <c r="J56" s="272">
        <f t="shared" si="17"/>
        <v>600</v>
      </c>
      <c r="K56" s="81">
        <f t="shared" si="1"/>
        <v>257.81174999999996</v>
      </c>
      <c r="L56" s="82">
        <f t="shared" si="8"/>
        <v>57.031375000000004</v>
      </c>
      <c r="M56" s="69" t="s">
        <v>325</v>
      </c>
      <c r="N56" s="70">
        <v>518.48</v>
      </c>
      <c r="O56" s="168">
        <f t="shared" si="9"/>
        <v>200</v>
      </c>
      <c r="P56" s="80">
        <f t="shared" si="21"/>
        <v>136.87530000000001</v>
      </c>
      <c r="Q56" s="79">
        <v>2.5</v>
      </c>
      <c r="R56" s="253">
        <f t="shared" si="11"/>
        <v>342.18825000000004</v>
      </c>
      <c r="S56" s="80">
        <f t="shared" si="18"/>
        <v>600</v>
      </c>
      <c r="T56" s="191">
        <f t="shared" si="19"/>
        <v>257.81174999999996</v>
      </c>
      <c r="U56" s="204" t="str">
        <f t="shared" si="20"/>
        <v>No</v>
      </c>
      <c r="V56" s="223"/>
      <c r="X56" s="290" t="s">
        <v>501</v>
      </c>
      <c r="Y56" s="345">
        <f t="shared" ref="Y56:AD56" si="23">SUM(Y44:Y55)</f>
        <v>7</v>
      </c>
      <c r="Z56" s="345">
        <f t="shared" si="23"/>
        <v>7</v>
      </c>
      <c r="AA56" s="345">
        <f t="shared" si="23"/>
        <v>0</v>
      </c>
      <c r="AB56" s="345">
        <f t="shared" si="23"/>
        <v>0</v>
      </c>
      <c r="AC56" s="345">
        <f t="shared" si="23"/>
        <v>0</v>
      </c>
      <c r="AD56" s="346">
        <f t="shared" si="23"/>
        <v>14</v>
      </c>
      <c r="AE56" s="384"/>
      <c r="AF56" s="331" t="s">
        <v>491</v>
      </c>
      <c r="AG56" s="333" t="s">
        <v>493</v>
      </c>
      <c r="AH56" s="333" t="s">
        <v>494</v>
      </c>
      <c r="AI56" s="333" t="s">
        <v>495</v>
      </c>
      <c r="AJ56" s="333" t="s">
        <v>496</v>
      </c>
      <c r="AK56" s="334" t="s">
        <v>562</v>
      </c>
      <c r="AL56" s="290" t="s">
        <v>415</v>
      </c>
    </row>
    <row r="57" spans="1:38">
      <c r="A57" s="266"/>
      <c r="B57" s="63"/>
      <c r="C57" s="266"/>
      <c r="D57" s="266"/>
      <c r="E57" s="266"/>
      <c r="F57" s="63"/>
      <c r="G57" s="63"/>
      <c r="H57" s="63"/>
      <c r="I57" s="266" t="s">
        <v>415</v>
      </c>
      <c r="J57" s="266">
        <f>SUM(J3:J56)</f>
        <v>46150</v>
      </c>
      <c r="K57" s="266"/>
      <c r="L57" s="266"/>
      <c r="M57" s="266"/>
      <c r="N57" s="266"/>
      <c r="O57" s="266"/>
      <c r="P57" s="266"/>
      <c r="Q57" s="266"/>
      <c r="R57" s="266"/>
      <c r="S57" s="266"/>
      <c r="T57" s="58"/>
      <c r="U57" s="266" t="str">
        <f t="shared" si="20"/>
        <v>No</v>
      </c>
      <c r="X57" s="290" t="s">
        <v>500</v>
      </c>
      <c r="Y57" s="347">
        <f>PRODUCT(Y56*AH47)</f>
        <v>105</v>
      </c>
      <c r="Z57" s="489">
        <f>PRODUCT(Z56*AH48)</f>
        <v>114.5823</v>
      </c>
      <c r="AA57" s="489">
        <f>PRODUCT(AA56*AH49)</f>
        <v>0</v>
      </c>
      <c r="AB57" s="489">
        <f>PRODUCT(AB56*AH50)</f>
        <v>0</v>
      </c>
      <c r="AC57" s="489">
        <f>PRODUCT(AC56*AH51)</f>
        <v>0</v>
      </c>
      <c r="AD57" s="490">
        <f>SUM(Y57:AC57)</f>
        <v>219.5823</v>
      </c>
      <c r="AE57" s="384"/>
      <c r="AF57" s="59" t="s">
        <v>84</v>
      </c>
      <c r="AG57" s="337">
        <f>Y44+Y64</f>
        <v>0</v>
      </c>
      <c r="AH57" s="337">
        <f t="shared" ref="AH57:AK68" si="24">Z44+Z64</f>
        <v>12</v>
      </c>
      <c r="AI57" s="337">
        <f t="shared" si="24"/>
        <v>4</v>
      </c>
      <c r="AJ57" s="337">
        <f t="shared" si="24"/>
        <v>2</v>
      </c>
      <c r="AK57" s="337">
        <f t="shared" si="24"/>
        <v>0</v>
      </c>
      <c r="AL57" s="338">
        <f>SUM(AG57:AK57)</f>
        <v>18</v>
      </c>
    </row>
    <row r="58" spans="1:38">
      <c r="A58" s="266"/>
      <c r="B58" s="63"/>
      <c r="C58" s="266"/>
      <c r="D58" s="266"/>
      <c r="E58" s="266"/>
      <c r="F58" s="266"/>
      <c r="G58" s="63"/>
      <c r="H58" s="63"/>
      <c r="I58" s="63"/>
      <c r="J58" s="266"/>
      <c r="K58" s="266"/>
      <c r="L58" s="266"/>
      <c r="M58" s="266"/>
      <c r="N58" s="266"/>
      <c r="O58" s="266"/>
      <c r="P58" s="266"/>
      <c r="Q58" s="266"/>
      <c r="R58" s="266"/>
      <c r="S58" s="266"/>
      <c r="T58" s="384"/>
      <c r="U58" s="384"/>
      <c r="X58" s="290" t="s">
        <v>499</v>
      </c>
      <c r="Y58" s="347">
        <f>Y56*AG47</f>
        <v>700</v>
      </c>
      <c r="Z58" s="347">
        <f>Z56*AG48</f>
        <v>1050</v>
      </c>
      <c r="AA58" s="347">
        <f>AA56*AG49</f>
        <v>0</v>
      </c>
      <c r="AB58" s="347">
        <f>AB56*AG50</f>
        <v>0</v>
      </c>
      <c r="AC58" s="347">
        <f>AC56*AG51</f>
        <v>0</v>
      </c>
      <c r="AD58" s="290">
        <f>SUM(Y58:AC58)</f>
        <v>1750</v>
      </c>
      <c r="AE58" s="384"/>
      <c r="AF58" s="59" t="s">
        <v>85</v>
      </c>
      <c r="AG58" s="337">
        <f t="shared" ref="AG58:AG68" si="25">Y45+Y65</f>
        <v>0</v>
      </c>
      <c r="AH58" s="337">
        <f t="shared" si="24"/>
        <v>18</v>
      </c>
      <c r="AI58" s="337">
        <f t="shared" si="24"/>
        <v>10</v>
      </c>
      <c r="AJ58" s="337">
        <f t="shared" si="24"/>
        <v>0</v>
      </c>
      <c r="AK58" s="337">
        <f t="shared" si="24"/>
        <v>7</v>
      </c>
      <c r="AL58" s="59">
        <f t="shared" ref="AL58:AL68" si="26">SUM(AG58:AK58)</f>
        <v>35</v>
      </c>
    </row>
    <row r="59" spans="1:38">
      <c r="A59" s="266"/>
      <c r="B59" s="63"/>
      <c r="C59" s="266"/>
      <c r="D59" s="266"/>
      <c r="E59" s="266"/>
      <c r="F59" s="266"/>
      <c r="G59" s="63"/>
      <c r="H59" s="63"/>
      <c r="I59" s="63"/>
      <c r="J59" s="266"/>
      <c r="K59" s="266"/>
      <c r="L59" s="266"/>
      <c r="M59" s="266"/>
      <c r="N59" s="266"/>
      <c r="O59" s="266"/>
      <c r="P59" s="266"/>
      <c r="Q59" s="266"/>
      <c r="R59" s="266"/>
      <c r="S59" s="266"/>
      <c r="T59" s="384"/>
      <c r="U59" s="266"/>
      <c r="AF59" s="59" t="s">
        <v>86</v>
      </c>
      <c r="AG59" s="337">
        <f t="shared" si="25"/>
        <v>0</v>
      </c>
      <c r="AH59" s="337">
        <f t="shared" si="24"/>
        <v>0</v>
      </c>
      <c r="AI59" s="337">
        <f t="shared" si="24"/>
        <v>6</v>
      </c>
      <c r="AJ59" s="337">
        <f t="shared" si="24"/>
        <v>0</v>
      </c>
      <c r="AK59" s="337">
        <f t="shared" si="24"/>
        <v>4</v>
      </c>
      <c r="AL59" s="59">
        <f t="shared" si="26"/>
        <v>10</v>
      </c>
    </row>
    <row r="60" spans="1:38">
      <c r="A60" s="266"/>
      <c r="B60" s="63"/>
      <c r="C60" s="266"/>
      <c r="D60" s="266"/>
      <c r="E60" s="266"/>
      <c r="F60" s="266"/>
      <c r="G60" s="63"/>
      <c r="H60" s="63"/>
      <c r="I60" s="63"/>
      <c r="J60" s="266"/>
      <c r="K60" s="266"/>
      <c r="L60" s="266"/>
      <c r="M60" s="266"/>
      <c r="N60" s="266"/>
      <c r="O60" s="266"/>
      <c r="P60" s="266"/>
      <c r="Q60" s="266"/>
      <c r="R60" s="266"/>
      <c r="S60" s="266"/>
      <c r="T60" s="384"/>
      <c r="U60" s="266"/>
      <c r="AF60" s="59" t="s">
        <v>87</v>
      </c>
      <c r="AG60" s="337">
        <f t="shared" si="25"/>
        <v>0</v>
      </c>
      <c r="AH60" s="337">
        <f t="shared" si="24"/>
        <v>34</v>
      </c>
      <c r="AI60" s="337">
        <f t="shared" si="24"/>
        <v>44</v>
      </c>
      <c r="AJ60" s="337">
        <f t="shared" si="24"/>
        <v>25</v>
      </c>
      <c r="AK60" s="337">
        <f t="shared" si="24"/>
        <v>0</v>
      </c>
      <c r="AL60" s="59">
        <f t="shared" si="26"/>
        <v>103</v>
      </c>
    </row>
    <row r="61" spans="1:38">
      <c r="A61" s="266"/>
      <c r="B61" s="63"/>
      <c r="C61" s="266"/>
      <c r="D61" s="266"/>
      <c r="E61" s="266"/>
      <c r="F61" s="266"/>
      <c r="G61" s="63"/>
      <c r="H61" s="63"/>
      <c r="I61" s="63"/>
      <c r="J61" s="266"/>
      <c r="K61" s="266"/>
      <c r="L61" s="266"/>
      <c r="M61" s="266"/>
      <c r="N61" s="266"/>
      <c r="O61" s="266"/>
      <c r="P61" s="266"/>
      <c r="Q61" s="266"/>
      <c r="R61" s="266"/>
      <c r="S61" s="266"/>
      <c r="T61" s="384"/>
      <c r="U61" s="266"/>
      <c r="AF61" s="59" t="s">
        <v>88</v>
      </c>
      <c r="AG61" s="337">
        <f t="shared" si="25"/>
        <v>1</v>
      </c>
      <c r="AH61" s="337">
        <f t="shared" si="24"/>
        <v>0</v>
      </c>
      <c r="AI61" s="337">
        <f t="shared" si="24"/>
        <v>19</v>
      </c>
      <c r="AJ61" s="337">
        <f t="shared" si="24"/>
        <v>1</v>
      </c>
      <c r="AK61" s="337">
        <f t="shared" si="24"/>
        <v>0</v>
      </c>
      <c r="AL61" s="59">
        <f t="shared" si="26"/>
        <v>21</v>
      </c>
    </row>
    <row r="62" spans="1:38">
      <c r="A62" s="266"/>
      <c r="B62" s="64"/>
      <c r="C62" s="266"/>
      <c r="D62" s="266"/>
      <c r="E62" s="266"/>
      <c r="F62" s="266"/>
      <c r="G62" s="63"/>
      <c r="H62" s="63"/>
      <c r="I62" s="63"/>
      <c r="J62" s="266"/>
      <c r="K62" s="266"/>
      <c r="L62" s="266"/>
      <c r="M62" s="266"/>
      <c r="N62" s="266"/>
      <c r="O62" s="266"/>
      <c r="P62" s="266"/>
      <c r="Q62" s="266"/>
      <c r="R62" s="266"/>
      <c r="S62" s="266"/>
      <c r="T62" s="384"/>
      <c r="U62" s="266"/>
      <c r="X62" s="557" t="s">
        <v>593</v>
      </c>
      <c r="Y62" s="558"/>
      <c r="Z62" s="558"/>
      <c r="AA62" s="558"/>
      <c r="AB62" s="558"/>
      <c r="AC62" s="559"/>
      <c r="AD62" s="154"/>
      <c r="AF62" s="59" t="s">
        <v>89</v>
      </c>
      <c r="AG62" s="337">
        <f t="shared" si="25"/>
        <v>1</v>
      </c>
      <c r="AH62" s="337">
        <f t="shared" si="24"/>
        <v>21</v>
      </c>
      <c r="AI62" s="337">
        <f t="shared" si="24"/>
        <v>2</v>
      </c>
      <c r="AJ62" s="337">
        <f t="shared" si="24"/>
        <v>1</v>
      </c>
      <c r="AK62" s="337">
        <f t="shared" si="24"/>
        <v>0</v>
      </c>
      <c r="AL62" s="59">
        <f t="shared" si="26"/>
        <v>25</v>
      </c>
    </row>
    <row r="63" spans="1:38">
      <c r="A63" s="266"/>
      <c r="B63" s="64"/>
      <c r="C63" s="266"/>
      <c r="D63" s="266"/>
      <c r="E63" s="266"/>
      <c r="F63" s="266"/>
      <c r="G63" s="63"/>
      <c r="H63" s="63"/>
      <c r="I63" s="63"/>
      <c r="J63" s="266"/>
      <c r="K63" s="266"/>
      <c r="L63" s="266"/>
      <c r="M63" s="266"/>
      <c r="N63" s="266"/>
      <c r="O63" s="266"/>
      <c r="P63" s="266"/>
      <c r="Q63" s="266"/>
      <c r="R63" s="266"/>
      <c r="S63" s="266"/>
      <c r="T63" s="384"/>
      <c r="U63" s="266"/>
      <c r="X63" s="331" t="s">
        <v>491</v>
      </c>
      <c r="Y63" s="333" t="s">
        <v>493</v>
      </c>
      <c r="Z63" s="333" t="s">
        <v>494</v>
      </c>
      <c r="AA63" s="333" t="s">
        <v>495</v>
      </c>
      <c r="AB63" s="333" t="s">
        <v>496</v>
      </c>
      <c r="AC63" s="334" t="s">
        <v>562</v>
      </c>
      <c r="AD63" s="290" t="s">
        <v>415</v>
      </c>
      <c r="AF63" s="59" t="s">
        <v>90</v>
      </c>
      <c r="AG63" s="337">
        <f t="shared" si="25"/>
        <v>1</v>
      </c>
      <c r="AH63" s="337">
        <f t="shared" si="24"/>
        <v>0</v>
      </c>
      <c r="AI63" s="337">
        <f t="shared" si="24"/>
        <v>1</v>
      </c>
      <c r="AJ63" s="337">
        <f t="shared" si="24"/>
        <v>4</v>
      </c>
      <c r="AK63" s="337">
        <f t="shared" si="24"/>
        <v>3</v>
      </c>
      <c r="AL63" s="59">
        <f t="shared" si="26"/>
        <v>9</v>
      </c>
    </row>
    <row r="64" spans="1:38">
      <c r="A64" s="266"/>
      <c r="B64" s="64"/>
      <c r="C64" s="266"/>
      <c r="D64" s="266"/>
      <c r="E64" s="266"/>
      <c r="F64" s="266"/>
      <c r="G64" s="63"/>
      <c r="H64" s="63"/>
      <c r="I64" s="63"/>
      <c r="J64" s="266"/>
      <c r="K64" s="266"/>
      <c r="L64" s="266"/>
      <c r="M64" s="266"/>
      <c r="N64" s="266"/>
      <c r="O64" s="266"/>
      <c r="P64" s="266"/>
      <c r="Q64" s="266"/>
      <c r="R64" s="266"/>
      <c r="S64" s="266"/>
      <c r="T64" s="384"/>
      <c r="U64" s="266"/>
      <c r="X64" s="59" t="s">
        <v>84</v>
      </c>
      <c r="Y64" s="337">
        <v>0</v>
      </c>
      <c r="Z64" s="337">
        <f>12</f>
        <v>12</v>
      </c>
      <c r="AA64" s="487">
        <f>2+2</f>
        <v>4</v>
      </c>
      <c r="AB64" s="487">
        <f>2</f>
        <v>2</v>
      </c>
      <c r="AC64" s="337">
        <v>0</v>
      </c>
      <c r="AD64" s="338">
        <f>SUM(Y64:AC64)</f>
        <v>18</v>
      </c>
      <c r="AF64" s="59" t="s">
        <v>91</v>
      </c>
      <c r="AG64" s="337">
        <f t="shared" si="25"/>
        <v>1</v>
      </c>
      <c r="AH64" s="337">
        <f t="shared" si="24"/>
        <v>24</v>
      </c>
      <c r="AI64" s="337">
        <f t="shared" si="24"/>
        <v>4</v>
      </c>
      <c r="AJ64" s="337">
        <f t="shared" si="24"/>
        <v>2</v>
      </c>
      <c r="AK64" s="337">
        <f t="shared" si="24"/>
        <v>0</v>
      </c>
      <c r="AL64" s="59">
        <f t="shared" si="26"/>
        <v>31</v>
      </c>
    </row>
    <row r="65" spans="1:38">
      <c r="A65" s="266"/>
      <c r="B65" s="63"/>
      <c r="C65" s="266"/>
      <c r="D65" s="266"/>
      <c r="E65" s="266"/>
      <c r="N65" s="266"/>
      <c r="O65" s="266"/>
      <c r="P65" s="266"/>
      <c r="Q65" s="266"/>
      <c r="S65" s="266"/>
      <c r="T65" s="384"/>
      <c r="U65" s="266"/>
      <c r="X65" s="59" t="s">
        <v>85</v>
      </c>
      <c r="Y65" s="337">
        <v>0</v>
      </c>
      <c r="Z65" s="337">
        <f>9+4+5</f>
        <v>18</v>
      </c>
      <c r="AA65" s="337">
        <f>7+3</f>
        <v>10</v>
      </c>
      <c r="AB65" s="337">
        <v>0</v>
      </c>
      <c r="AC65" s="337">
        <f>4+3</f>
        <v>7</v>
      </c>
      <c r="AD65" s="59">
        <f t="shared" ref="AD65:AD75" si="27">SUM(Y65:AC65)</f>
        <v>35</v>
      </c>
      <c r="AF65" s="59" t="s">
        <v>92</v>
      </c>
      <c r="AG65" s="337">
        <f t="shared" si="25"/>
        <v>0</v>
      </c>
      <c r="AH65" s="337">
        <f t="shared" si="24"/>
        <v>9</v>
      </c>
      <c r="AI65" s="337">
        <f t="shared" si="24"/>
        <v>21</v>
      </c>
      <c r="AJ65" s="337">
        <f t="shared" si="24"/>
        <v>0</v>
      </c>
      <c r="AK65" s="337">
        <f t="shared" si="24"/>
        <v>0</v>
      </c>
      <c r="AL65" s="59">
        <f t="shared" si="26"/>
        <v>30</v>
      </c>
    </row>
    <row r="66" spans="1:38">
      <c r="A66" s="266"/>
      <c r="B66" s="63"/>
      <c r="C66" s="266"/>
      <c r="D66" s="266"/>
      <c r="E66" s="266"/>
      <c r="N66" s="266"/>
      <c r="O66" s="266"/>
      <c r="P66" s="266"/>
      <c r="Q66" s="266"/>
      <c r="S66" s="266"/>
      <c r="T66" s="384"/>
      <c r="U66" s="266"/>
      <c r="X66" s="59" t="s">
        <v>86</v>
      </c>
      <c r="Y66" s="337">
        <v>0</v>
      </c>
      <c r="Z66" s="337">
        <v>0</v>
      </c>
      <c r="AA66" s="335">
        <f>5+1</f>
        <v>6</v>
      </c>
      <c r="AB66" s="337">
        <v>0</v>
      </c>
      <c r="AC66" s="337">
        <f>4</f>
        <v>4</v>
      </c>
      <c r="AD66" s="59">
        <f t="shared" si="27"/>
        <v>10</v>
      </c>
      <c r="AF66" s="59" t="s">
        <v>93</v>
      </c>
      <c r="AG66" s="337">
        <f t="shared" si="25"/>
        <v>2</v>
      </c>
      <c r="AH66" s="337">
        <f t="shared" si="24"/>
        <v>1</v>
      </c>
      <c r="AI66" s="337">
        <f t="shared" si="24"/>
        <v>3</v>
      </c>
      <c r="AJ66" s="337">
        <f t="shared" si="24"/>
        <v>10</v>
      </c>
      <c r="AK66" s="337">
        <f t="shared" si="24"/>
        <v>0</v>
      </c>
      <c r="AL66" s="59">
        <f t="shared" si="26"/>
        <v>16</v>
      </c>
    </row>
    <row r="67" spans="1:38">
      <c r="A67" s="266"/>
      <c r="B67" s="63"/>
      <c r="C67" s="266"/>
      <c r="D67" s="266"/>
      <c r="E67" s="266"/>
      <c r="N67" s="266"/>
      <c r="O67" s="266"/>
      <c r="P67" s="266"/>
      <c r="Q67" s="266"/>
      <c r="S67" s="266"/>
      <c r="T67" s="384"/>
      <c r="U67" s="266"/>
      <c r="X67" s="59" t="s">
        <v>87</v>
      </c>
      <c r="Y67" s="337">
        <v>0</v>
      </c>
      <c r="Z67" s="488">
        <f>12+9+10</f>
        <v>31</v>
      </c>
      <c r="AA67" s="337">
        <f>7+5+10+18+4</f>
        <v>44</v>
      </c>
      <c r="AB67" s="337">
        <f>4+10+11</f>
        <v>25</v>
      </c>
      <c r="AC67" s="337">
        <v>0</v>
      </c>
      <c r="AD67" s="59">
        <f t="shared" si="27"/>
        <v>100</v>
      </c>
      <c r="AF67" s="59" t="s">
        <v>94</v>
      </c>
      <c r="AG67" s="337">
        <f t="shared" si="25"/>
        <v>1</v>
      </c>
      <c r="AH67" s="337">
        <f t="shared" si="24"/>
        <v>5</v>
      </c>
      <c r="AI67" s="337">
        <f t="shared" si="24"/>
        <v>4</v>
      </c>
      <c r="AJ67" s="337">
        <f t="shared" si="24"/>
        <v>11</v>
      </c>
      <c r="AK67" s="337">
        <f t="shared" si="24"/>
        <v>0</v>
      </c>
      <c r="AL67" s="59">
        <f t="shared" si="26"/>
        <v>21</v>
      </c>
    </row>
    <row r="68" spans="1:38">
      <c r="A68" s="266"/>
      <c r="B68" s="63"/>
      <c r="C68" s="266"/>
      <c r="D68" s="266"/>
      <c r="E68" s="266"/>
      <c r="F68" s="266"/>
      <c r="G68" s="63"/>
      <c r="H68" s="63"/>
      <c r="I68" s="63"/>
      <c r="J68" s="266"/>
      <c r="K68" s="266"/>
      <c r="L68" s="266"/>
      <c r="M68" s="266"/>
      <c r="N68" s="266"/>
      <c r="O68" s="266"/>
      <c r="P68" s="266"/>
      <c r="Q68" s="266"/>
      <c r="R68" s="266"/>
      <c r="S68" s="266"/>
      <c r="T68" s="384"/>
      <c r="U68" s="266"/>
      <c r="X68" s="59" t="s">
        <v>88</v>
      </c>
      <c r="Y68" s="337">
        <v>0</v>
      </c>
      <c r="Z68" s="337">
        <v>0</v>
      </c>
      <c r="AA68" s="337">
        <f>2+3+1+10+1+2</f>
        <v>19</v>
      </c>
      <c r="AB68" s="337">
        <f>1</f>
        <v>1</v>
      </c>
      <c r="AC68" s="337">
        <v>0</v>
      </c>
      <c r="AD68" s="59">
        <f t="shared" si="27"/>
        <v>20</v>
      </c>
      <c r="AF68" s="343" t="s">
        <v>492</v>
      </c>
      <c r="AG68" s="337">
        <f t="shared" si="25"/>
        <v>0</v>
      </c>
      <c r="AH68" s="337">
        <f t="shared" si="24"/>
        <v>1</v>
      </c>
      <c r="AI68" s="337">
        <f t="shared" si="24"/>
        <v>4</v>
      </c>
      <c r="AJ68" s="337">
        <f t="shared" si="24"/>
        <v>0</v>
      </c>
      <c r="AK68" s="337">
        <f t="shared" si="24"/>
        <v>0</v>
      </c>
      <c r="AL68" s="343">
        <f t="shared" si="26"/>
        <v>5</v>
      </c>
    </row>
    <row r="69" spans="1:38">
      <c r="B69" s="63"/>
      <c r="C69" s="266"/>
      <c r="D69" s="266"/>
      <c r="E69" s="266"/>
      <c r="F69" s="266"/>
      <c r="G69" s="63"/>
      <c r="H69" s="63"/>
      <c r="I69" s="63"/>
      <c r="J69" s="266"/>
      <c r="K69" s="266"/>
      <c r="L69" s="266"/>
      <c r="M69" s="266"/>
      <c r="N69" s="266"/>
      <c r="O69" s="266"/>
      <c r="P69" s="266"/>
      <c r="Q69" s="266"/>
      <c r="R69" s="266"/>
      <c r="S69" s="266"/>
      <c r="T69" s="384"/>
      <c r="U69" s="266"/>
      <c r="W69" s="57"/>
      <c r="X69" s="59" t="s">
        <v>89</v>
      </c>
      <c r="Y69" s="337">
        <v>0</v>
      </c>
      <c r="Z69" s="337">
        <f>9+9+3</f>
        <v>21</v>
      </c>
      <c r="AA69" s="337">
        <f>2</f>
        <v>2</v>
      </c>
      <c r="AB69" s="337">
        <f>1</f>
        <v>1</v>
      </c>
      <c r="AC69" s="337">
        <v>0</v>
      </c>
      <c r="AD69" s="59">
        <f t="shared" si="27"/>
        <v>24</v>
      </c>
      <c r="AF69" s="290" t="s">
        <v>501</v>
      </c>
      <c r="AG69" s="345">
        <f t="shared" ref="AG69:AL69" si="28">SUM(AG57:AG68)</f>
        <v>7</v>
      </c>
      <c r="AH69" s="345">
        <f t="shared" si="28"/>
        <v>125</v>
      </c>
      <c r="AI69" s="345">
        <f t="shared" si="28"/>
        <v>122</v>
      </c>
      <c r="AJ69" s="345">
        <f t="shared" si="28"/>
        <v>56</v>
      </c>
      <c r="AK69" s="345">
        <f t="shared" si="28"/>
        <v>14</v>
      </c>
      <c r="AL69" s="346">
        <f t="shared" si="28"/>
        <v>324</v>
      </c>
    </row>
    <row r="70" spans="1:38">
      <c r="B70" s="63"/>
      <c r="C70" s="266"/>
      <c r="D70" s="266"/>
      <c r="E70" s="266"/>
      <c r="F70" s="266"/>
      <c r="G70" s="63"/>
      <c r="H70" s="63"/>
      <c r="I70" s="63"/>
      <c r="J70" s="266"/>
      <c r="K70" s="266"/>
      <c r="L70" s="266"/>
      <c r="M70" s="266"/>
      <c r="N70" s="266"/>
      <c r="O70" s="266"/>
      <c r="P70" s="266"/>
      <c r="Q70" s="266"/>
      <c r="R70" s="266"/>
      <c r="S70" s="266"/>
      <c r="T70" s="384"/>
      <c r="U70" s="266"/>
      <c r="W70" s="57"/>
      <c r="X70" s="59" t="s">
        <v>90</v>
      </c>
      <c r="Y70" s="337">
        <v>0</v>
      </c>
      <c r="Z70" s="335">
        <v>0</v>
      </c>
      <c r="AA70" s="335">
        <f>1</f>
        <v>1</v>
      </c>
      <c r="AB70" s="337">
        <f>4</f>
        <v>4</v>
      </c>
      <c r="AC70" s="337">
        <f>3</f>
        <v>3</v>
      </c>
      <c r="AD70" s="59">
        <f t="shared" si="27"/>
        <v>8</v>
      </c>
      <c r="AF70" s="290" t="s">
        <v>500</v>
      </c>
      <c r="AG70" s="347">
        <f>PRODUCT(AG69*AH47)</f>
        <v>105</v>
      </c>
      <c r="AH70" s="489">
        <f>PRODUCT(AH69*AH48)</f>
        <v>2046.1125</v>
      </c>
      <c r="AI70" s="489">
        <f>PRODUCT(AI69*AH49)</f>
        <v>2043.0974000000001</v>
      </c>
      <c r="AJ70" s="489">
        <f>PRODUCT(AJ69*AH50)</f>
        <v>945.64960000000008</v>
      </c>
      <c r="AK70" s="489">
        <f>PRODUCT(AK69*AH51)</f>
        <v>238</v>
      </c>
      <c r="AL70" s="490">
        <f>SUM(AG70:AK70)</f>
        <v>5377.8594999999996</v>
      </c>
    </row>
    <row r="71" spans="1:38">
      <c r="B71" s="63"/>
      <c r="C71" s="266"/>
      <c r="D71" s="266"/>
      <c r="E71" s="266"/>
      <c r="F71" s="266"/>
      <c r="G71" s="63"/>
      <c r="H71" s="63"/>
      <c r="I71" s="63"/>
      <c r="J71" s="266"/>
      <c r="K71" s="266"/>
      <c r="L71" s="266"/>
      <c r="M71" s="266"/>
      <c r="N71" s="266"/>
      <c r="O71" s="266"/>
      <c r="P71" s="266"/>
      <c r="Q71" s="266"/>
      <c r="R71" s="266"/>
      <c r="S71" s="266"/>
      <c r="T71" s="384"/>
      <c r="U71" s="266"/>
      <c r="W71" s="57"/>
      <c r="X71" s="59" t="s">
        <v>91</v>
      </c>
      <c r="Y71" s="337">
        <v>0</v>
      </c>
      <c r="Z71" s="335">
        <f>4+10+3+4+2+1</f>
        <v>24</v>
      </c>
      <c r="AA71" s="337">
        <f>2+2</f>
        <v>4</v>
      </c>
      <c r="AB71" s="337">
        <f>2</f>
        <v>2</v>
      </c>
      <c r="AC71" s="337">
        <v>0</v>
      </c>
      <c r="AD71" s="59">
        <f t="shared" si="27"/>
        <v>30</v>
      </c>
      <c r="AF71" s="290" t="s">
        <v>563</v>
      </c>
      <c r="AG71" s="347">
        <f>AG69*AG47</f>
        <v>700</v>
      </c>
      <c r="AH71" s="347">
        <f>AH69*AG48</f>
        <v>18750</v>
      </c>
      <c r="AI71" s="347">
        <f>AI69*AG49</f>
        <v>24400</v>
      </c>
      <c r="AJ71" s="347">
        <f>AJ69*AG50</f>
        <v>14000</v>
      </c>
      <c r="AK71" s="347">
        <f>AK69*AG51</f>
        <v>4200</v>
      </c>
      <c r="AL71" s="290">
        <f>SUM(AG71:AK71)</f>
        <v>62050</v>
      </c>
    </row>
    <row r="72" spans="1:38">
      <c r="B72" s="63"/>
      <c r="C72" s="266"/>
      <c r="D72" s="266"/>
      <c r="E72" s="266"/>
      <c r="F72" s="266"/>
      <c r="G72" s="63"/>
      <c r="H72" s="63"/>
      <c r="I72" s="63"/>
      <c r="J72" s="266"/>
      <c r="K72" s="266"/>
      <c r="L72" s="266"/>
      <c r="M72" s="266"/>
      <c r="N72" s="266"/>
      <c r="O72" s="266"/>
      <c r="P72" s="266"/>
      <c r="Q72" s="266"/>
      <c r="R72" s="266"/>
      <c r="S72" s="266"/>
      <c r="T72" s="384"/>
      <c r="U72" s="266"/>
      <c r="W72" s="57"/>
      <c r="X72" s="59" t="s">
        <v>92</v>
      </c>
      <c r="Y72" s="337">
        <v>0</v>
      </c>
      <c r="Z72" s="335">
        <f>5+4</f>
        <v>9</v>
      </c>
      <c r="AA72" s="337">
        <f>18+3</f>
        <v>21</v>
      </c>
      <c r="AB72" s="337">
        <v>0</v>
      </c>
      <c r="AC72" s="337">
        <v>0</v>
      </c>
      <c r="AD72" s="59">
        <f t="shared" si="27"/>
        <v>30</v>
      </c>
      <c r="AG72" s="486"/>
      <c r="AH72" s="335"/>
      <c r="AI72" s="335"/>
      <c r="AJ72" s="337"/>
      <c r="AK72" s="337"/>
      <c r="AL72" s="337"/>
    </row>
    <row r="73" spans="1:38">
      <c r="B73" s="63"/>
      <c r="C73" s="266"/>
      <c r="D73" s="266"/>
      <c r="E73" s="266"/>
      <c r="F73" s="266"/>
      <c r="G73" s="63"/>
      <c r="H73" s="63"/>
      <c r="I73" s="63"/>
      <c r="J73" s="266"/>
      <c r="K73" s="266"/>
      <c r="L73" s="266"/>
      <c r="M73" s="266"/>
      <c r="N73" s="266"/>
      <c r="O73" s="266"/>
      <c r="P73" s="266"/>
      <c r="Q73" s="266"/>
      <c r="R73" s="266"/>
      <c r="S73" s="266"/>
      <c r="T73" s="384"/>
      <c r="U73" s="266"/>
      <c r="W73" s="57"/>
      <c r="X73" s="59" t="s">
        <v>93</v>
      </c>
      <c r="Y73" s="337">
        <v>0</v>
      </c>
      <c r="Z73" s="335">
        <v>0</v>
      </c>
      <c r="AA73" s="337">
        <f>2+1</f>
        <v>3</v>
      </c>
      <c r="AB73" s="337">
        <f>10</f>
        <v>10</v>
      </c>
      <c r="AC73" s="337">
        <v>0</v>
      </c>
      <c r="AD73" s="59">
        <f t="shared" si="27"/>
        <v>13</v>
      </c>
    </row>
    <row r="74" spans="1:38" ht="15">
      <c r="B74" s="63"/>
      <c r="C74" s="266"/>
      <c r="D74" s="266"/>
      <c r="E74" s="266"/>
      <c r="F74" s="266"/>
      <c r="G74" s="63"/>
      <c r="H74" s="63"/>
      <c r="I74" s="63"/>
      <c r="J74" s="266"/>
      <c r="K74" s="266"/>
      <c r="L74" s="266"/>
      <c r="M74" s="266"/>
      <c r="N74" s="266"/>
      <c r="O74" s="266"/>
      <c r="P74" s="266"/>
      <c r="Q74" s="266"/>
      <c r="R74" s="266"/>
      <c r="S74" s="266"/>
      <c r="T74" s="384"/>
      <c r="U74" s="266"/>
      <c r="W74" s="57"/>
      <c r="X74" s="59" t="s">
        <v>94</v>
      </c>
      <c r="Y74" s="337">
        <v>0</v>
      </c>
      <c r="Z74" s="488">
        <f>2</f>
        <v>2</v>
      </c>
      <c r="AA74" s="337">
        <f>3+1</f>
        <v>4</v>
      </c>
      <c r="AB74" s="337">
        <f>11</f>
        <v>11</v>
      </c>
      <c r="AC74" s="337">
        <v>0</v>
      </c>
      <c r="AD74" s="59">
        <f t="shared" si="27"/>
        <v>17</v>
      </c>
      <c r="AF74" s="435">
        <f>AD56+AD76</f>
        <v>324</v>
      </c>
    </row>
    <row r="75" spans="1:38" ht="15">
      <c r="B75" s="63"/>
      <c r="C75" s="266"/>
      <c r="D75" s="266"/>
      <c r="E75" s="266"/>
      <c r="F75" s="266"/>
      <c r="G75" s="63"/>
      <c r="H75" s="63"/>
      <c r="I75" s="63"/>
      <c r="J75" s="266"/>
      <c r="K75" s="266"/>
      <c r="L75" s="266"/>
      <c r="M75" s="266"/>
      <c r="N75" s="266"/>
      <c r="O75" s="266"/>
      <c r="P75" s="266"/>
      <c r="Q75" s="266"/>
      <c r="R75" s="266"/>
      <c r="S75" s="266"/>
      <c r="T75" s="384"/>
      <c r="U75" s="266"/>
      <c r="X75" s="343" t="s">
        <v>492</v>
      </c>
      <c r="Y75" s="337">
        <v>0</v>
      </c>
      <c r="Z75" s="344">
        <f>1</f>
        <v>1</v>
      </c>
      <c r="AA75" s="344">
        <f>4</f>
        <v>4</v>
      </c>
      <c r="AB75" s="344">
        <v>0</v>
      </c>
      <c r="AC75" s="337">
        <v>0</v>
      </c>
      <c r="AD75" s="343">
        <f t="shared" si="27"/>
        <v>5</v>
      </c>
      <c r="AF75" s="496">
        <f t="shared" ref="AF75:AF76" si="29">AD57+AD77</f>
        <v>5377.8594999999996</v>
      </c>
    </row>
    <row r="76" spans="1:38" ht="15">
      <c r="B76" s="63"/>
      <c r="C76" s="266"/>
      <c r="D76" s="266"/>
      <c r="E76" s="266"/>
      <c r="F76" s="266"/>
      <c r="G76" s="63"/>
      <c r="H76" s="63"/>
      <c r="I76" s="63"/>
      <c r="J76" s="266"/>
      <c r="K76" s="266"/>
      <c r="L76" s="266"/>
      <c r="M76" s="266"/>
      <c r="N76" s="266"/>
      <c r="O76" s="266"/>
      <c r="P76" s="266"/>
      <c r="Q76" s="266"/>
      <c r="R76" s="266"/>
      <c r="S76" s="266"/>
      <c r="T76" s="384"/>
      <c r="U76" s="266"/>
      <c r="X76" s="290" t="s">
        <v>501</v>
      </c>
      <c r="Y76" s="345">
        <f t="shared" ref="Y76:AD76" si="30">SUM(Y64:Y75)</f>
        <v>0</v>
      </c>
      <c r="Z76" s="345">
        <f t="shared" si="30"/>
        <v>118</v>
      </c>
      <c r="AA76" s="345">
        <f t="shared" si="30"/>
        <v>122</v>
      </c>
      <c r="AB76" s="345">
        <f t="shared" si="30"/>
        <v>56</v>
      </c>
      <c r="AC76" s="345">
        <f t="shared" si="30"/>
        <v>14</v>
      </c>
      <c r="AD76" s="346">
        <f t="shared" si="30"/>
        <v>310</v>
      </c>
      <c r="AF76" s="435">
        <f t="shared" si="29"/>
        <v>62050</v>
      </c>
    </row>
    <row r="77" spans="1:38">
      <c r="B77" s="63"/>
      <c r="C77" s="266"/>
      <c r="D77" s="266"/>
      <c r="E77" s="266"/>
      <c r="F77" s="266"/>
      <c r="G77" s="63"/>
      <c r="H77" s="63"/>
      <c r="I77" s="63"/>
      <c r="J77" s="266"/>
      <c r="K77" s="266"/>
      <c r="L77" s="266"/>
      <c r="M77" s="266"/>
      <c r="N77" s="266"/>
      <c r="O77" s="266"/>
      <c r="P77" s="266"/>
      <c r="Q77" s="266"/>
      <c r="R77" s="266"/>
      <c r="S77" s="266"/>
      <c r="T77" s="384"/>
      <c r="U77" s="266"/>
      <c r="X77" s="290" t="s">
        <v>500</v>
      </c>
      <c r="Y77" s="489">
        <f>PRODUCT(Y76*AH47)</f>
        <v>0</v>
      </c>
      <c r="Z77" s="489">
        <f>PRODUCT(Z76*AH48)</f>
        <v>1931.5301999999999</v>
      </c>
      <c r="AA77" s="489">
        <f>PRODUCT(AA76*AH49)</f>
        <v>2043.0974000000001</v>
      </c>
      <c r="AB77" s="489">
        <f>PRODUCT(AB76*AH50)</f>
        <v>945.64960000000008</v>
      </c>
      <c r="AC77" s="489">
        <f>PRODUCT(AC76*AH51)</f>
        <v>238</v>
      </c>
      <c r="AD77" s="490">
        <f>SUM(Y77:AC77)</f>
        <v>5158.2771999999995</v>
      </c>
    </row>
    <row r="78" spans="1:38">
      <c r="B78" s="63"/>
      <c r="C78" s="266"/>
      <c r="D78" s="266"/>
      <c r="E78" s="266"/>
      <c r="F78" s="266"/>
      <c r="G78" s="63"/>
      <c r="H78" s="63"/>
      <c r="I78" s="63"/>
      <c r="J78" s="266"/>
      <c r="K78" s="266"/>
      <c r="L78" s="266"/>
      <c r="M78" s="266"/>
      <c r="N78" s="266"/>
      <c r="O78" s="266"/>
      <c r="P78" s="266"/>
      <c r="Q78" s="266"/>
      <c r="R78" s="266"/>
      <c r="S78" s="266"/>
      <c r="T78" s="384"/>
      <c r="U78" s="266"/>
      <c r="X78" s="290" t="s">
        <v>563</v>
      </c>
      <c r="Y78" s="347">
        <f>Y76*AG47</f>
        <v>0</v>
      </c>
      <c r="Z78" s="347">
        <f>Z76*AG48</f>
        <v>17700</v>
      </c>
      <c r="AA78" s="347">
        <f>AA76*AG49</f>
        <v>24400</v>
      </c>
      <c r="AB78" s="347">
        <f>AB76*AG50</f>
        <v>14000</v>
      </c>
      <c r="AC78" s="347">
        <f>AC76*AG51</f>
        <v>4200</v>
      </c>
      <c r="AD78" s="290">
        <f>SUM(Y78:AC78)</f>
        <v>60300</v>
      </c>
    </row>
    <row r="79" spans="1:38">
      <c r="B79" s="63"/>
      <c r="C79" s="266"/>
      <c r="D79" s="266"/>
      <c r="E79" s="266"/>
      <c r="F79" s="266"/>
      <c r="G79" s="63"/>
      <c r="H79" s="63"/>
      <c r="I79" s="63"/>
      <c r="J79" s="266"/>
      <c r="K79" s="266"/>
      <c r="L79" s="266"/>
      <c r="M79" s="266"/>
      <c r="N79" s="266"/>
      <c r="O79" s="266"/>
      <c r="P79" s="266"/>
      <c r="Q79" s="266"/>
      <c r="R79" s="266"/>
      <c r="S79" s="266"/>
      <c r="T79" s="384"/>
      <c r="U79" s="266"/>
    </row>
    <row r="80" spans="1:38">
      <c r="B80" s="63"/>
      <c r="C80" s="266"/>
      <c r="D80" s="266"/>
      <c r="E80" s="266"/>
      <c r="F80" s="266"/>
      <c r="G80" s="63"/>
      <c r="H80" s="63"/>
      <c r="I80" s="63"/>
      <c r="J80" s="266"/>
      <c r="K80" s="266"/>
      <c r="L80" s="266"/>
      <c r="M80" s="266"/>
      <c r="N80" s="266"/>
      <c r="O80" s="266"/>
      <c r="P80" s="266"/>
      <c r="Q80" s="266"/>
      <c r="R80" s="266"/>
      <c r="S80" s="266"/>
      <c r="T80" s="384"/>
      <c r="U80" s="266"/>
    </row>
    <row r="81" spans="2:21">
      <c r="B81" s="63"/>
      <c r="C81" s="266"/>
      <c r="D81" s="266"/>
      <c r="E81" s="266"/>
      <c r="F81" s="266"/>
      <c r="G81" s="63"/>
      <c r="H81" s="63"/>
      <c r="I81" s="63"/>
      <c r="J81" s="266"/>
      <c r="K81" s="266"/>
      <c r="L81" s="266"/>
      <c r="M81" s="266"/>
      <c r="N81" s="266"/>
      <c r="O81" s="266"/>
      <c r="P81" s="266"/>
      <c r="Q81" s="266"/>
      <c r="R81" s="266"/>
      <c r="S81" s="266"/>
      <c r="T81" s="384"/>
      <c r="U81" s="266"/>
    </row>
    <row r="82" spans="2:21">
      <c r="B82" s="63"/>
      <c r="C82" s="266"/>
      <c r="D82" s="266"/>
      <c r="E82" s="266"/>
      <c r="F82" s="266"/>
      <c r="G82" s="63"/>
      <c r="H82" s="63"/>
      <c r="I82" s="63"/>
      <c r="J82" s="266"/>
      <c r="K82" s="266"/>
      <c r="L82" s="266"/>
      <c r="M82" s="266"/>
      <c r="N82" s="266"/>
      <c r="O82" s="266"/>
      <c r="P82" s="266"/>
      <c r="Q82" s="266"/>
      <c r="R82" s="266"/>
      <c r="S82" s="266"/>
      <c r="T82" s="384"/>
      <c r="U82" s="266"/>
    </row>
    <row r="83" spans="2:21">
      <c r="B83" s="63"/>
      <c r="C83" s="266"/>
      <c r="D83" s="266"/>
      <c r="E83" s="266"/>
      <c r="F83" s="266"/>
      <c r="G83" s="63"/>
      <c r="H83" s="63"/>
      <c r="I83" s="63"/>
      <c r="J83" s="266"/>
      <c r="K83" s="266"/>
      <c r="L83" s="266"/>
      <c r="M83" s="266"/>
      <c r="N83" s="266"/>
      <c r="O83" s="266"/>
      <c r="P83" s="266"/>
      <c r="Q83" s="266"/>
      <c r="R83" s="266"/>
      <c r="S83" s="266"/>
      <c r="T83" s="384"/>
      <c r="U83" s="266"/>
    </row>
    <row r="84" spans="2:21">
      <c r="B84" s="63"/>
      <c r="C84" s="266"/>
      <c r="D84" s="266"/>
      <c r="E84" s="266"/>
      <c r="F84" s="266"/>
      <c r="G84" s="63"/>
      <c r="H84" s="63"/>
      <c r="I84" s="63"/>
      <c r="J84" s="266"/>
      <c r="K84" s="266"/>
      <c r="L84" s="266"/>
      <c r="M84" s="266"/>
      <c r="N84" s="266"/>
      <c r="O84" s="266"/>
      <c r="P84" s="266"/>
      <c r="Q84" s="266"/>
      <c r="R84" s="266"/>
      <c r="S84" s="266"/>
      <c r="T84" s="384"/>
      <c r="U84" s="266"/>
    </row>
    <row r="85" spans="2:21">
      <c r="B85" s="63"/>
      <c r="C85" s="266"/>
      <c r="D85" s="266"/>
      <c r="E85" s="266"/>
      <c r="F85" s="266"/>
      <c r="G85" s="63"/>
      <c r="H85" s="63"/>
      <c r="I85" s="63"/>
      <c r="J85" s="266"/>
      <c r="K85" s="266"/>
      <c r="L85" s="266"/>
      <c r="M85" s="266"/>
      <c r="N85" s="266"/>
      <c r="O85" s="266"/>
      <c r="P85" s="266"/>
      <c r="Q85" s="266"/>
      <c r="R85" s="266"/>
      <c r="S85" s="266"/>
      <c r="T85" s="384"/>
      <c r="U85" s="266"/>
    </row>
    <row r="86" spans="2:21">
      <c r="B86" s="63"/>
      <c r="C86" s="266"/>
      <c r="D86" s="266"/>
      <c r="E86" s="266"/>
      <c r="F86" s="266"/>
      <c r="G86" s="63"/>
      <c r="H86" s="63"/>
      <c r="I86" s="63"/>
      <c r="J86" s="266"/>
      <c r="K86" s="266"/>
      <c r="L86" s="266"/>
      <c r="M86" s="266"/>
      <c r="N86" s="266"/>
      <c r="O86" s="266"/>
      <c r="P86" s="266"/>
      <c r="Q86" s="266"/>
      <c r="R86" s="266"/>
      <c r="S86" s="266"/>
      <c r="T86" s="384"/>
      <c r="U86" s="266"/>
    </row>
    <row r="87" spans="2:21">
      <c r="B87" s="63"/>
      <c r="C87" s="266"/>
      <c r="D87" s="266"/>
      <c r="E87" s="266"/>
      <c r="F87" s="266"/>
      <c r="G87" s="63"/>
      <c r="H87" s="63"/>
      <c r="I87" s="63"/>
      <c r="J87" s="266"/>
      <c r="K87" s="266"/>
      <c r="L87" s="266"/>
      <c r="M87" s="266"/>
      <c r="N87" s="266"/>
      <c r="O87" s="266"/>
      <c r="P87" s="266"/>
      <c r="Q87" s="266"/>
      <c r="R87" s="266"/>
      <c r="S87" s="266"/>
      <c r="T87" s="384"/>
      <c r="U87" s="266"/>
    </row>
    <row r="88" spans="2:21">
      <c r="B88" s="63"/>
      <c r="C88" s="266"/>
      <c r="D88" s="266"/>
      <c r="E88" s="266"/>
      <c r="F88" s="266"/>
      <c r="G88" s="63"/>
      <c r="H88" s="63"/>
      <c r="I88" s="63"/>
      <c r="J88" s="266"/>
      <c r="K88" s="266"/>
      <c r="L88" s="266"/>
      <c r="M88" s="266"/>
      <c r="N88" s="266"/>
      <c r="O88" s="266"/>
      <c r="P88" s="266"/>
      <c r="Q88" s="266"/>
      <c r="R88" s="266"/>
      <c r="S88" s="266"/>
      <c r="T88" s="384"/>
      <c r="U88" s="266"/>
    </row>
    <row r="89" spans="2:21">
      <c r="B89" s="63"/>
      <c r="C89" s="266"/>
      <c r="D89" s="266"/>
      <c r="E89" s="266"/>
      <c r="F89" s="266"/>
      <c r="G89" s="63"/>
      <c r="H89" s="63"/>
      <c r="I89" s="63"/>
      <c r="J89" s="266"/>
      <c r="K89" s="266"/>
      <c r="L89" s="266"/>
      <c r="M89" s="266"/>
      <c r="N89" s="266"/>
      <c r="O89" s="266"/>
      <c r="P89" s="266"/>
      <c r="Q89" s="266"/>
      <c r="R89" s="266"/>
      <c r="S89" s="266"/>
      <c r="T89" s="384"/>
      <c r="U89" s="266"/>
    </row>
    <row r="90" spans="2:21">
      <c r="B90" s="63"/>
      <c r="C90" s="266"/>
      <c r="D90" s="266"/>
      <c r="E90" s="266"/>
      <c r="F90" s="266"/>
      <c r="G90" s="63"/>
      <c r="H90" s="63"/>
      <c r="I90" s="63"/>
      <c r="J90" s="266"/>
      <c r="K90" s="266"/>
      <c r="L90" s="266"/>
      <c r="M90" s="266"/>
      <c r="N90" s="266"/>
      <c r="O90" s="266"/>
      <c r="P90" s="266"/>
      <c r="Q90" s="266"/>
      <c r="R90" s="266"/>
      <c r="S90" s="266"/>
      <c r="T90" s="384"/>
      <c r="U90" s="266"/>
    </row>
    <row r="91" spans="2:21">
      <c r="B91" s="63"/>
      <c r="C91" s="266"/>
      <c r="D91" s="266"/>
      <c r="E91" s="266"/>
      <c r="F91" s="266"/>
      <c r="G91" s="63"/>
      <c r="H91" s="63"/>
      <c r="I91" s="63"/>
      <c r="J91" s="266"/>
      <c r="K91" s="266"/>
      <c r="L91" s="266"/>
      <c r="M91" s="266"/>
      <c r="N91" s="266"/>
      <c r="O91" s="266"/>
      <c r="P91" s="266"/>
      <c r="Q91" s="266"/>
      <c r="R91" s="266"/>
      <c r="S91" s="266"/>
      <c r="T91" s="384"/>
      <c r="U91" s="266"/>
    </row>
    <row r="92" spans="2:21">
      <c r="B92" s="63"/>
      <c r="C92" s="266"/>
      <c r="D92" s="266"/>
      <c r="E92" s="266"/>
      <c r="F92" s="266"/>
      <c r="G92" s="63"/>
      <c r="H92" s="63"/>
      <c r="I92" s="63"/>
      <c r="J92" s="266"/>
      <c r="K92" s="266"/>
      <c r="L92" s="266"/>
      <c r="M92" s="266"/>
      <c r="N92" s="266"/>
      <c r="O92" s="266"/>
      <c r="P92" s="266"/>
      <c r="Q92" s="266"/>
      <c r="R92" s="266"/>
      <c r="S92" s="266"/>
      <c r="T92" s="384"/>
      <c r="U92" s="266"/>
    </row>
    <row r="93" spans="2:21">
      <c r="B93" s="63"/>
      <c r="C93" s="266"/>
      <c r="D93" s="266"/>
      <c r="E93" s="266"/>
      <c r="F93" s="266"/>
      <c r="G93" s="63"/>
      <c r="H93" s="63"/>
      <c r="I93" s="63"/>
      <c r="J93" s="266"/>
      <c r="K93" s="266"/>
      <c r="L93" s="266"/>
      <c r="M93" s="266"/>
      <c r="N93" s="266"/>
      <c r="O93" s="266"/>
      <c r="P93" s="266"/>
      <c r="Q93" s="266"/>
      <c r="R93" s="266"/>
      <c r="S93" s="266"/>
      <c r="T93" s="384"/>
      <c r="U93" s="266"/>
    </row>
    <row r="94" spans="2:21">
      <c r="B94" s="63"/>
      <c r="C94" s="266"/>
      <c r="D94" s="266"/>
      <c r="E94" s="266"/>
      <c r="F94" s="266"/>
      <c r="G94" s="63"/>
      <c r="H94" s="63"/>
      <c r="I94" s="63"/>
      <c r="J94" s="266"/>
      <c r="K94" s="266"/>
      <c r="L94" s="266"/>
      <c r="M94" s="266"/>
      <c r="N94" s="266"/>
      <c r="O94" s="266"/>
      <c r="P94" s="266"/>
      <c r="Q94" s="266"/>
      <c r="R94" s="266"/>
      <c r="S94" s="266"/>
      <c r="T94" s="384"/>
      <c r="U94" s="266"/>
    </row>
    <row r="95" spans="2:21">
      <c r="B95" s="63"/>
      <c r="C95" s="266"/>
      <c r="D95" s="266"/>
      <c r="E95" s="266"/>
      <c r="F95" s="266"/>
      <c r="G95" s="63"/>
      <c r="H95" s="63"/>
      <c r="I95" s="63"/>
      <c r="J95" s="266"/>
      <c r="K95" s="266"/>
      <c r="L95" s="266"/>
      <c r="M95" s="266"/>
      <c r="N95" s="266"/>
      <c r="O95" s="266"/>
      <c r="P95" s="266"/>
      <c r="Q95" s="266"/>
      <c r="R95" s="266"/>
      <c r="S95" s="266"/>
      <c r="T95" s="384"/>
      <c r="U95" s="266"/>
    </row>
    <row r="96" spans="2:21">
      <c r="B96" s="63"/>
      <c r="C96" s="266"/>
      <c r="D96" s="266"/>
      <c r="E96" s="266"/>
      <c r="F96" s="266"/>
      <c r="G96" s="63"/>
      <c r="H96" s="63"/>
      <c r="I96" s="63"/>
      <c r="J96" s="266"/>
      <c r="K96" s="266"/>
      <c r="L96" s="266"/>
      <c r="M96" s="266"/>
      <c r="N96" s="266"/>
      <c r="O96" s="266"/>
      <c r="P96" s="266"/>
      <c r="Q96" s="266"/>
      <c r="R96" s="266"/>
      <c r="S96" s="266"/>
      <c r="T96" s="384"/>
      <c r="U96" s="266"/>
    </row>
    <row r="97" spans="2:21">
      <c r="B97" s="63"/>
      <c r="C97" s="266"/>
      <c r="D97" s="266"/>
      <c r="E97" s="266"/>
      <c r="F97" s="266"/>
      <c r="G97" s="63"/>
      <c r="H97" s="63"/>
      <c r="I97" s="63"/>
      <c r="J97" s="266"/>
      <c r="K97" s="266"/>
      <c r="L97" s="266"/>
      <c r="M97" s="266"/>
      <c r="N97" s="266"/>
      <c r="O97" s="266"/>
      <c r="P97" s="266"/>
      <c r="Q97" s="266"/>
      <c r="R97" s="266"/>
      <c r="S97" s="266"/>
      <c r="T97" s="384"/>
      <c r="U97" s="266"/>
    </row>
    <row r="98" spans="2:21">
      <c r="B98" s="63"/>
      <c r="C98" s="266"/>
      <c r="D98" s="266"/>
      <c r="E98" s="266"/>
      <c r="F98" s="266"/>
      <c r="G98" s="63"/>
      <c r="H98" s="63"/>
      <c r="I98" s="63"/>
      <c r="J98" s="266"/>
      <c r="K98" s="266"/>
      <c r="L98" s="266"/>
      <c r="M98" s="266"/>
      <c r="N98" s="266"/>
      <c r="O98" s="266"/>
      <c r="P98" s="266"/>
      <c r="Q98" s="266"/>
      <c r="R98" s="266"/>
      <c r="S98" s="266"/>
      <c r="T98" s="384"/>
      <c r="U98" s="266"/>
    </row>
    <row r="99" spans="2:21">
      <c r="B99" s="63"/>
      <c r="C99" s="266"/>
      <c r="D99" s="266"/>
      <c r="E99" s="266"/>
      <c r="F99" s="266"/>
      <c r="G99" s="63"/>
      <c r="H99" s="63"/>
      <c r="I99" s="63"/>
      <c r="J99" s="266"/>
      <c r="K99" s="266"/>
      <c r="L99" s="266"/>
      <c r="M99" s="266"/>
      <c r="N99" s="266"/>
      <c r="O99" s="266"/>
      <c r="P99" s="266"/>
      <c r="Q99" s="266"/>
      <c r="R99" s="266"/>
      <c r="S99" s="266"/>
      <c r="T99" s="384"/>
      <c r="U99" s="266"/>
    </row>
    <row r="100" spans="2:21">
      <c r="B100" s="63"/>
      <c r="C100" s="266"/>
      <c r="D100" s="266"/>
      <c r="E100" s="266"/>
      <c r="F100" s="266"/>
      <c r="G100" s="63"/>
      <c r="H100" s="63"/>
      <c r="I100" s="63"/>
      <c r="J100" s="266"/>
      <c r="K100" s="266"/>
      <c r="L100" s="266"/>
      <c r="M100" s="266"/>
      <c r="N100" s="266"/>
      <c r="O100" s="266"/>
      <c r="P100" s="266"/>
      <c r="Q100" s="266"/>
      <c r="R100" s="266"/>
      <c r="S100" s="266"/>
      <c r="T100" s="384"/>
      <c r="U100" s="266"/>
    </row>
    <row r="101" spans="2:21">
      <c r="B101" s="63"/>
      <c r="C101" s="266"/>
      <c r="D101" s="266"/>
      <c r="E101" s="266"/>
      <c r="F101" s="266"/>
      <c r="G101" s="63"/>
      <c r="H101" s="63"/>
      <c r="I101" s="63"/>
      <c r="J101" s="266"/>
      <c r="K101" s="266"/>
      <c r="L101" s="266"/>
      <c r="M101" s="266"/>
      <c r="N101" s="266"/>
      <c r="O101" s="266"/>
      <c r="P101" s="266"/>
      <c r="Q101" s="266"/>
      <c r="R101" s="266"/>
      <c r="S101" s="266"/>
      <c r="T101" s="384"/>
      <c r="U101" s="266"/>
    </row>
    <row r="102" spans="2:21">
      <c r="B102" s="63"/>
      <c r="C102" s="266"/>
      <c r="D102" s="266"/>
      <c r="E102" s="266"/>
      <c r="F102" s="266"/>
      <c r="G102" s="63"/>
      <c r="H102" s="63"/>
      <c r="I102" s="63"/>
      <c r="J102" s="266"/>
      <c r="K102" s="266"/>
      <c r="L102" s="266"/>
      <c r="M102" s="266"/>
      <c r="N102" s="266"/>
      <c r="O102" s="266"/>
      <c r="P102" s="266"/>
      <c r="Q102" s="266"/>
      <c r="R102" s="266"/>
      <c r="S102" s="266"/>
      <c r="T102" s="384"/>
      <c r="U102" s="266"/>
    </row>
    <row r="103" spans="2:21">
      <c r="B103" s="63"/>
      <c r="C103" s="266"/>
      <c r="D103" s="266"/>
      <c r="E103" s="266"/>
      <c r="F103" s="266"/>
      <c r="G103" s="63"/>
      <c r="H103" s="63"/>
      <c r="I103" s="63"/>
      <c r="J103" s="266"/>
      <c r="K103" s="266"/>
      <c r="L103" s="266"/>
      <c r="M103" s="266"/>
      <c r="N103" s="266"/>
      <c r="O103" s="266"/>
      <c r="P103" s="266"/>
      <c r="Q103" s="266"/>
      <c r="R103" s="266"/>
      <c r="S103" s="266"/>
      <c r="T103" s="384"/>
      <c r="U103" s="266"/>
    </row>
    <row r="104" spans="2:21">
      <c r="B104" s="63"/>
      <c r="C104" s="266"/>
      <c r="D104" s="266"/>
      <c r="E104" s="266"/>
      <c r="F104" s="266"/>
      <c r="G104" s="63"/>
      <c r="H104" s="63"/>
      <c r="I104" s="63"/>
      <c r="J104" s="266"/>
      <c r="K104" s="266"/>
      <c r="L104" s="266"/>
      <c r="M104" s="266"/>
      <c r="N104" s="266"/>
      <c r="O104" s="266"/>
      <c r="P104" s="266"/>
      <c r="Q104" s="266"/>
      <c r="R104" s="266"/>
      <c r="S104" s="266"/>
      <c r="T104" s="384"/>
      <c r="U104" s="266"/>
    </row>
    <row r="105" spans="2:21">
      <c r="B105" s="63"/>
      <c r="C105" s="266"/>
      <c r="D105" s="266"/>
      <c r="E105" s="266"/>
      <c r="F105" s="266"/>
      <c r="G105" s="63"/>
      <c r="H105" s="63"/>
      <c r="I105" s="63"/>
      <c r="J105" s="266"/>
      <c r="K105" s="266"/>
      <c r="L105" s="266"/>
      <c r="M105" s="266"/>
      <c r="N105" s="266"/>
      <c r="O105" s="266"/>
      <c r="P105" s="266"/>
      <c r="Q105" s="266"/>
      <c r="R105" s="266"/>
      <c r="S105" s="266"/>
      <c r="T105" s="384"/>
      <c r="U105" s="266"/>
    </row>
    <row r="106" spans="2:21">
      <c r="B106" s="63"/>
      <c r="C106" s="266"/>
      <c r="D106" s="266"/>
      <c r="E106" s="266"/>
      <c r="F106" s="266"/>
      <c r="G106" s="63"/>
      <c r="H106" s="63"/>
      <c r="I106" s="63"/>
      <c r="J106" s="266"/>
      <c r="K106" s="266"/>
      <c r="L106" s="266"/>
      <c r="M106" s="266"/>
      <c r="N106" s="266"/>
      <c r="O106" s="266"/>
      <c r="P106" s="266"/>
      <c r="Q106" s="266"/>
      <c r="R106" s="266"/>
      <c r="S106" s="266"/>
      <c r="T106" s="384"/>
      <c r="U106" s="266"/>
    </row>
    <row r="107" spans="2:21">
      <c r="B107" s="63"/>
      <c r="C107" s="266"/>
      <c r="D107" s="266"/>
      <c r="E107" s="266"/>
      <c r="F107" s="266"/>
      <c r="G107" s="63"/>
      <c r="H107" s="63"/>
      <c r="I107" s="63"/>
      <c r="J107" s="266"/>
      <c r="K107" s="266"/>
      <c r="L107" s="266"/>
      <c r="M107" s="266"/>
      <c r="N107" s="266"/>
      <c r="O107" s="266"/>
      <c r="P107" s="266"/>
      <c r="Q107" s="266"/>
      <c r="R107" s="266"/>
      <c r="S107" s="266"/>
      <c r="T107" s="384"/>
      <c r="U107" s="266"/>
    </row>
    <row r="108" spans="2:21">
      <c r="B108" s="63"/>
      <c r="C108" s="266"/>
      <c r="D108" s="266"/>
      <c r="E108" s="266"/>
      <c r="F108" s="266"/>
      <c r="G108" s="63"/>
      <c r="H108" s="63"/>
      <c r="I108" s="63"/>
      <c r="J108" s="266"/>
      <c r="K108" s="266"/>
      <c r="L108" s="266"/>
      <c r="M108" s="266"/>
      <c r="N108" s="266"/>
      <c r="O108" s="266"/>
      <c r="P108" s="266"/>
      <c r="Q108" s="266"/>
      <c r="R108" s="266"/>
      <c r="S108" s="266"/>
      <c r="T108" s="384"/>
      <c r="U108" s="266"/>
    </row>
    <row r="109" spans="2:21">
      <c r="B109" s="63"/>
      <c r="C109" s="266"/>
      <c r="D109" s="266"/>
      <c r="E109" s="266"/>
      <c r="F109" s="266"/>
      <c r="G109" s="63"/>
      <c r="H109" s="63"/>
      <c r="I109" s="63"/>
      <c r="J109" s="266"/>
      <c r="K109" s="266"/>
      <c r="L109" s="266"/>
      <c r="M109" s="266"/>
      <c r="N109" s="266"/>
      <c r="O109" s="266"/>
      <c r="P109" s="266"/>
      <c r="Q109" s="266"/>
      <c r="R109" s="266"/>
      <c r="S109" s="266"/>
      <c r="T109" s="384"/>
      <c r="U109" s="266"/>
    </row>
    <row r="110" spans="2:21">
      <c r="B110" s="63"/>
      <c r="C110" s="266"/>
      <c r="D110" s="266"/>
      <c r="E110" s="266"/>
      <c r="F110" s="266"/>
      <c r="G110" s="63"/>
      <c r="H110" s="63"/>
      <c r="I110" s="63"/>
      <c r="J110" s="266"/>
      <c r="K110" s="266"/>
      <c r="L110" s="266"/>
      <c r="M110" s="266"/>
      <c r="N110" s="266"/>
      <c r="O110" s="266"/>
      <c r="P110" s="266"/>
      <c r="Q110" s="266"/>
      <c r="R110" s="266"/>
      <c r="S110" s="266"/>
      <c r="T110" s="384"/>
      <c r="U110" s="266"/>
    </row>
    <row r="111" spans="2:21">
      <c r="B111" s="63"/>
      <c r="C111" s="266"/>
      <c r="D111" s="266"/>
      <c r="E111" s="266"/>
      <c r="F111" s="266"/>
      <c r="G111" s="63"/>
      <c r="H111" s="63"/>
      <c r="I111" s="63"/>
      <c r="J111" s="266"/>
      <c r="K111" s="266"/>
      <c r="L111" s="266"/>
      <c r="M111" s="266"/>
      <c r="N111" s="266"/>
      <c r="O111" s="266"/>
      <c r="P111" s="266"/>
      <c r="Q111" s="266"/>
      <c r="R111" s="266"/>
      <c r="S111" s="266"/>
      <c r="T111" s="384"/>
      <c r="U111" s="266"/>
    </row>
    <row r="112" spans="2:21">
      <c r="B112" s="63"/>
      <c r="C112" s="266"/>
      <c r="D112" s="266"/>
      <c r="E112" s="266"/>
      <c r="F112" s="266"/>
      <c r="G112" s="63"/>
      <c r="H112" s="63"/>
      <c r="I112" s="63"/>
      <c r="J112" s="266"/>
      <c r="K112" s="266"/>
      <c r="L112" s="266"/>
      <c r="M112" s="266"/>
      <c r="N112" s="266"/>
      <c r="O112" s="266"/>
      <c r="P112" s="266"/>
      <c r="Q112" s="266"/>
      <c r="R112" s="266"/>
      <c r="S112" s="266"/>
      <c r="T112" s="384"/>
      <c r="U112" s="266"/>
    </row>
    <row r="113" spans="1:21">
      <c r="B113" s="63"/>
      <c r="C113" s="266"/>
      <c r="D113" s="266"/>
      <c r="E113" s="266"/>
      <c r="F113" s="266"/>
      <c r="G113" s="63"/>
      <c r="H113" s="63"/>
      <c r="I113" s="63"/>
      <c r="J113" s="266"/>
      <c r="K113" s="266"/>
      <c r="L113" s="266"/>
      <c r="M113" s="266"/>
      <c r="N113" s="266"/>
      <c r="O113" s="266"/>
      <c r="P113" s="266"/>
      <c r="Q113" s="266"/>
      <c r="R113" s="266"/>
      <c r="S113" s="266"/>
      <c r="T113" s="384"/>
      <c r="U113" s="266"/>
    </row>
    <row r="114" spans="1:21">
      <c r="B114" s="63"/>
      <c r="C114" s="266"/>
      <c r="D114" s="266"/>
      <c r="E114" s="266"/>
      <c r="F114" s="266"/>
      <c r="G114" s="63"/>
      <c r="H114" s="63"/>
      <c r="I114" s="63"/>
      <c r="J114" s="266"/>
      <c r="K114" s="266"/>
      <c r="L114" s="266"/>
      <c r="M114" s="266"/>
      <c r="N114" s="266"/>
      <c r="O114" s="266"/>
      <c r="P114" s="266"/>
      <c r="Q114" s="266"/>
      <c r="R114" s="266"/>
      <c r="S114" s="266"/>
      <c r="T114" s="384"/>
      <c r="U114" s="266"/>
    </row>
    <row r="115" spans="1:21">
      <c r="B115" s="63"/>
      <c r="C115" s="266"/>
      <c r="D115" s="266"/>
      <c r="E115" s="266"/>
      <c r="F115" s="266"/>
      <c r="G115" s="63"/>
      <c r="H115" s="63"/>
      <c r="I115" s="63"/>
      <c r="J115" s="266"/>
      <c r="K115" s="266"/>
      <c r="L115" s="266"/>
      <c r="M115" s="266"/>
      <c r="N115" s="266"/>
      <c r="O115" s="266"/>
      <c r="P115" s="266"/>
      <c r="Q115" s="266"/>
      <c r="R115" s="266"/>
      <c r="S115" s="266"/>
      <c r="T115" s="384"/>
      <c r="U115" s="266"/>
    </row>
    <row r="116" spans="1:21">
      <c r="B116" s="63"/>
      <c r="C116" s="266"/>
      <c r="D116" s="266"/>
      <c r="E116" s="266"/>
      <c r="F116" s="266"/>
      <c r="G116" s="63"/>
      <c r="H116" s="63"/>
      <c r="I116" s="63"/>
      <c r="J116" s="266"/>
      <c r="K116" s="266"/>
      <c r="L116" s="266"/>
      <c r="M116" s="266"/>
      <c r="N116" s="266"/>
      <c r="O116" s="266"/>
      <c r="P116" s="266"/>
      <c r="Q116" s="266"/>
      <c r="R116" s="266"/>
      <c r="S116" s="266"/>
      <c r="T116" s="384"/>
      <c r="U116" s="266"/>
    </row>
    <row r="117" spans="1:21">
      <c r="B117" s="63"/>
      <c r="C117" s="266"/>
      <c r="D117" s="266"/>
      <c r="E117" s="266"/>
      <c r="F117" s="266"/>
      <c r="G117" s="63"/>
      <c r="H117" s="63"/>
      <c r="I117" s="63"/>
      <c r="J117" s="266"/>
      <c r="K117" s="266"/>
      <c r="L117" s="266"/>
      <c r="M117" s="266"/>
      <c r="N117" s="266"/>
      <c r="O117" s="266"/>
      <c r="P117" s="266"/>
      <c r="Q117" s="266"/>
      <c r="R117" s="266"/>
      <c r="S117" s="266"/>
      <c r="T117" s="384"/>
      <c r="U117" s="266"/>
    </row>
    <row r="118" spans="1:21">
      <c r="B118" s="63"/>
      <c r="C118" s="266"/>
      <c r="D118" s="266"/>
      <c r="E118" s="266"/>
      <c r="F118" s="266"/>
      <c r="G118" s="63"/>
      <c r="H118" s="63"/>
      <c r="I118" s="63"/>
      <c r="J118" s="266"/>
      <c r="K118" s="266"/>
      <c r="L118" s="266"/>
      <c r="M118" s="266"/>
      <c r="N118" s="266"/>
      <c r="O118" s="266"/>
      <c r="P118" s="266"/>
      <c r="Q118" s="266"/>
      <c r="R118" s="266"/>
      <c r="S118" s="266"/>
      <c r="T118" s="384"/>
      <c r="U118" s="266"/>
    </row>
    <row r="119" spans="1:21">
      <c r="B119" s="63"/>
      <c r="C119" s="266"/>
      <c r="D119" s="266"/>
      <c r="E119" s="266"/>
      <c r="F119" s="266"/>
      <c r="G119" s="63"/>
      <c r="H119" s="63"/>
      <c r="I119" s="63"/>
      <c r="J119" s="266"/>
      <c r="K119" s="266"/>
      <c r="L119" s="266"/>
      <c r="M119" s="266"/>
      <c r="N119" s="266"/>
      <c r="O119" s="266"/>
      <c r="P119" s="266"/>
      <c r="Q119" s="266"/>
      <c r="R119" s="266"/>
      <c r="S119" s="266"/>
      <c r="T119" s="384"/>
      <c r="U119" s="266"/>
    </row>
    <row r="120" spans="1:21">
      <c r="B120" s="63"/>
      <c r="C120" s="266"/>
      <c r="D120" s="266"/>
      <c r="E120" s="266"/>
      <c r="F120" s="266"/>
      <c r="G120" s="63"/>
      <c r="H120" s="63"/>
      <c r="I120" s="63"/>
      <c r="J120" s="266"/>
      <c r="K120" s="266"/>
      <c r="L120" s="266"/>
      <c r="M120" s="266"/>
      <c r="N120" s="266"/>
      <c r="O120" s="266"/>
      <c r="P120" s="266"/>
      <c r="Q120" s="266"/>
      <c r="R120" s="266"/>
      <c r="S120" s="266"/>
      <c r="T120" s="384"/>
      <c r="U120" s="266"/>
    </row>
    <row r="121" spans="1:21">
      <c r="B121" s="63"/>
      <c r="C121" s="266"/>
      <c r="D121" s="266"/>
      <c r="E121" s="266"/>
      <c r="F121" s="266"/>
      <c r="G121" s="63"/>
      <c r="H121" s="63"/>
      <c r="I121" s="63"/>
      <c r="J121" s="266"/>
      <c r="K121" s="266"/>
      <c r="L121" s="266"/>
      <c r="M121" s="266"/>
      <c r="N121" s="266"/>
      <c r="O121" s="266"/>
      <c r="P121" s="266"/>
      <c r="Q121" s="266"/>
      <c r="R121" s="266"/>
      <c r="S121" s="266"/>
      <c r="T121" s="384"/>
      <c r="U121" s="266"/>
    </row>
    <row r="122" spans="1:21">
      <c r="B122" s="63"/>
      <c r="C122" s="266"/>
      <c r="D122" s="266"/>
      <c r="E122" s="266"/>
      <c r="F122" s="266"/>
      <c r="G122" s="63"/>
      <c r="H122" s="63"/>
      <c r="I122" s="63"/>
      <c r="J122" s="266"/>
      <c r="K122" s="266"/>
      <c r="L122" s="266"/>
      <c r="M122" s="266"/>
      <c r="N122" s="266"/>
      <c r="O122" s="266"/>
      <c r="P122" s="266"/>
      <c r="Q122" s="266"/>
      <c r="R122" s="266"/>
      <c r="S122" s="266"/>
      <c r="T122" s="384"/>
      <c r="U122" s="266"/>
    </row>
    <row r="123" spans="1:21">
      <c r="B123" s="63"/>
      <c r="C123" s="266"/>
      <c r="D123" s="266"/>
      <c r="E123" s="266"/>
      <c r="F123" s="266"/>
      <c r="G123" s="63"/>
      <c r="H123" s="63"/>
      <c r="I123" s="63"/>
      <c r="J123" s="266"/>
      <c r="K123" s="266"/>
      <c r="L123" s="266"/>
      <c r="M123" s="266"/>
      <c r="N123" s="266"/>
      <c r="O123" s="266"/>
      <c r="P123" s="266"/>
      <c r="Q123" s="266"/>
      <c r="R123" s="266"/>
      <c r="S123" s="266"/>
      <c r="T123" s="384"/>
      <c r="U123" s="266"/>
    </row>
    <row r="124" spans="1:21">
      <c r="A124" s="266"/>
      <c r="B124" s="63"/>
      <c r="C124" s="266"/>
      <c r="D124" s="266"/>
      <c r="E124" s="266"/>
      <c r="F124" s="266"/>
      <c r="G124" s="63"/>
      <c r="H124" s="63"/>
      <c r="I124" s="63"/>
      <c r="J124" s="266"/>
      <c r="K124" s="266"/>
      <c r="L124" s="266"/>
      <c r="M124" s="266"/>
      <c r="N124" s="266"/>
      <c r="O124" s="266"/>
      <c r="P124" s="266"/>
      <c r="Q124" s="266"/>
      <c r="R124" s="266"/>
      <c r="S124" s="266"/>
      <c r="T124" s="384"/>
      <c r="U124" s="266"/>
    </row>
    <row r="125" spans="1:21">
      <c r="A125" s="266"/>
      <c r="B125" s="63"/>
      <c r="C125" s="266"/>
      <c r="D125" s="266"/>
      <c r="E125" s="266"/>
      <c r="F125" s="266"/>
      <c r="G125" s="63"/>
      <c r="H125" s="63"/>
      <c r="I125" s="63"/>
      <c r="J125" s="266"/>
      <c r="K125" s="266"/>
      <c r="L125" s="266"/>
      <c r="M125" s="266"/>
      <c r="N125" s="266"/>
      <c r="O125" s="266"/>
      <c r="P125" s="266"/>
      <c r="Q125" s="266"/>
      <c r="R125" s="266"/>
      <c r="S125" s="266"/>
      <c r="T125" s="384"/>
      <c r="U125" s="266"/>
    </row>
    <row r="126" spans="1:21">
      <c r="A126" s="266"/>
      <c r="B126" s="63"/>
      <c r="C126" s="266"/>
      <c r="D126" s="266"/>
      <c r="E126" s="266"/>
      <c r="F126" s="266"/>
      <c r="G126" s="63"/>
      <c r="H126" s="63"/>
      <c r="I126" s="63"/>
      <c r="J126" s="266"/>
      <c r="K126" s="266"/>
      <c r="L126" s="266"/>
      <c r="M126" s="266"/>
      <c r="N126" s="266"/>
      <c r="O126" s="266"/>
      <c r="P126" s="266"/>
      <c r="Q126" s="266"/>
      <c r="R126" s="266"/>
      <c r="S126" s="266"/>
      <c r="T126" s="384"/>
      <c r="U126" s="266"/>
    </row>
    <row r="127" spans="1:21">
      <c r="A127" s="266"/>
      <c r="B127" s="63"/>
      <c r="C127" s="266"/>
      <c r="D127" s="266"/>
      <c r="E127" s="266"/>
      <c r="F127" s="266"/>
      <c r="G127" s="63"/>
      <c r="H127" s="63"/>
      <c r="I127" s="63"/>
      <c r="J127" s="266"/>
      <c r="K127" s="266"/>
      <c r="L127" s="266"/>
      <c r="M127" s="266"/>
      <c r="N127" s="266"/>
      <c r="O127" s="266"/>
      <c r="P127" s="266"/>
      <c r="Q127" s="266"/>
      <c r="R127" s="266"/>
      <c r="S127" s="266"/>
      <c r="T127" s="384"/>
      <c r="U127" s="266"/>
    </row>
    <row r="128" spans="1:21">
      <c r="A128" s="266"/>
      <c r="B128" s="63"/>
      <c r="C128" s="266"/>
      <c r="D128" s="266"/>
      <c r="E128" s="266"/>
      <c r="F128" s="266"/>
      <c r="G128" s="63"/>
      <c r="H128" s="63"/>
      <c r="I128" s="63"/>
      <c r="J128" s="266"/>
      <c r="K128" s="266"/>
      <c r="L128" s="266"/>
      <c r="M128" s="266"/>
      <c r="N128" s="266"/>
      <c r="O128" s="266"/>
      <c r="P128" s="266"/>
      <c r="Q128" s="266"/>
      <c r="R128" s="266"/>
      <c r="S128" s="266"/>
      <c r="T128" s="384"/>
      <c r="U128" s="266"/>
    </row>
    <row r="129" spans="1:21">
      <c r="A129" s="266"/>
      <c r="B129" s="63"/>
      <c r="C129" s="266"/>
      <c r="D129" s="266"/>
      <c r="E129" s="266"/>
      <c r="F129" s="266"/>
      <c r="G129" s="63"/>
      <c r="H129" s="63"/>
      <c r="I129" s="63"/>
      <c r="J129" s="266"/>
      <c r="K129" s="266"/>
      <c r="L129" s="266"/>
      <c r="M129" s="266"/>
      <c r="N129" s="266"/>
      <c r="O129" s="266"/>
      <c r="P129" s="266"/>
      <c r="Q129" s="266"/>
      <c r="R129" s="266"/>
      <c r="S129" s="266"/>
      <c r="T129" s="384"/>
      <c r="U129" s="266"/>
    </row>
    <row r="130" spans="1:21">
      <c r="A130" s="266"/>
      <c r="B130" s="63"/>
      <c r="C130" s="266"/>
      <c r="D130" s="266"/>
      <c r="E130" s="266"/>
      <c r="F130" s="266"/>
      <c r="G130" s="63"/>
      <c r="H130" s="63"/>
      <c r="I130" s="63"/>
      <c r="J130" s="266"/>
      <c r="K130" s="266"/>
      <c r="L130" s="266"/>
      <c r="M130" s="266"/>
      <c r="N130" s="266"/>
      <c r="O130" s="266"/>
      <c r="P130" s="266"/>
      <c r="Q130" s="266"/>
      <c r="R130" s="266"/>
      <c r="S130" s="266"/>
      <c r="T130" s="384"/>
      <c r="U130" s="266"/>
    </row>
    <row r="131" spans="1:21">
      <c r="A131" s="266"/>
      <c r="B131" s="63"/>
      <c r="C131" s="266"/>
      <c r="D131" s="266"/>
      <c r="E131" s="266"/>
      <c r="F131" s="266"/>
      <c r="G131" s="63"/>
      <c r="H131" s="63"/>
      <c r="I131" s="63"/>
      <c r="J131" s="266"/>
      <c r="K131" s="266"/>
      <c r="L131" s="266"/>
      <c r="M131" s="266"/>
      <c r="N131" s="266"/>
      <c r="O131" s="266"/>
      <c r="P131" s="266"/>
      <c r="Q131" s="266"/>
      <c r="R131" s="266"/>
      <c r="S131" s="266"/>
      <c r="T131" s="384"/>
      <c r="U131" s="266"/>
    </row>
    <row r="132" spans="1:21">
      <c r="A132" s="266"/>
      <c r="B132" s="63"/>
      <c r="C132" s="266"/>
      <c r="D132" s="266"/>
      <c r="E132" s="266"/>
      <c r="F132" s="266"/>
      <c r="G132" s="63"/>
      <c r="H132" s="63"/>
      <c r="I132" s="63"/>
      <c r="J132" s="266"/>
      <c r="K132" s="266"/>
      <c r="L132" s="266"/>
      <c r="M132" s="266"/>
      <c r="N132" s="266"/>
      <c r="O132" s="266"/>
      <c r="P132" s="266"/>
      <c r="Q132" s="266"/>
      <c r="R132" s="266"/>
      <c r="S132" s="266"/>
      <c r="T132" s="384"/>
      <c r="U132" s="266"/>
    </row>
    <row r="133" spans="1:21">
      <c r="A133" s="266"/>
      <c r="B133" s="63"/>
      <c r="C133" s="266"/>
      <c r="D133" s="266"/>
      <c r="E133" s="266"/>
      <c r="F133" s="266"/>
      <c r="G133" s="63"/>
      <c r="H133" s="63"/>
      <c r="I133" s="63"/>
      <c r="J133" s="266"/>
      <c r="K133" s="266"/>
      <c r="L133" s="266"/>
      <c r="M133" s="266"/>
      <c r="N133" s="266"/>
      <c r="O133" s="266"/>
      <c r="P133" s="266"/>
      <c r="Q133" s="266"/>
      <c r="R133" s="266"/>
      <c r="S133" s="266"/>
      <c r="T133" s="384"/>
      <c r="U133" s="266"/>
    </row>
    <row r="134" spans="1:21">
      <c r="A134" s="266"/>
      <c r="B134" s="63"/>
      <c r="C134" s="266"/>
      <c r="D134" s="266"/>
      <c r="E134" s="266"/>
      <c r="F134" s="266"/>
      <c r="G134" s="63"/>
      <c r="H134" s="63"/>
      <c r="I134" s="63"/>
      <c r="J134" s="266"/>
      <c r="K134" s="266"/>
      <c r="L134" s="266"/>
      <c r="M134" s="266"/>
      <c r="N134" s="266"/>
      <c r="O134" s="266"/>
      <c r="P134" s="266"/>
      <c r="Q134" s="266"/>
      <c r="R134" s="266"/>
      <c r="S134" s="266"/>
      <c r="T134" s="384"/>
      <c r="U134" s="266"/>
    </row>
    <row r="135" spans="1:21">
      <c r="A135" s="266"/>
      <c r="B135" s="63"/>
      <c r="C135" s="266"/>
      <c r="D135" s="266"/>
      <c r="E135" s="266"/>
      <c r="F135" s="266"/>
      <c r="G135" s="63"/>
      <c r="H135" s="63"/>
      <c r="I135" s="63"/>
      <c r="J135" s="266"/>
      <c r="K135" s="266"/>
      <c r="L135" s="266"/>
      <c r="M135" s="266"/>
      <c r="N135" s="266"/>
      <c r="O135" s="266"/>
      <c r="P135" s="266"/>
      <c r="Q135" s="266"/>
      <c r="R135" s="266"/>
      <c r="S135" s="266"/>
      <c r="T135" s="384"/>
      <c r="U135" s="266"/>
    </row>
    <row r="136" spans="1:21">
      <c r="A136" s="266"/>
      <c r="B136" s="63"/>
      <c r="C136" s="266"/>
      <c r="D136" s="266"/>
      <c r="E136" s="266"/>
      <c r="F136" s="266"/>
      <c r="G136" s="63"/>
      <c r="H136" s="63"/>
      <c r="I136" s="63"/>
      <c r="J136" s="266"/>
      <c r="K136" s="266"/>
      <c r="L136" s="266"/>
      <c r="M136" s="266"/>
      <c r="N136" s="266"/>
      <c r="O136" s="266"/>
      <c r="P136" s="266"/>
      <c r="Q136" s="266"/>
      <c r="R136" s="266"/>
      <c r="S136" s="266"/>
      <c r="T136" s="384"/>
      <c r="U136" s="266"/>
    </row>
    <row r="137" spans="1:21">
      <c r="A137" s="266"/>
      <c r="B137" s="63"/>
      <c r="C137" s="266"/>
      <c r="D137" s="266"/>
      <c r="E137" s="266"/>
      <c r="F137" s="266"/>
      <c r="G137" s="63"/>
      <c r="H137" s="63"/>
      <c r="I137" s="63"/>
      <c r="J137" s="266"/>
      <c r="K137" s="266"/>
      <c r="L137" s="266"/>
      <c r="M137" s="266"/>
      <c r="N137" s="266"/>
      <c r="O137" s="266"/>
      <c r="P137" s="266"/>
      <c r="Q137" s="266"/>
      <c r="R137" s="266"/>
      <c r="S137" s="266"/>
      <c r="T137" s="384"/>
      <c r="U137" s="266"/>
    </row>
    <row r="138" spans="1:21">
      <c r="A138" s="266"/>
      <c r="B138" s="63"/>
      <c r="C138" s="266"/>
      <c r="D138" s="266"/>
      <c r="E138" s="266"/>
      <c r="F138" s="266"/>
      <c r="G138" s="63"/>
      <c r="H138" s="63"/>
      <c r="I138" s="63"/>
      <c r="J138" s="266"/>
      <c r="K138" s="266"/>
      <c r="L138" s="266"/>
      <c r="M138" s="266"/>
      <c r="N138" s="266"/>
      <c r="O138" s="266"/>
      <c r="P138" s="266"/>
      <c r="Q138" s="266"/>
      <c r="R138" s="266"/>
      <c r="S138" s="266"/>
      <c r="T138" s="384"/>
      <c r="U138" s="266"/>
    </row>
    <row r="139" spans="1:21">
      <c r="A139" s="266"/>
      <c r="B139" s="63"/>
      <c r="C139" s="266"/>
      <c r="D139" s="266"/>
      <c r="E139" s="266"/>
      <c r="F139" s="266"/>
      <c r="G139" s="63"/>
      <c r="H139" s="63"/>
      <c r="I139" s="63"/>
      <c r="J139" s="266"/>
      <c r="K139" s="266"/>
      <c r="L139" s="266"/>
      <c r="M139" s="266"/>
      <c r="N139" s="266"/>
      <c r="O139" s="266"/>
      <c r="P139" s="266"/>
      <c r="Q139" s="266"/>
      <c r="R139" s="266"/>
      <c r="S139" s="266"/>
      <c r="T139" s="384"/>
      <c r="U139" s="266"/>
    </row>
    <row r="140" spans="1:21">
      <c r="A140" s="266"/>
      <c r="B140" s="63"/>
      <c r="C140" s="266"/>
      <c r="D140" s="266"/>
      <c r="E140" s="266"/>
      <c r="F140" s="266"/>
      <c r="G140" s="63"/>
      <c r="H140" s="63"/>
      <c r="I140" s="63"/>
      <c r="J140" s="266"/>
      <c r="K140" s="266"/>
      <c r="L140" s="266"/>
      <c r="M140" s="266"/>
      <c r="N140" s="266"/>
      <c r="O140" s="266"/>
      <c r="P140" s="266"/>
      <c r="Q140" s="266"/>
      <c r="R140" s="266"/>
      <c r="S140" s="266"/>
      <c r="T140" s="384"/>
      <c r="U140" s="266"/>
    </row>
    <row r="141" spans="1:21">
      <c r="A141" s="266"/>
      <c r="B141" s="63"/>
      <c r="C141" s="266"/>
      <c r="D141" s="266"/>
      <c r="E141" s="266"/>
      <c r="F141" s="266"/>
      <c r="G141" s="63"/>
      <c r="H141" s="63"/>
      <c r="I141" s="63"/>
      <c r="J141" s="266"/>
      <c r="K141" s="266"/>
      <c r="L141" s="266"/>
      <c r="M141" s="266"/>
      <c r="N141" s="266"/>
      <c r="O141" s="266"/>
      <c r="P141" s="266"/>
      <c r="Q141" s="266"/>
      <c r="R141" s="266"/>
      <c r="S141" s="266"/>
      <c r="T141" s="384"/>
      <c r="U141" s="266"/>
    </row>
    <row r="142" spans="1:21">
      <c r="A142" s="266"/>
      <c r="B142" s="63"/>
      <c r="C142" s="266"/>
      <c r="D142" s="266"/>
      <c r="E142" s="266"/>
      <c r="F142" s="266"/>
      <c r="G142" s="63"/>
      <c r="H142" s="63"/>
      <c r="I142" s="63"/>
      <c r="J142" s="266"/>
      <c r="K142" s="266"/>
      <c r="L142" s="266"/>
      <c r="M142" s="266"/>
      <c r="N142" s="266"/>
      <c r="O142" s="266"/>
      <c r="P142" s="266"/>
      <c r="Q142" s="266"/>
      <c r="R142" s="266"/>
      <c r="S142" s="266"/>
      <c r="T142" s="384"/>
      <c r="U142" s="266"/>
    </row>
    <row r="143" spans="1:21">
      <c r="A143" s="266"/>
      <c r="B143" s="63"/>
      <c r="C143" s="266"/>
      <c r="D143" s="266"/>
      <c r="E143" s="266"/>
      <c r="F143" s="266"/>
      <c r="G143" s="63"/>
      <c r="H143" s="63"/>
      <c r="I143" s="63"/>
      <c r="J143" s="266"/>
      <c r="K143" s="266"/>
      <c r="L143" s="266"/>
      <c r="M143" s="266"/>
      <c r="N143" s="266"/>
      <c r="O143" s="266"/>
      <c r="P143" s="266"/>
      <c r="Q143" s="266"/>
      <c r="R143" s="266"/>
      <c r="S143" s="266"/>
      <c r="T143" s="384"/>
      <c r="U143" s="266"/>
    </row>
    <row r="144" spans="1:21">
      <c r="A144" s="266"/>
      <c r="B144" s="63"/>
      <c r="C144" s="266"/>
      <c r="D144" s="266"/>
      <c r="E144" s="266"/>
      <c r="F144" s="266"/>
      <c r="G144" s="63"/>
      <c r="H144" s="63"/>
      <c r="I144" s="63"/>
      <c r="J144" s="266"/>
      <c r="K144" s="266"/>
      <c r="L144" s="266"/>
      <c r="M144" s="266"/>
      <c r="N144" s="266"/>
      <c r="O144" s="266"/>
      <c r="P144" s="266"/>
      <c r="Q144" s="266"/>
      <c r="R144" s="266"/>
      <c r="S144" s="266"/>
      <c r="T144" s="384"/>
      <c r="U144" s="266"/>
    </row>
    <row r="145" spans="1:21">
      <c r="A145" s="266"/>
      <c r="B145" s="63"/>
      <c r="C145" s="266"/>
      <c r="D145" s="266"/>
      <c r="E145" s="266"/>
      <c r="F145" s="266"/>
      <c r="G145" s="63"/>
      <c r="H145" s="63"/>
      <c r="I145" s="63"/>
      <c r="J145" s="266"/>
      <c r="K145" s="266"/>
      <c r="L145" s="266"/>
      <c r="M145" s="266"/>
      <c r="N145" s="266"/>
      <c r="O145" s="266"/>
      <c r="P145" s="266"/>
      <c r="Q145" s="266"/>
      <c r="R145" s="266"/>
      <c r="S145" s="266"/>
      <c r="T145" s="384"/>
      <c r="U145" s="266"/>
    </row>
    <row r="146" spans="1:21">
      <c r="A146" s="266"/>
      <c r="B146" s="63"/>
      <c r="C146" s="266"/>
      <c r="D146" s="266"/>
      <c r="E146" s="266"/>
      <c r="F146" s="266"/>
      <c r="G146" s="63"/>
      <c r="H146" s="63"/>
      <c r="I146" s="63"/>
      <c r="J146" s="266"/>
      <c r="K146" s="266"/>
      <c r="L146" s="266"/>
      <c r="M146" s="266"/>
      <c r="N146" s="266"/>
      <c r="O146" s="266"/>
      <c r="P146" s="266"/>
      <c r="Q146" s="266"/>
      <c r="R146" s="266"/>
      <c r="S146" s="266"/>
      <c r="T146" s="384"/>
      <c r="U146" s="266"/>
    </row>
    <row r="147" spans="1:21">
      <c r="A147" s="266"/>
      <c r="B147" s="63"/>
      <c r="C147" s="266"/>
      <c r="D147" s="266"/>
      <c r="E147" s="266"/>
      <c r="F147" s="266"/>
      <c r="G147" s="63"/>
      <c r="H147" s="63"/>
      <c r="I147" s="63"/>
      <c r="J147" s="266"/>
      <c r="K147" s="266"/>
      <c r="L147" s="266"/>
      <c r="M147" s="266"/>
      <c r="N147" s="266"/>
      <c r="O147" s="266"/>
      <c r="P147" s="266"/>
      <c r="Q147" s="266"/>
      <c r="R147" s="266"/>
      <c r="S147" s="266"/>
      <c r="T147" s="384"/>
      <c r="U147" s="266"/>
    </row>
    <row r="148" spans="1:21">
      <c r="A148" s="266"/>
      <c r="B148" s="63"/>
      <c r="C148" s="266"/>
      <c r="D148" s="266"/>
      <c r="E148" s="266"/>
      <c r="F148" s="266"/>
      <c r="G148" s="63"/>
      <c r="H148" s="63"/>
      <c r="I148" s="63"/>
      <c r="J148" s="266"/>
      <c r="K148" s="266"/>
      <c r="L148" s="266"/>
      <c r="M148" s="266"/>
      <c r="N148" s="266"/>
      <c r="O148" s="266"/>
      <c r="P148" s="266"/>
      <c r="Q148" s="266"/>
      <c r="R148" s="266"/>
      <c r="S148" s="266"/>
      <c r="T148" s="384"/>
      <c r="U148" s="266"/>
    </row>
    <row r="149" spans="1:21">
      <c r="A149" s="266"/>
      <c r="B149" s="63"/>
      <c r="C149" s="266"/>
      <c r="D149" s="266"/>
      <c r="E149" s="266"/>
      <c r="F149" s="266"/>
      <c r="G149" s="63"/>
      <c r="H149" s="63"/>
      <c r="I149" s="63"/>
      <c r="J149" s="266"/>
      <c r="K149" s="266"/>
      <c r="L149" s="266"/>
      <c r="M149" s="266"/>
      <c r="N149" s="266"/>
      <c r="O149" s="266"/>
      <c r="P149" s="266"/>
      <c r="Q149" s="266"/>
      <c r="R149" s="266"/>
      <c r="S149" s="266"/>
      <c r="T149" s="384"/>
      <c r="U149" s="266"/>
    </row>
    <row r="150" spans="1:21">
      <c r="A150" s="266"/>
      <c r="B150" s="63"/>
      <c r="C150" s="266"/>
      <c r="D150" s="266"/>
      <c r="E150" s="266"/>
      <c r="F150" s="266"/>
      <c r="G150" s="63"/>
      <c r="H150" s="63"/>
      <c r="I150" s="63"/>
      <c r="J150" s="266"/>
      <c r="K150" s="266"/>
      <c r="L150" s="266"/>
      <c r="M150" s="266"/>
      <c r="N150" s="266"/>
      <c r="O150" s="266"/>
      <c r="P150" s="266"/>
      <c r="Q150" s="266"/>
      <c r="R150" s="266"/>
      <c r="S150" s="266"/>
      <c r="T150" s="384"/>
      <c r="U150" s="266"/>
    </row>
    <row r="151" spans="1:21">
      <c r="A151" s="266"/>
      <c r="B151" s="63"/>
      <c r="C151" s="266"/>
      <c r="D151" s="266"/>
      <c r="E151" s="266"/>
      <c r="F151" s="266"/>
      <c r="G151" s="63"/>
      <c r="H151" s="63"/>
      <c r="I151" s="63"/>
      <c r="J151" s="266"/>
      <c r="K151" s="266"/>
      <c r="L151" s="266"/>
      <c r="M151" s="266"/>
      <c r="N151" s="266"/>
      <c r="O151" s="266"/>
      <c r="P151" s="266"/>
      <c r="Q151" s="266"/>
      <c r="R151" s="266"/>
      <c r="S151" s="266"/>
      <c r="T151" s="384"/>
      <c r="U151" s="266"/>
    </row>
    <row r="152" spans="1:21">
      <c r="A152" s="266"/>
      <c r="B152" s="63"/>
      <c r="C152" s="266"/>
      <c r="D152" s="266"/>
      <c r="E152" s="266"/>
      <c r="F152" s="266"/>
      <c r="G152" s="63"/>
      <c r="H152" s="63"/>
      <c r="I152" s="63"/>
      <c r="J152" s="266"/>
      <c r="K152" s="266"/>
      <c r="L152" s="266"/>
      <c r="M152" s="266"/>
      <c r="N152" s="266"/>
      <c r="O152" s="266"/>
      <c r="P152" s="266"/>
      <c r="Q152" s="266"/>
      <c r="R152" s="266"/>
      <c r="S152" s="266"/>
      <c r="T152" s="384"/>
      <c r="U152" s="266"/>
    </row>
    <row r="153" spans="1:21">
      <c r="A153" s="266"/>
      <c r="B153" s="63"/>
      <c r="C153" s="266"/>
      <c r="D153" s="266"/>
      <c r="E153" s="266"/>
      <c r="F153" s="266"/>
      <c r="G153" s="63"/>
      <c r="H153" s="63"/>
      <c r="I153" s="63"/>
      <c r="J153" s="266"/>
      <c r="K153" s="266"/>
      <c r="L153" s="266"/>
      <c r="M153" s="266"/>
      <c r="N153" s="266"/>
      <c r="O153" s="266"/>
      <c r="P153" s="266"/>
      <c r="Q153" s="266"/>
      <c r="R153" s="266"/>
      <c r="S153" s="266"/>
      <c r="T153" s="384"/>
      <c r="U153" s="266"/>
    </row>
    <row r="154" spans="1:21">
      <c r="A154" s="266"/>
      <c r="B154" s="63"/>
      <c r="C154" s="266"/>
      <c r="D154" s="266"/>
      <c r="E154" s="266"/>
      <c r="F154" s="266"/>
      <c r="G154" s="63"/>
      <c r="H154" s="63"/>
      <c r="I154" s="63"/>
      <c r="J154" s="266"/>
      <c r="K154" s="266"/>
      <c r="L154" s="266"/>
      <c r="M154" s="266"/>
      <c r="N154" s="266"/>
      <c r="O154" s="266"/>
      <c r="P154" s="266"/>
      <c r="Q154" s="266"/>
      <c r="R154" s="266"/>
      <c r="S154" s="266"/>
      <c r="T154" s="384"/>
      <c r="U154" s="266"/>
    </row>
    <row r="155" spans="1:21">
      <c r="A155" s="266"/>
      <c r="B155" s="63"/>
      <c r="C155" s="266"/>
      <c r="D155" s="266"/>
      <c r="E155" s="266"/>
      <c r="F155" s="266"/>
      <c r="G155" s="63"/>
      <c r="H155" s="63"/>
      <c r="I155" s="63"/>
      <c r="J155" s="266"/>
      <c r="K155" s="266"/>
      <c r="L155" s="266"/>
      <c r="M155" s="266"/>
      <c r="N155" s="266"/>
      <c r="O155" s="266"/>
      <c r="P155" s="266"/>
      <c r="Q155" s="266"/>
      <c r="R155" s="266"/>
      <c r="S155" s="266"/>
      <c r="T155" s="384"/>
      <c r="U155" s="266"/>
    </row>
    <row r="156" spans="1:21">
      <c r="A156" s="266"/>
      <c r="B156" s="63"/>
      <c r="C156" s="266"/>
      <c r="D156" s="266"/>
      <c r="E156" s="266"/>
      <c r="F156" s="266"/>
      <c r="G156" s="63"/>
      <c r="H156" s="63"/>
      <c r="I156" s="63"/>
      <c r="J156" s="266"/>
      <c r="K156" s="266"/>
      <c r="L156" s="266"/>
      <c r="M156" s="266"/>
      <c r="N156" s="266"/>
      <c r="O156" s="266"/>
      <c r="P156" s="266"/>
      <c r="Q156" s="266"/>
      <c r="R156" s="266"/>
      <c r="S156" s="266"/>
      <c r="T156" s="384"/>
      <c r="U156" s="266"/>
    </row>
    <row r="157" spans="1:21">
      <c r="A157" s="266"/>
      <c r="B157" s="63"/>
      <c r="C157" s="266"/>
      <c r="D157" s="266"/>
      <c r="E157" s="266"/>
      <c r="F157" s="266"/>
      <c r="G157" s="63"/>
      <c r="H157" s="63"/>
      <c r="I157" s="63"/>
      <c r="J157" s="266"/>
      <c r="K157" s="266"/>
      <c r="L157" s="266"/>
      <c r="M157" s="266"/>
      <c r="N157" s="266"/>
      <c r="O157" s="266"/>
      <c r="P157" s="266"/>
      <c r="Q157" s="266"/>
      <c r="R157" s="266"/>
      <c r="S157" s="266"/>
      <c r="T157" s="384"/>
      <c r="U157" s="266"/>
    </row>
    <row r="158" spans="1:21">
      <c r="A158" s="266"/>
      <c r="B158" s="63"/>
      <c r="C158" s="266"/>
      <c r="D158" s="266"/>
      <c r="E158" s="266"/>
      <c r="F158" s="266"/>
      <c r="G158" s="63"/>
      <c r="H158" s="63"/>
      <c r="I158" s="63"/>
      <c r="J158" s="266"/>
      <c r="K158" s="266"/>
      <c r="L158" s="266"/>
      <c r="M158" s="266"/>
      <c r="N158" s="266"/>
      <c r="O158" s="266"/>
      <c r="P158" s="266"/>
      <c r="Q158" s="266"/>
      <c r="R158" s="266"/>
      <c r="S158" s="266"/>
      <c r="T158" s="384"/>
      <c r="U158" s="266"/>
    </row>
    <row r="159" spans="1:21">
      <c r="A159" s="266"/>
      <c r="B159" s="63"/>
      <c r="C159" s="266"/>
      <c r="D159" s="266"/>
      <c r="E159" s="266"/>
      <c r="F159" s="266"/>
      <c r="G159" s="63"/>
      <c r="H159" s="63"/>
      <c r="I159" s="63"/>
      <c r="J159" s="266"/>
      <c r="K159" s="266"/>
      <c r="L159" s="266"/>
      <c r="M159" s="266"/>
      <c r="N159" s="266"/>
      <c r="O159" s="266"/>
      <c r="P159" s="266"/>
      <c r="Q159" s="266"/>
      <c r="R159" s="266"/>
      <c r="S159" s="266"/>
      <c r="T159" s="384"/>
      <c r="U159" s="266"/>
    </row>
    <row r="160" spans="1:21">
      <c r="A160" s="266"/>
      <c r="B160" s="63"/>
      <c r="C160" s="266"/>
      <c r="D160" s="266"/>
      <c r="E160" s="266"/>
      <c r="F160" s="266"/>
      <c r="G160" s="63"/>
      <c r="H160" s="63"/>
      <c r="I160" s="63"/>
      <c r="J160" s="266"/>
      <c r="K160" s="266"/>
      <c r="L160" s="266"/>
      <c r="M160" s="266"/>
      <c r="N160" s="266"/>
      <c r="O160" s="266"/>
      <c r="P160" s="266"/>
      <c r="Q160" s="266"/>
      <c r="R160" s="266"/>
      <c r="S160" s="266"/>
      <c r="T160" s="384"/>
      <c r="U160" s="266"/>
    </row>
    <row r="161" spans="1:21">
      <c r="A161" s="266"/>
      <c r="B161" s="63"/>
      <c r="C161" s="266"/>
      <c r="D161" s="266"/>
      <c r="E161" s="266"/>
      <c r="F161" s="266"/>
      <c r="G161" s="63"/>
      <c r="H161" s="63"/>
      <c r="I161" s="63"/>
      <c r="J161" s="266"/>
      <c r="K161" s="266"/>
      <c r="L161" s="266"/>
      <c r="M161" s="266"/>
      <c r="N161" s="266"/>
      <c r="O161" s="266"/>
      <c r="P161" s="266"/>
      <c r="Q161" s="266"/>
      <c r="R161" s="266"/>
      <c r="S161" s="266"/>
      <c r="T161" s="384"/>
      <c r="U161" s="266"/>
    </row>
    <row r="162" spans="1:21">
      <c r="A162" s="266"/>
      <c r="B162" s="63"/>
      <c r="C162" s="266"/>
      <c r="D162" s="266"/>
      <c r="E162" s="266"/>
      <c r="F162" s="266"/>
      <c r="G162" s="63"/>
      <c r="H162" s="63"/>
      <c r="I162" s="63"/>
      <c r="J162" s="266"/>
      <c r="K162" s="266"/>
      <c r="L162" s="266"/>
      <c r="M162" s="266"/>
      <c r="N162" s="266"/>
      <c r="O162" s="266"/>
      <c r="P162" s="266"/>
      <c r="Q162" s="266"/>
      <c r="R162" s="266"/>
      <c r="S162" s="266"/>
      <c r="T162" s="384"/>
      <c r="U162" s="266"/>
    </row>
    <row r="163" spans="1:21">
      <c r="A163" s="266"/>
      <c r="B163" s="63"/>
      <c r="C163" s="266"/>
      <c r="D163" s="266"/>
      <c r="E163" s="266"/>
      <c r="F163" s="266"/>
      <c r="G163" s="63"/>
      <c r="H163" s="63"/>
      <c r="I163" s="63"/>
      <c r="J163" s="266"/>
      <c r="K163" s="266"/>
      <c r="L163" s="266"/>
      <c r="M163" s="266"/>
      <c r="N163" s="266"/>
      <c r="O163" s="266"/>
      <c r="P163" s="266"/>
      <c r="Q163" s="266"/>
      <c r="R163" s="266"/>
      <c r="S163" s="266"/>
      <c r="T163" s="384"/>
      <c r="U163" s="266"/>
    </row>
    <row r="164" spans="1:21">
      <c r="A164" s="266"/>
      <c r="B164" s="63"/>
      <c r="C164" s="266"/>
      <c r="D164" s="266"/>
      <c r="E164" s="266"/>
      <c r="F164" s="266"/>
      <c r="G164" s="63"/>
      <c r="H164" s="63"/>
      <c r="I164" s="63"/>
      <c r="J164" s="266"/>
      <c r="K164" s="266"/>
      <c r="L164" s="266"/>
      <c r="M164" s="266"/>
      <c r="N164" s="266"/>
      <c r="O164" s="266"/>
      <c r="P164" s="266"/>
      <c r="Q164" s="266"/>
      <c r="R164" s="266"/>
      <c r="S164" s="266"/>
      <c r="T164" s="384"/>
      <c r="U164" s="266"/>
    </row>
    <row r="165" spans="1:21">
      <c r="A165" s="266"/>
      <c r="B165" s="63"/>
      <c r="C165" s="266"/>
      <c r="D165" s="266"/>
      <c r="E165" s="266"/>
      <c r="F165" s="266"/>
      <c r="G165" s="63"/>
      <c r="H165" s="63"/>
      <c r="I165" s="63"/>
      <c r="J165" s="266"/>
      <c r="K165" s="266"/>
      <c r="L165" s="266"/>
      <c r="M165" s="266"/>
      <c r="N165" s="266"/>
      <c r="O165" s="266"/>
      <c r="P165" s="266"/>
      <c r="Q165" s="266"/>
      <c r="R165" s="266"/>
      <c r="S165" s="266"/>
      <c r="T165" s="384"/>
      <c r="U165" s="266"/>
    </row>
    <row r="166" spans="1:21">
      <c r="A166" s="266"/>
      <c r="B166" s="63"/>
      <c r="C166" s="266"/>
      <c r="D166" s="266"/>
      <c r="E166" s="266"/>
      <c r="F166" s="266"/>
      <c r="G166" s="63"/>
      <c r="H166" s="63"/>
      <c r="I166" s="63"/>
      <c r="J166" s="266"/>
      <c r="K166" s="266"/>
      <c r="L166" s="266"/>
      <c r="M166" s="266"/>
      <c r="N166" s="266"/>
      <c r="O166" s="266"/>
      <c r="P166" s="266"/>
      <c r="Q166" s="266"/>
      <c r="R166" s="266"/>
      <c r="S166" s="266"/>
      <c r="T166" s="384"/>
      <c r="U166" s="266"/>
    </row>
    <row r="167" spans="1:21">
      <c r="A167" s="266"/>
      <c r="B167" s="63"/>
      <c r="C167" s="266"/>
      <c r="D167" s="266"/>
      <c r="E167" s="266"/>
      <c r="F167" s="266"/>
      <c r="G167" s="63"/>
      <c r="H167" s="63"/>
      <c r="I167" s="63"/>
      <c r="J167" s="266"/>
      <c r="K167" s="266"/>
      <c r="L167" s="266"/>
      <c r="M167" s="266"/>
      <c r="N167" s="266"/>
      <c r="O167" s="266"/>
      <c r="P167" s="266"/>
      <c r="Q167" s="266"/>
      <c r="R167" s="266"/>
      <c r="S167" s="266"/>
      <c r="T167" s="384"/>
      <c r="U167" s="266"/>
    </row>
    <row r="168" spans="1:21">
      <c r="A168" s="266"/>
      <c r="B168" s="63"/>
      <c r="C168" s="266"/>
      <c r="D168" s="266"/>
      <c r="E168" s="266"/>
      <c r="F168" s="266"/>
      <c r="G168" s="63"/>
      <c r="H168" s="63"/>
      <c r="I168" s="63"/>
      <c r="J168" s="266"/>
      <c r="K168" s="266"/>
      <c r="L168" s="266"/>
      <c r="M168" s="266"/>
      <c r="N168" s="266"/>
      <c r="O168" s="266"/>
      <c r="P168" s="266"/>
      <c r="Q168" s="266"/>
      <c r="R168" s="266"/>
      <c r="S168" s="266"/>
      <c r="T168" s="384"/>
      <c r="U168" s="266"/>
    </row>
    <row r="169" spans="1:21">
      <c r="A169" s="266"/>
      <c r="B169" s="63"/>
      <c r="C169" s="266"/>
      <c r="D169" s="266"/>
      <c r="E169" s="266"/>
      <c r="F169" s="266"/>
      <c r="G169" s="63"/>
      <c r="H169" s="63"/>
      <c r="I169" s="63"/>
      <c r="J169" s="266"/>
      <c r="K169" s="266"/>
      <c r="L169" s="266"/>
      <c r="M169" s="266"/>
      <c r="N169" s="266"/>
      <c r="O169" s="266"/>
      <c r="P169" s="266"/>
      <c r="Q169" s="266"/>
      <c r="R169" s="266"/>
      <c r="S169" s="266"/>
      <c r="T169" s="384"/>
      <c r="U169" s="266"/>
    </row>
    <row r="170" spans="1:21">
      <c r="A170" s="266"/>
      <c r="B170" s="63"/>
      <c r="C170" s="266"/>
      <c r="D170" s="266"/>
      <c r="E170" s="266"/>
      <c r="F170" s="266"/>
      <c r="G170" s="63"/>
      <c r="H170" s="63"/>
      <c r="I170" s="63"/>
      <c r="J170" s="266"/>
      <c r="K170" s="266"/>
      <c r="L170" s="266"/>
      <c r="M170" s="266"/>
      <c r="N170" s="266"/>
      <c r="O170" s="266"/>
      <c r="P170" s="266"/>
      <c r="Q170" s="266"/>
      <c r="R170" s="266"/>
      <c r="S170" s="266"/>
      <c r="T170" s="384"/>
      <c r="U170" s="266"/>
    </row>
    <row r="171" spans="1:21">
      <c r="A171" s="266"/>
      <c r="B171" s="63"/>
      <c r="C171" s="266"/>
      <c r="D171" s="266"/>
      <c r="E171" s="266"/>
      <c r="F171" s="266"/>
      <c r="G171" s="63"/>
      <c r="H171" s="63"/>
      <c r="I171" s="63"/>
      <c r="J171" s="266"/>
      <c r="K171" s="266"/>
      <c r="L171" s="266"/>
      <c r="M171" s="266"/>
      <c r="N171" s="266"/>
      <c r="O171" s="266"/>
      <c r="P171" s="266"/>
      <c r="Q171" s="266"/>
      <c r="R171" s="266"/>
      <c r="S171" s="266"/>
      <c r="T171" s="384"/>
      <c r="U171" s="266"/>
    </row>
    <row r="172" spans="1:21">
      <c r="A172" s="266"/>
      <c r="B172" s="63"/>
      <c r="C172" s="266"/>
      <c r="D172" s="266"/>
      <c r="E172" s="266"/>
      <c r="F172" s="266"/>
      <c r="G172" s="63"/>
      <c r="H172" s="63"/>
      <c r="I172" s="63"/>
      <c r="J172" s="266"/>
      <c r="K172" s="266"/>
      <c r="L172" s="266"/>
      <c r="M172" s="266"/>
      <c r="N172" s="266"/>
      <c r="O172" s="266"/>
      <c r="P172" s="266"/>
      <c r="Q172" s="266"/>
      <c r="R172" s="266"/>
      <c r="S172" s="266"/>
      <c r="T172" s="384"/>
      <c r="U172" s="266"/>
    </row>
    <row r="173" spans="1:21">
      <c r="A173" s="266"/>
      <c r="B173" s="63"/>
      <c r="C173" s="266"/>
      <c r="D173" s="266"/>
      <c r="E173" s="266"/>
      <c r="F173" s="266"/>
      <c r="G173" s="63"/>
      <c r="H173" s="63"/>
      <c r="I173" s="63"/>
      <c r="J173" s="266"/>
      <c r="K173" s="266"/>
      <c r="L173" s="266"/>
      <c r="M173" s="266"/>
      <c r="N173" s="266"/>
      <c r="O173" s="266"/>
      <c r="P173" s="266"/>
      <c r="Q173" s="266"/>
      <c r="R173" s="266"/>
      <c r="S173" s="266"/>
      <c r="T173" s="384"/>
      <c r="U173" s="266"/>
    </row>
    <row r="174" spans="1:21">
      <c r="A174" s="266"/>
      <c r="B174" s="63"/>
      <c r="C174" s="266"/>
      <c r="D174" s="266"/>
      <c r="E174" s="266"/>
      <c r="F174" s="266"/>
      <c r="G174" s="63"/>
      <c r="H174" s="63"/>
      <c r="I174" s="63"/>
      <c r="J174" s="266"/>
      <c r="K174" s="266"/>
      <c r="L174" s="266"/>
      <c r="M174" s="266"/>
      <c r="N174" s="266"/>
      <c r="O174" s="266"/>
      <c r="P174" s="266"/>
      <c r="Q174" s="266"/>
      <c r="R174" s="266"/>
      <c r="S174" s="266"/>
      <c r="T174" s="384"/>
      <c r="U174" s="266"/>
    </row>
    <row r="175" spans="1:21">
      <c r="A175" s="266"/>
      <c r="B175" s="63"/>
      <c r="C175" s="266"/>
      <c r="D175" s="266"/>
      <c r="E175" s="266"/>
      <c r="F175" s="266"/>
      <c r="G175" s="63"/>
      <c r="H175" s="63"/>
      <c r="I175" s="63"/>
      <c r="J175" s="266"/>
      <c r="K175" s="266"/>
      <c r="L175" s="266"/>
      <c r="M175" s="266"/>
      <c r="N175" s="266"/>
      <c r="O175" s="266"/>
      <c r="P175" s="266"/>
      <c r="Q175" s="266"/>
      <c r="R175" s="266"/>
      <c r="S175" s="266"/>
      <c r="T175" s="384"/>
      <c r="U175" s="266"/>
    </row>
    <row r="176" spans="1:21">
      <c r="A176" s="266"/>
      <c r="B176" s="63"/>
      <c r="C176" s="266"/>
      <c r="D176" s="266"/>
      <c r="E176" s="266"/>
      <c r="F176" s="266"/>
      <c r="G176" s="63"/>
      <c r="H176" s="63"/>
      <c r="I176" s="63"/>
      <c r="J176" s="266"/>
      <c r="K176" s="266"/>
      <c r="L176" s="266"/>
      <c r="M176" s="266"/>
      <c r="N176" s="266"/>
      <c r="O176" s="266"/>
      <c r="P176" s="266"/>
      <c r="Q176" s="266"/>
      <c r="R176" s="266"/>
      <c r="S176" s="266"/>
      <c r="T176" s="384"/>
      <c r="U176" s="266"/>
    </row>
    <row r="177" spans="1:21">
      <c r="A177" s="266"/>
      <c r="B177" s="63"/>
      <c r="C177" s="266"/>
      <c r="D177" s="266"/>
      <c r="E177" s="266"/>
      <c r="F177" s="266"/>
      <c r="G177" s="63"/>
      <c r="H177" s="63"/>
      <c r="I177" s="63"/>
      <c r="J177" s="266"/>
      <c r="K177" s="266"/>
      <c r="L177" s="266"/>
      <c r="M177" s="266"/>
      <c r="N177" s="266"/>
      <c r="O177" s="266"/>
      <c r="P177" s="266"/>
      <c r="Q177" s="266"/>
      <c r="R177" s="266"/>
      <c r="S177" s="266"/>
      <c r="T177" s="384"/>
      <c r="U177" s="266"/>
    </row>
    <row r="178" spans="1:21">
      <c r="A178" s="266"/>
      <c r="B178" s="63"/>
      <c r="C178" s="266"/>
      <c r="D178" s="266"/>
      <c r="E178" s="266"/>
      <c r="F178" s="266"/>
      <c r="G178" s="63"/>
      <c r="H178" s="63"/>
      <c r="I178" s="63"/>
      <c r="J178" s="266"/>
      <c r="K178" s="266"/>
      <c r="L178" s="266"/>
      <c r="M178" s="266"/>
      <c r="N178" s="266"/>
      <c r="O178" s="266"/>
      <c r="P178" s="266"/>
      <c r="Q178" s="266"/>
      <c r="R178" s="266"/>
      <c r="S178" s="266"/>
      <c r="T178" s="384"/>
      <c r="U178" s="266"/>
    </row>
    <row r="179" spans="1:21">
      <c r="A179" s="266"/>
      <c r="B179" s="63"/>
      <c r="C179" s="266"/>
      <c r="D179" s="266"/>
      <c r="E179" s="266"/>
      <c r="F179" s="266"/>
      <c r="G179" s="63"/>
      <c r="H179" s="63"/>
      <c r="I179" s="63"/>
      <c r="J179" s="266"/>
      <c r="K179" s="266"/>
      <c r="L179" s="266"/>
      <c r="M179" s="266"/>
      <c r="N179" s="266"/>
      <c r="O179" s="266"/>
      <c r="P179" s="266"/>
      <c r="Q179" s="266"/>
      <c r="R179" s="266"/>
      <c r="S179" s="266"/>
      <c r="T179" s="384"/>
      <c r="U179" s="266"/>
    </row>
  </sheetData>
  <dataConsolidate/>
  <mergeCells count="26">
    <mergeCell ref="A45:A48"/>
    <mergeCell ref="A49:A50"/>
    <mergeCell ref="A51:A52"/>
    <mergeCell ref="A53:A54"/>
    <mergeCell ref="A55:A56"/>
    <mergeCell ref="A4:A5"/>
    <mergeCell ref="A6:A8"/>
    <mergeCell ref="V7:W7"/>
    <mergeCell ref="X42:AC42"/>
    <mergeCell ref="A9:A13"/>
    <mergeCell ref="V9:W13"/>
    <mergeCell ref="A15:A20"/>
    <mergeCell ref="A21:A24"/>
    <mergeCell ref="A26:A27"/>
    <mergeCell ref="V26:V27"/>
    <mergeCell ref="W26:W27"/>
    <mergeCell ref="A28:A32"/>
    <mergeCell ref="A33:A35"/>
    <mergeCell ref="A36:A37"/>
    <mergeCell ref="A39:A40"/>
    <mergeCell ref="A41:A43"/>
    <mergeCell ref="AF55:AK55"/>
    <mergeCell ref="X62:AC62"/>
    <mergeCell ref="C1:K1"/>
    <mergeCell ref="M1:U1"/>
    <mergeCell ref="V3:W3"/>
  </mergeCells>
  <conditionalFormatting sqref="T3:T56">
    <cfRule type="cellIs" dxfId="52" priority="9" operator="lessThan">
      <formula>0</formula>
    </cfRule>
  </conditionalFormatting>
  <conditionalFormatting sqref="U3:U56">
    <cfRule type="containsText" dxfId="51" priority="8" operator="containsText" text="Yes">
      <formula>NOT(ISERROR(SEARCH("Yes",U3)))</formula>
    </cfRule>
  </conditionalFormatting>
  <conditionalFormatting sqref="S3:S56">
    <cfRule type="expression" dxfId="50" priority="7">
      <formula>(S3&lt;O3)</formula>
    </cfRule>
  </conditionalFormatting>
  <conditionalFormatting sqref="Y44:AD55">
    <cfRule type="cellIs" dxfId="49" priority="6" operator="greaterThan">
      <formula>0</formula>
    </cfRule>
  </conditionalFormatting>
  <conditionalFormatting sqref="AH72:AL72">
    <cfRule type="cellIs" dxfId="48" priority="5" operator="greaterThan">
      <formula>0</formula>
    </cfRule>
  </conditionalFormatting>
  <conditionalFormatting sqref="AG57:AL68">
    <cfRule type="cellIs" dxfId="47" priority="4" operator="greaterThan">
      <formula>0</formula>
    </cfRule>
  </conditionalFormatting>
  <conditionalFormatting sqref="AD64:AD75">
    <cfRule type="cellIs" dxfId="46" priority="3" operator="greaterThan">
      <formula>0</formula>
    </cfRule>
  </conditionalFormatting>
  <conditionalFormatting sqref="Z64:AC75">
    <cfRule type="cellIs" dxfId="45" priority="2" operator="greaterThan">
      <formula>0</formula>
    </cfRule>
  </conditionalFormatting>
  <conditionalFormatting sqref="Y64:Y75">
    <cfRule type="cellIs" dxfId="44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9"/>
  <sheetViews>
    <sheetView topLeftCell="W36" zoomScaleNormal="100" workbookViewId="0">
      <selection activeCell="X62" sqref="X62:AD78"/>
    </sheetView>
  </sheetViews>
  <sheetFormatPr defaultColWidth="9" defaultRowHeight="12.75"/>
  <cols>
    <col min="1" max="1" width="13.42578125" style="5" customWidth="1"/>
    <col min="2" max="2" width="22.7109375" style="62" customWidth="1"/>
    <col min="3" max="3" width="26.7109375" style="58" customWidth="1"/>
    <col min="4" max="4" width="16.85546875" style="58" customWidth="1"/>
    <col min="5" max="5" width="19.42578125" style="58" customWidth="1"/>
    <col min="6" max="6" width="16.7109375" style="61" customWidth="1"/>
    <col min="7" max="9" width="23.7109375" style="60" customWidth="1"/>
    <col min="10" max="11" width="16.140625" style="58" customWidth="1"/>
    <col min="12" max="12" width="28.85546875" style="58" customWidth="1"/>
    <col min="13" max="13" width="17.7109375" style="58" customWidth="1"/>
    <col min="14" max="14" width="16.140625" style="58" customWidth="1"/>
    <col min="15" max="16" width="17.7109375" style="58" customWidth="1"/>
    <col min="17" max="17" width="21.28515625" style="58" customWidth="1"/>
    <col min="18" max="18" width="23.28515625" style="58" customWidth="1"/>
    <col min="19" max="19" width="17.5703125" style="61" customWidth="1"/>
    <col min="20" max="20" width="33.85546875" style="10" customWidth="1"/>
    <col min="21" max="21" width="27" style="58" customWidth="1"/>
    <col min="22" max="22" width="23" style="57" customWidth="1"/>
    <col min="23" max="23" width="22.85546875" style="5" customWidth="1"/>
    <col min="24" max="24" width="23.7109375" style="5" customWidth="1"/>
    <col min="25" max="25" width="21.5703125" style="5" customWidth="1"/>
    <col min="26" max="26" width="26" style="5" customWidth="1"/>
    <col min="27" max="27" width="16.42578125" style="5" customWidth="1"/>
    <col min="28" max="16384" width="9" style="5"/>
  </cols>
  <sheetData>
    <row r="1" spans="1:34" ht="14.25" customHeight="1">
      <c r="A1" s="184"/>
      <c r="B1" s="185"/>
      <c r="C1" s="572" t="s">
        <v>450</v>
      </c>
      <c r="D1" s="573"/>
      <c r="E1" s="573"/>
      <c r="F1" s="573"/>
      <c r="G1" s="573"/>
      <c r="H1" s="573"/>
      <c r="I1" s="573"/>
      <c r="J1" s="573"/>
      <c r="K1" s="574"/>
      <c r="L1" s="373"/>
      <c r="M1" s="570" t="s">
        <v>449</v>
      </c>
      <c r="N1" s="571"/>
      <c r="O1" s="571"/>
      <c r="P1" s="571"/>
      <c r="Q1" s="571"/>
      <c r="R1" s="571"/>
      <c r="S1" s="571"/>
      <c r="T1" s="571"/>
      <c r="U1" s="623"/>
    </row>
    <row r="2" spans="1:34" ht="13.5" thickBot="1">
      <c r="A2" s="184" t="s">
        <v>448</v>
      </c>
      <c r="B2" s="183" t="s">
        <v>447</v>
      </c>
      <c r="C2" s="182" t="s">
        <v>446</v>
      </c>
      <c r="D2" s="181" t="s">
        <v>34</v>
      </c>
      <c r="E2" s="181" t="s">
        <v>463</v>
      </c>
      <c r="F2" s="181" t="s">
        <v>445</v>
      </c>
      <c r="G2" s="181" t="s">
        <v>456</v>
      </c>
      <c r="H2" s="181" t="s">
        <v>457</v>
      </c>
      <c r="I2" s="181" t="s">
        <v>464</v>
      </c>
      <c r="J2" s="181" t="s">
        <v>33</v>
      </c>
      <c r="K2" s="180" t="s">
        <v>442</v>
      </c>
      <c r="L2" s="231" t="s">
        <v>455</v>
      </c>
      <c r="M2" s="179" t="s">
        <v>444</v>
      </c>
      <c r="N2" s="179" t="s">
        <v>34</v>
      </c>
      <c r="O2" s="179" t="s">
        <v>41</v>
      </c>
      <c r="P2" s="178" t="s">
        <v>443</v>
      </c>
      <c r="Q2" s="177" t="s">
        <v>456</v>
      </c>
      <c r="R2" s="250" t="s">
        <v>458</v>
      </c>
      <c r="S2" s="177" t="s">
        <v>33</v>
      </c>
      <c r="T2" s="179" t="s">
        <v>442</v>
      </c>
      <c r="U2" s="222" t="s">
        <v>454</v>
      </c>
      <c r="V2" s="382" t="s">
        <v>438</v>
      </c>
      <c r="W2" s="382" t="s">
        <v>453</v>
      </c>
    </row>
    <row r="3" spans="1:34" ht="13.5" thickBot="1">
      <c r="A3" s="151" t="s">
        <v>436</v>
      </c>
      <c r="B3" s="172" t="s">
        <v>435</v>
      </c>
      <c r="C3" s="171" t="s">
        <v>434</v>
      </c>
      <c r="D3" s="170">
        <v>386.9</v>
      </c>
      <c r="E3" s="82">
        <f>IF(D3&lt;135,300, IF(AND(D3&gt;135,D3&lt;288),250, IF(AND(D3&gt;288,D3&lt;537),200,IF(AND(D3&gt;537,D3&lt;1096),150,100))))</f>
        <v>200</v>
      </c>
      <c r="F3" s="170">
        <v>131.95400000000001</v>
      </c>
      <c r="G3" s="82">
        <v>2.5</v>
      </c>
      <c r="H3" s="82">
        <f>G3*F3</f>
        <v>329.88499999999999</v>
      </c>
      <c r="I3" s="81">
        <f>CEILING(H3/(0.84*E3),1)</f>
        <v>2</v>
      </c>
      <c r="J3" s="269">
        <f t="shared" ref="J3:J13" si="0">E3*I3</f>
        <v>400</v>
      </c>
      <c r="K3" s="81">
        <f t="shared" ref="K3:K56" si="1">J3-H3</f>
        <v>70.115000000000009</v>
      </c>
      <c r="L3" s="82">
        <f>H3/J3 * 100</f>
        <v>82.471249999999998</v>
      </c>
      <c r="M3" s="168" t="s">
        <v>433</v>
      </c>
      <c r="N3" s="168">
        <v>598.85</v>
      </c>
      <c r="O3" s="168">
        <f>IF(N3&lt;135,300, IF(AND(N3&gt;135,N3&lt;288),250, IF(AND(N3&gt;288,N3&lt;537),200,IF(AND(N3&gt;537,N3&lt;1096),150,100))))</f>
        <v>150</v>
      </c>
      <c r="P3" s="168">
        <f>F3</f>
        <v>131.95400000000001</v>
      </c>
      <c r="Q3" s="79">
        <v>2.5</v>
      </c>
      <c r="R3" s="79">
        <f>P3*Q3</f>
        <v>329.88499999999999</v>
      </c>
      <c r="S3" s="168">
        <f t="shared" ref="S3:S13" si="2">O3*I3</f>
        <v>300</v>
      </c>
      <c r="T3" s="228">
        <f t="shared" ref="T3:T13" si="3">S3-R3</f>
        <v>-29.884999999999991</v>
      </c>
      <c r="U3" s="216" t="str">
        <f t="shared" ref="U3:U13" si="4">IF(T3&gt;=0,"No","Yes")</f>
        <v>Yes</v>
      </c>
      <c r="V3" s="643" t="s">
        <v>351</v>
      </c>
      <c r="W3" s="631"/>
    </row>
    <row r="4" spans="1:34" ht="13.5" thickBot="1">
      <c r="A4" s="575" t="s">
        <v>44</v>
      </c>
      <c r="B4" s="165" t="s">
        <v>3</v>
      </c>
      <c r="C4" s="164" t="s">
        <v>44</v>
      </c>
      <c r="D4" s="163">
        <v>424.31</v>
      </c>
      <c r="E4" s="243">
        <f t="shared" ref="E4:E56" si="5">IF(D4&lt;135,300, IF(AND(D4&gt;135,D4&lt;288),250, IF(AND(D4&gt;288,D4&lt;537),200,IF(AND(D4&gt;537,D4&lt;1096),150,100))))</f>
        <v>200</v>
      </c>
      <c r="F4" s="163">
        <v>79.758499999999998</v>
      </c>
      <c r="G4" s="82">
        <v>2.5</v>
      </c>
      <c r="H4" s="82">
        <f t="shared" ref="H4:H56" si="6">G4*F4</f>
        <v>199.39625000000001</v>
      </c>
      <c r="I4" s="81">
        <f t="shared" ref="I4:I56" si="7">CEILING(H4/(0.84*E4),1)</f>
        <v>2</v>
      </c>
      <c r="J4" s="270">
        <f t="shared" si="0"/>
        <v>400</v>
      </c>
      <c r="K4" s="81">
        <f t="shared" si="1"/>
        <v>200.60374999999999</v>
      </c>
      <c r="L4" s="82">
        <f t="shared" ref="L4:L56" si="8">H4/J4 * 100</f>
        <v>49.849062500000002</v>
      </c>
      <c r="M4" s="161" t="s">
        <v>432</v>
      </c>
      <c r="N4" s="162">
        <v>561.44000000000005</v>
      </c>
      <c r="O4" s="168">
        <f t="shared" ref="O4:O56" si="9">IF(N4&lt;135,300, IF(AND(N4&gt;135,N4&lt;288),250, IF(AND(N4&gt;288,N4&lt;537),200,IF(AND(N4&gt;537,N4&lt;1096),150,100))))</f>
        <v>150</v>
      </c>
      <c r="P4" s="168">
        <f t="shared" ref="P4:P13" si="10">F4</f>
        <v>79.758499999999998</v>
      </c>
      <c r="Q4" s="79">
        <v>2.5</v>
      </c>
      <c r="R4" s="251">
        <f t="shared" ref="R4:R56" si="11">P4*Q4</f>
        <v>199.39625000000001</v>
      </c>
      <c r="S4" s="168">
        <f t="shared" si="2"/>
        <v>300</v>
      </c>
      <c r="T4" s="228">
        <f t="shared" si="3"/>
        <v>100.60374999999999</v>
      </c>
      <c r="U4" s="216" t="str">
        <f t="shared" si="4"/>
        <v>No</v>
      </c>
    </row>
    <row r="5" spans="1:34" ht="14.25" customHeight="1" thickBot="1">
      <c r="A5" s="564"/>
      <c r="B5" s="62" t="s">
        <v>25</v>
      </c>
      <c r="C5" s="111" t="s">
        <v>65</v>
      </c>
      <c r="D5" s="92">
        <v>645.40499999999997</v>
      </c>
      <c r="E5" s="245">
        <f t="shared" si="5"/>
        <v>150</v>
      </c>
      <c r="F5" s="92">
        <v>101.52370000000001</v>
      </c>
      <c r="G5" s="82">
        <v>2.5</v>
      </c>
      <c r="H5" s="92">
        <f t="shared" si="6"/>
        <v>253.80925000000002</v>
      </c>
      <c r="I5" s="81">
        <f t="shared" si="7"/>
        <v>3</v>
      </c>
      <c r="J5" s="274">
        <f t="shared" si="0"/>
        <v>450</v>
      </c>
      <c r="K5" s="81">
        <f t="shared" si="1"/>
        <v>196.19074999999998</v>
      </c>
      <c r="L5" s="82">
        <f t="shared" si="8"/>
        <v>56.402055555555563</v>
      </c>
      <c r="M5" s="88" t="s">
        <v>427</v>
      </c>
      <c r="N5" s="90">
        <v>691.82</v>
      </c>
      <c r="O5" s="168">
        <f t="shared" si="9"/>
        <v>150</v>
      </c>
      <c r="P5" s="168">
        <f t="shared" si="10"/>
        <v>101.52370000000001</v>
      </c>
      <c r="Q5" s="79">
        <v>2.5</v>
      </c>
      <c r="R5" s="252">
        <f t="shared" si="11"/>
        <v>253.80925000000002</v>
      </c>
      <c r="S5" s="168">
        <f t="shared" si="2"/>
        <v>450</v>
      </c>
      <c r="T5" s="228">
        <f t="shared" si="3"/>
        <v>196.19074999999998</v>
      </c>
      <c r="U5" s="216" t="str">
        <f t="shared" si="4"/>
        <v>No</v>
      </c>
    </row>
    <row r="6" spans="1:34" ht="13.5" thickBot="1">
      <c r="A6" s="562" t="s">
        <v>431</v>
      </c>
      <c r="B6" s="84" t="s">
        <v>430</v>
      </c>
      <c r="C6" s="83" t="s">
        <v>390</v>
      </c>
      <c r="D6" s="82">
        <v>774.56</v>
      </c>
      <c r="E6" s="243">
        <f t="shared" si="5"/>
        <v>150</v>
      </c>
      <c r="F6" s="82">
        <v>593.39</v>
      </c>
      <c r="G6" s="82">
        <v>2.5</v>
      </c>
      <c r="H6" s="82">
        <f t="shared" si="6"/>
        <v>1483.4749999999999</v>
      </c>
      <c r="I6" s="81">
        <f t="shared" si="7"/>
        <v>12</v>
      </c>
      <c r="J6" s="270">
        <f t="shared" si="0"/>
        <v>1800</v>
      </c>
      <c r="K6" s="81">
        <f t="shared" si="1"/>
        <v>316.52500000000009</v>
      </c>
      <c r="L6" s="82">
        <f t="shared" si="8"/>
        <v>82.415277777777774</v>
      </c>
      <c r="M6" s="98" t="s">
        <v>429</v>
      </c>
      <c r="N6" s="80">
        <v>778.62</v>
      </c>
      <c r="O6" s="168">
        <f t="shared" si="9"/>
        <v>150</v>
      </c>
      <c r="P6" s="168">
        <f t="shared" si="10"/>
        <v>593.39</v>
      </c>
      <c r="Q6" s="79">
        <v>2.5</v>
      </c>
      <c r="R6" s="251">
        <f t="shared" si="11"/>
        <v>1483.4749999999999</v>
      </c>
      <c r="S6" s="168">
        <f t="shared" si="2"/>
        <v>1800</v>
      </c>
      <c r="T6" s="228">
        <f t="shared" si="3"/>
        <v>316.52500000000009</v>
      </c>
      <c r="U6" s="216" t="str">
        <f t="shared" si="4"/>
        <v>No</v>
      </c>
    </row>
    <row r="7" spans="1:34" ht="14.25" customHeight="1" thickBot="1">
      <c r="A7" s="564"/>
      <c r="B7" s="94" t="s">
        <v>4</v>
      </c>
      <c r="C7" s="93" t="s">
        <v>45</v>
      </c>
      <c r="D7" s="105">
        <v>221.095</v>
      </c>
      <c r="E7" s="245">
        <f t="shared" si="5"/>
        <v>250</v>
      </c>
      <c r="F7" s="105">
        <v>165.54</v>
      </c>
      <c r="G7" s="82">
        <v>2.5</v>
      </c>
      <c r="H7" s="92">
        <f t="shared" si="6"/>
        <v>413.84999999999997</v>
      </c>
      <c r="I7" s="81">
        <f t="shared" si="7"/>
        <v>2</v>
      </c>
      <c r="J7" s="274">
        <f t="shared" si="0"/>
        <v>500</v>
      </c>
      <c r="K7" s="81">
        <f t="shared" si="1"/>
        <v>86.150000000000034</v>
      </c>
      <c r="L7" s="82">
        <f t="shared" si="8"/>
        <v>82.769999999999982</v>
      </c>
      <c r="M7" s="99" t="s">
        <v>428</v>
      </c>
      <c r="N7" s="104">
        <v>904.18</v>
      </c>
      <c r="O7" s="168">
        <f t="shared" si="9"/>
        <v>150</v>
      </c>
      <c r="P7" s="168">
        <f t="shared" si="10"/>
        <v>165.54</v>
      </c>
      <c r="Q7" s="79">
        <v>2.5</v>
      </c>
      <c r="R7" s="252">
        <f t="shared" si="11"/>
        <v>413.84999999999997</v>
      </c>
      <c r="S7" s="168">
        <f t="shared" si="2"/>
        <v>300</v>
      </c>
      <c r="T7" s="228">
        <f t="shared" si="3"/>
        <v>-113.84999999999997</v>
      </c>
      <c r="U7" s="216" t="str">
        <f t="shared" si="4"/>
        <v>Yes</v>
      </c>
      <c r="V7" s="643" t="s">
        <v>351</v>
      </c>
      <c r="W7" s="631"/>
    </row>
    <row r="8" spans="1:34" ht="14.25" customHeight="1" thickBot="1">
      <c r="A8" s="564"/>
      <c r="B8" s="94" t="s">
        <v>25</v>
      </c>
      <c r="C8" s="93" t="s">
        <v>65</v>
      </c>
      <c r="D8" s="92">
        <v>645.40499999999997</v>
      </c>
      <c r="E8" s="245">
        <f t="shared" si="5"/>
        <v>150</v>
      </c>
      <c r="F8" s="92">
        <v>101.52370000000001</v>
      </c>
      <c r="G8" s="82">
        <v>2.5</v>
      </c>
      <c r="H8" s="92">
        <f t="shared" si="6"/>
        <v>253.80925000000002</v>
      </c>
      <c r="I8" s="81">
        <f t="shared" si="7"/>
        <v>3</v>
      </c>
      <c r="J8" s="274">
        <f t="shared" si="0"/>
        <v>450</v>
      </c>
      <c r="K8" s="81">
        <f t="shared" si="1"/>
        <v>196.19074999999998</v>
      </c>
      <c r="L8" s="82">
        <f t="shared" si="8"/>
        <v>56.402055555555563</v>
      </c>
      <c r="M8" s="88" t="s">
        <v>427</v>
      </c>
      <c r="N8" s="90">
        <v>691.82</v>
      </c>
      <c r="O8" s="168">
        <f t="shared" si="9"/>
        <v>150</v>
      </c>
      <c r="P8" s="168">
        <f t="shared" si="10"/>
        <v>101.52370000000001</v>
      </c>
      <c r="Q8" s="79">
        <v>2.5</v>
      </c>
      <c r="R8" s="252">
        <f t="shared" si="11"/>
        <v>253.80925000000002</v>
      </c>
      <c r="S8" s="168">
        <f t="shared" si="2"/>
        <v>450</v>
      </c>
      <c r="T8" s="228">
        <f t="shared" si="3"/>
        <v>196.19074999999998</v>
      </c>
      <c r="U8" s="216" t="str">
        <f t="shared" si="4"/>
        <v>No</v>
      </c>
    </row>
    <row r="9" spans="1:34" ht="15" customHeight="1" thickBot="1">
      <c r="A9" s="562" t="s">
        <v>46</v>
      </c>
      <c r="B9" s="84" t="s">
        <v>5</v>
      </c>
      <c r="C9" s="83" t="s">
        <v>46</v>
      </c>
      <c r="D9" s="82">
        <v>87.444999999999993</v>
      </c>
      <c r="E9" s="243">
        <f t="shared" si="5"/>
        <v>300</v>
      </c>
      <c r="F9" s="82">
        <v>330.03719999999998</v>
      </c>
      <c r="G9" s="82">
        <v>2.5</v>
      </c>
      <c r="H9" s="82">
        <f t="shared" si="6"/>
        <v>825.09299999999996</v>
      </c>
      <c r="I9" s="81">
        <f t="shared" si="7"/>
        <v>4</v>
      </c>
      <c r="J9" s="270">
        <f t="shared" si="0"/>
        <v>1200</v>
      </c>
      <c r="K9" s="81">
        <f t="shared" si="1"/>
        <v>374.90700000000004</v>
      </c>
      <c r="L9" s="82">
        <f t="shared" si="8"/>
        <v>68.757750000000001</v>
      </c>
      <c r="M9" s="98" t="s">
        <v>426</v>
      </c>
      <c r="N9" s="80">
        <v>243.73500000000001</v>
      </c>
      <c r="O9" s="168">
        <f t="shared" si="9"/>
        <v>250</v>
      </c>
      <c r="P9" s="168">
        <f t="shared" si="10"/>
        <v>330.03719999999998</v>
      </c>
      <c r="Q9" s="79">
        <v>2.5</v>
      </c>
      <c r="R9" s="251">
        <f t="shared" si="11"/>
        <v>825.09299999999996</v>
      </c>
      <c r="S9" s="168">
        <f t="shared" si="2"/>
        <v>1000</v>
      </c>
      <c r="T9" s="228">
        <f t="shared" si="3"/>
        <v>174.90700000000004</v>
      </c>
      <c r="U9" s="216" t="str">
        <f t="shared" si="4"/>
        <v>No</v>
      </c>
      <c r="V9" s="644" t="s">
        <v>351</v>
      </c>
      <c r="W9" s="633"/>
    </row>
    <row r="10" spans="1:34" ht="14.25" customHeight="1" thickBot="1">
      <c r="A10" s="564"/>
      <c r="B10" s="94" t="s">
        <v>7</v>
      </c>
      <c r="C10" s="93" t="s">
        <v>48</v>
      </c>
      <c r="D10" s="105">
        <v>457.755</v>
      </c>
      <c r="E10" s="245">
        <f t="shared" si="5"/>
        <v>200</v>
      </c>
      <c r="F10" s="105">
        <v>200.11</v>
      </c>
      <c r="G10" s="82">
        <v>2.5</v>
      </c>
      <c r="H10" s="92">
        <f t="shared" si="6"/>
        <v>500.27500000000003</v>
      </c>
      <c r="I10" s="81">
        <f t="shared" si="7"/>
        <v>3</v>
      </c>
      <c r="J10" s="274">
        <f t="shared" si="0"/>
        <v>600</v>
      </c>
      <c r="K10" s="81">
        <f t="shared" si="1"/>
        <v>99.724999999999966</v>
      </c>
      <c r="L10" s="82">
        <f t="shared" si="8"/>
        <v>83.379166666666677</v>
      </c>
      <c r="M10" s="99" t="s">
        <v>425</v>
      </c>
      <c r="N10" s="104">
        <v>614.06500000000005</v>
      </c>
      <c r="O10" s="168">
        <f t="shared" si="9"/>
        <v>150</v>
      </c>
      <c r="P10" s="168">
        <f t="shared" si="10"/>
        <v>200.11</v>
      </c>
      <c r="Q10" s="79">
        <v>2.5</v>
      </c>
      <c r="R10" s="252">
        <f t="shared" si="11"/>
        <v>500.27500000000003</v>
      </c>
      <c r="S10" s="168">
        <f t="shared" si="2"/>
        <v>450</v>
      </c>
      <c r="T10" s="228">
        <f t="shared" si="3"/>
        <v>-50.275000000000034</v>
      </c>
      <c r="U10" s="216" t="str">
        <f t="shared" si="4"/>
        <v>Yes</v>
      </c>
      <c r="V10" s="645"/>
      <c r="W10" s="635"/>
    </row>
    <row r="11" spans="1:34" ht="14.25" customHeight="1" thickBot="1">
      <c r="A11" s="564"/>
      <c r="B11" s="94" t="s">
        <v>8</v>
      </c>
      <c r="C11" s="93" t="s">
        <v>74</v>
      </c>
      <c r="D11" s="105">
        <v>632.29</v>
      </c>
      <c r="E11" s="245">
        <f t="shared" si="5"/>
        <v>150</v>
      </c>
      <c r="F11" s="105">
        <v>416.14780000000002</v>
      </c>
      <c r="G11" s="82">
        <v>2.5</v>
      </c>
      <c r="H11" s="92">
        <f t="shared" si="6"/>
        <v>1040.3695</v>
      </c>
      <c r="I11" s="81">
        <f t="shared" si="7"/>
        <v>9</v>
      </c>
      <c r="J11" s="274">
        <f t="shared" si="0"/>
        <v>1350</v>
      </c>
      <c r="K11" s="81">
        <f t="shared" si="1"/>
        <v>309.63049999999998</v>
      </c>
      <c r="L11" s="82">
        <f t="shared" si="8"/>
        <v>77.064407407407415</v>
      </c>
      <c r="M11" s="99" t="s">
        <v>424</v>
      </c>
      <c r="N11" s="104">
        <v>692.19500000000005</v>
      </c>
      <c r="O11" s="168">
        <f t="shared" si="9"/>
        <v>150</v>
      </c>
      <c r="P11" s="168">
        <f t="shared" si="10"/>
        <v>416.14780000000002</v>
      </c>
      <c r="Q11" s="79">
        <v>2.5</v>
      </c>
      <c r="R11" s="252">
        <f t="shared" si="11"/>
        <v>1040.3695</v>
      </c>
      <c r="S11" s="168">
        <f t="shared" si="2"/>
        <v>1350</v>
      </c>
      <c r="T11" s="228">
        <f t="shared" si="3"/>
        <v>309.63049999999998</v>
      </c>
      <c r="U11" s="216" t="str">
        <f t="shared" si="4"/>
        <v>No</v>
      </c>
      <c r="V11" s="645"/>
      <c r="W11" s="635"/>
      <c r="AG11" s="382" t="s">
        <v>438</v>
      </c>
      <c r="AH11" s="382" t="s">
        <v>453</v>
      </c>
    </row>
    <row r="12" spans="1:34" ht="14.25" customHeight="1" thickBot="1">
      <c r="A12" s="564"/>
      <c r="B12" s="94" t="s">
        <v>12</v>
      </c>
      <c r="C12" s="93" t="s">
        <v>52</v>
      </c>
      <c r="D12" s="105">
        <v>428.91</v>
      </c>
      <c r="E12" s="245">
        <f t="shared" si="5"/>
        <v>200</v>
      </c>
      <c r="F12" s="105">
        <v>320.77999999999997</v>
      </c>
      <c r="G12" s="82">
        <v>2.5</v>
      </c>
      <c r="H12" s="92">
        <f t="shared" si="6"/>
        <v>801.94999999999993</v>
      </c>
      <c r="I12" s="81">
        <f t="shared" si="7"/>
        <v>5</v>
      </c>
      <c r="J12" s="274">
        <f t="shared" si="0"/>
        <v>1000</v>
      </c>
      <c r="K12" s="81">
        <f t="shared" si="1"/>
        <v>198.05000000000007</v>
      </c>
      <c r="L12" s="82">
        <f t="shared" si="8"/>
        <v>80.194999999999993</v>
      </c>
      <c r="M12" s="99" t="s">
        <v>418</v>
      </c>
      <c r="N12" s="104">
        <v>440.09</v>
      </c>
      <c r="O12" s="168">
        <f t="shared" si="9"/>
        <v>200</v>
      </c>
      <c r="P12" s="168">
        <f t="shared" si="10"/>
        <v>320.77999999999997</v>
      </c>
      <c r="Q12" s="79">
        <v>2.5</v>
      </c>
      <c r="R12" s="252">
        <f t="shared" si="11"/>
        <v>801.94999999999993</v>
      </c>
      <c r="S12" s="168">
        <f t="shared" si="2"/>
        <v>1000</v>
      </c>
      <c r="T12" s="228">
        <f t="shared" si="3"/>
        <v>198.05000000000007</v>
      </c>
      <c r="U12" s="216" t="str">
        <f t="shared" si="4"/>
        <v>No</v>
      </c>
      <c r="V12" s="645"/>
      <c r="W12" s="635"/>
      <c r="AG12" s="203"/>
      <c r="AH12" s="202"/>
    </row>
    <row r="13" spans="1:34" ht="14.25" customHeight="1" thickBot="1">
      <c r="A13" s="564"/>
      <c r="B13" s="94" t="s">
        <v>394</v>
      </c>
      <c r="C13" s="93" t="s">
        <v>63</v>
      </c>
      <c r="D13" s="92">
        <v>530.30999999999995</v>
      </c>
      <c r="E13" s="244">
        <f t="shared" si="5"/>
        <v>200</v>
      </c>
      <c r="F13" s="92">
        <v>22.35</v>
      </c>
      <c r="G13" s="82">
        <v>2.5</v>
      </c>
      <c r="H13" s="72">
        <f t="shared" si="6"/>
        <v>55.875</v>
      </c>
      <c r="I13" s="81">
        <f t="shared" si="7"/>
        <v>1</v>
      </c>
      <c r="J13" s="272">
        <f t="shared" si="0"/>
        <v>200</v>
      </c>
      <c r="K13" s="81">
        <f t="shared" si="1"/>
        <v>144.125</v>
      </c>
      <c r="L13" s="82">
        <f t="shared" si="8"/>
        <v>27.9375</v>
      </c>
      <c r="M13" s="88" t="s">
        <v>416</v>
      </c>
      <c r="N13" s="90">
        <v>541.49</v>
      </c>
      <c r="O13" s="168">
        <f t="shared" si="9"/>
        <v>150</v>
      </c>
      <c r="P13" s="168">
        <f t="shared" si="10"/>
        <v>22.35</v>
      </c>
      <c r="Q13" s="79">
        <v>2.5</v>
      </c>
      <c r="R13" s="253">
        <f t="shared" si="11"/>
        <v>55.875</v>
      </c>
      <c r="S13" s="168">
        <f t="shared" si="2"/>
        <v>150</v>
      </c>
      <c r="T13" s="228">
        <f t="shared" si="3"/>
        <v>94.125</v>
      </c>
      <c r="U13" s="216" t="str">
        <f t="shared" si="4"/>
        <v>No</v>
      </c>
      <c r="V13" s="646"/>
      <c r="W13" s="637"/>
      <c r="AG13" s="230" t="s">
        <v>351</v>
      </c>
      <c r="AH13" s="217" t="s">
        <v>351</v>
      </c>
    </row>
    <row r="14" spans="1:34" ht="13.5" thickBot="1">
      <c r="A14" s="372" t="s">
        <v>424</v>
      </c>
      <c r="B14" s="84" t="s">
        <v>351</v>
      </c>
      <c r="C14" s="150"/>
      <c r="D14" s="82"/>
      <c r="E14" s="92">
        <f t="shared" si="5"/>
        <v>300</v>
      </c>
      <c r="F14" s="82"/>
      <c r="G14" s="82">
        <v>2.5</v>
      </c>
      <c r="H14" s="92">
        <f t="shared" si="6"/>
        <v>0</v>
      </c>
      <c r="I14" s="81">
        <f t="shared" si="7"/>
        <v>0</v>
      </c>
      <c r="J14" s="268"/>
      <c r="K14" s="81">
        <f t="shared" si="1"/>
        <v>0</v>
      </c>
      <c r="L14" s="82"/>
      <c r="M14" s="80"/>
      <c r="N14" s="80"/>
      <c r="O14" s="168">
        <f t="shared" si="9"/>
        <v>300</v>
      </c>
      <c r="P14" s="80"/>
      <c r="Q14" s="79">
        <v>2.5</v>
      </c>
      <c r="R14" s="89">
        <f t="shared" si="11"/>
        <v>0</v>
      </c>
      <c r="S14" s="80"/>
      <c r="T14" s="191"/>
      <c r="U14" s="80"/>
      <c r="V14" s="223"/>
      <c r="AG14" s="229"/>
      <c r="AH14" s="217"/>
    </row>
    <row r="15" spans="1:34" ht="13.5" thickBot="1">
      <c r="A15" s="562" t="s">
        <v>49</v>
      </c>
      <c r="B15" s="84" t="s">
        <v>423</v>
      </c>
      <c r="C15" s="83" t="s">
        <v>47</v>
      </c>
      <c r="D15" s="82">
        <v>341.36500000000001</v>
      </c>
      <c r="E15" s="243">
        <f t="shared" si="5"/>
        <v>200</v>
      </c>
      <c r="F15" s="82">
        <v>414.50749999999999</v>
      </c>
      <c r="G15" s="82">
        <v>2.5</v>
      </c>
      <c r="H15" s="82">
        <f t="shared" si="6"/>
        <v>1036.26875</v>
      </c>
      <c r="I15" s="81">
        <f t="shared" si="7"/>
        <v>7</v>
      </c>
      <c r="J15" s="270">
        <f t="shared" ref="J15:J24" si="12">I15*E15</f>
        <v>1400</v>
      </c>
      <c r="K15" s="81">
        <f t="shared" si="1"/>
        <v>363.73125000000005</v>
      </c>
      <c r="L15" s="82">
        <f t="shared" si="8"/>
        <v>74.019196428571419</v>
      </c>
      <c r="M15" s="98" t="s">
        <v>422</v>
      </c>
      <c r="N15" s="80">
        <v>527.53499999999997</v>
      </c>
      <c r="O15" s="168">
        <f t="shared" si="9"/>
        <v>200</v>
      </c>
      <c r="P15" s="80">
        <f>F15</f>
        <v>414.50749999999999</v>
      </c>
      <c r="Q15" s="79">
        <v>2.5</v>
      </c>
      <c r="R15" s="251">
        <f t="shared" si="11"/>
        <v>1036.26875</v>
      </c>
      <c r="S15" s="80">
        <f t="shared" ref="S15:S24" si="13">O15*I15</f>
        <v>1400</v>
      </c>
      <c r="T15" s="188">
        <f t="shared" ref="T15:T24" si="14">S15-R15</f>
        <v>363.73125000000005</v>
      </c>
      <c r="U15" s="79" t="str">
        <f t="shared" ref="U15:U24" si="15">IF(T15&gt;=0,"No","Yes")</f>
        <v>No</v>
      </c>
      <c r="V15" s="223"/>
      <c r="AG15" s="213"/>
      <c r="AH15" s="213"/>
    </row>
    <row r="16" spans="1:34" ht="14.25" customHeight="1" thickBot="1">
      <c r="A16" s="564"/>
      <c r="B16" s="94" t="s">
        <v>9</v>
      </c>
      <c r="C16" s="93" t="s">
        <v>421</v>
      </c>
      <c r="D16" s="105">
        <v>72.555000000000007</v>
      </c>
      <c r="E16" s="245">
        <f t="shared" si="5"/>
        <v>300</v>
      </c>
      <c r="F16" s="105">
        <v>249.06020000000001</v>
      </c>
      <c r="G16" s="82">
        <v>2.5</v>
      </c>
      <c r="H16" s="92">
        <f t="shared" si="6"/>
        <v>622.65049999999997</v>
      </c>
      <c r="I16" s="81">
        <f t="shared" si="7"/>
        <v>3</v>
      </c>
      <c r="J16" s="274">
        <f t="shared" si="12"/>
        <v>900</v>
      </c>
      <c r="K16" s="81">
        <f t="shared" si="1"/>
        <v>277.34950000000003</v>
      </c>
      <c r="L16" s="82">
        <f t="shared" si="8"/>
        <v>69.183388888888885</v>
      </c>
      <c r="M16" s="99" t="s">
        <v>420</v>
      </c>
      <c r="N16" s="104">
        <v>258.625</v>
      </c>
      <c r="O16" s="168">
        <f t="shared" si="9"/>
        <v>250</v>
      </c>
      <c r="P16" s="80">
        <f t="shared" ref="P16:P24" si="16">F16</f>
        <v>249.06020000000001</v>
      </c>
      <c r="Q16" s="79">
        <v>2.5</v>
      </c>
      <c r="R16" s="252">
        <f t="shared" si="11"/>
        <v>622.65049999999997</v>
      </c>
      <c r="S16" s="80">
        <f t="shared" si="13"/>
        <v>750</v>
      </c>
      <c r="T16" s="188">
        <f t="shared" si="14"/>
        <v>127.34950000000003</v>
      </c>
      <c r="U16" s="79" t="str">
        <f t="shared" si="15"/>
        <v>No</v>
      </c>
      <c r="V16" s="223"/>
      <c r="AG16" s="384"/>
      <c r="AH16" s="384"/>
    </row>
    <row r="17" spans="1:34" ht="14.25" customHeight="1" thickBot="1">
      <c r="A17" s="564"/>
      <c r="B17" s="94" t="s">
        <v>10</v>
      </c>
      <c r="C17" s="93" t="s">
        <v>384</v>
      </c>
      <c r="D17" s="105">
        <v>894.93</v>
      </c>
      <c r="E17" s="245">
        <f t="shared" si="5"/>
        <v>150</v>
      </c>
      <c r="F17" s="105">
        <v>185.4342</v>
      </c>
      <c r="G17" s="82">
        <v>2.5</v>
      </c>
      <c r="H17" s="92">
        <f t="shared" si="6"/>
        <v>463.58550000000002</v>
      </c>
      <c r="I17" s="81">
        <f t="shared" si="7"/>
        <v>4</v>
      </c>
      <c r="J17" s="274">
        <f t="shared" si="12"/>
        <v>600</v>
      </c>
      <c r="K17" s="81">
        <f t="shared" si="1"/>
        <v>136.41449999999998</v>
      </c>
      <c r="L17" s="82">
        <f t="shared" si="8"/>
        <v>77.264250000000004</v>
      </c>
      <c r="M17" s="99" t="s">
        <v>383</v>
      </c>
      <c r="N17" s="104">
        <v>975.03499999999997</v>
      </c>
      <c r="O17" s="168">
        <f t="shared" si="9"/>
        <v>150</v>
      </c>
      <c r="P17" s="80">
        <f t="shared" si="16"/>
        <v>185.4342</v>
      </c>
      <c r="Q17" s="79">
        <v>2.5</v>
      </c>
      <c r="R17" s="252">
        <f t="shared" si="11"/>
        <v>463.58550000000002</v>
      </c>
      <c r="S17" s="80">
        <f t="shared" si="13"/>
        <v>600</v>
      </c>
      <c r="T17" s="188">
        <f t="shared" si="14"/>
        <v>136.41449999999998</v>
      </c>
      <c r="U17" s="79" t="str">
        <f t="shared" si="15"/>
        <v>No</v>
      </c>
      <c r="V17" s="223"/>
      <c r="AG17" s="384"/>
      <c r="AH17" s="384"/>
    </row>
    <row r="18" spans="1:34" ht="14.25" customHeight="1" thickBot="1">
      <c r="A18" s="564"/>
      <c r="B18" s="94" t="s">
        <v>11</v>
      </c>
      <c r="C18" s="93" t="s">
        <v>377</v>
      </c>
      <c r="D18" s="105">
        <v>839.23</v>
      </c>
      <c r="E18" s="245">
        <f t="shared" si="5"/>
        <v>150</v>
      </c>
      <c r="F18" s="105">
        <v>213.84829999999999</v>
      </c>
      <c r="G18" s="82">
        <v>2.5</v>
      </c>
      <c r="H18" s="92">
        <f t="shared" si="6"/>
        <v>534.62075000000004</v>
      </c>
      <c r="I18" s="81">
        <f t="shared" si="7"/>
        <v>5</v>
      </c>
      <c r="J18" s="274">
        <f t="shared" si="12"/>
        <v>750</v>
      </c>
      <c r="K18" s="81">
        <f t="shared" si="1"/>
        <v>215.37924999999996</v>
      </c>
      <c r="L18" s="82">
        <f t="shared" si="8"/>
        <v>71.282766666666674</v>
      </c>
      <c r="M18" s="99" t="s">
        <v>419</v>
      </c>
      <c r="N18" s="104">
        <v>1025.3</v>
      </c>
      <c r="O18" s="168">
        <f t="shared" si="9"/>
        <v>150</v>
      </c>
      <c r="P18" s="80">
        <f t="shared" si="16"/>
        <v>213.84829999999999</v>
      </c>
      <c r="Q18" s="79">
        <v>2.5</v>
      </c>
      <c r="R18" s="252">
        <f t="shared" si="11"/>
        <v>534.62075000000004</v>
      </c>
      <c r="S18" s="80">
        <f t="shared" si="13"/>
        <v>750</v>
      </c>
      <c r="T18" s="188">
        <f t="shared" si="14"/>
        <v>215.37924999999996</v>
      </c>
      <c r="U18" s="79" t="str">
        <f t="shared" si="15"/>
        <v>No</v>
      </c>
      <c r="V18" s="223"/>
      <c r="AG18" s="384"/>
      <c r="AH18" s="384"/>
    </row>
    <row r="19" spans="1:34" ht="14.25" customHeight="1" thickBot="1">
      <c r="A19" s="564"/>
      <c r="B19" s="94" t="s">
        <v>12</v>
      </c>
      <c r="C19" s="93" t="s">
        <v>52</v>
      </c>
      <c r="D19" s="105">
        <v>428.91</v>
      </c>
      <c r="E19" s="245">
        <f t="shared" si="5"/>
        <v>200</v>
      </c>
      <c r="F19" s="105">
        <v>320.7817</v>
      </c>
      <c r="G19" s="82">
        <v>2.5</v>
      </c>
      <c r="H19" s="92">
        <f t="shared" si="6"/>
        <v>801.95425</v>
      </c>
      <c r="I19" s="81">
        <f t="shared" si="7"/>
        <v>5</v>
      </c>
      <c r="J19" s="274">
        <f t="shared" si="12"/>
        <v>1000</v>
      </c>
      <c r="K19" s="81">
        <f t="shared" si="1"/>
        <v>198.04575</v>
      </c>
      <c r="L19" s="82">
        <f t="shared" si="8"/>
        <v>80.195425</v>
      </c>
      <c r="M19" s="99" t="s">
        <v>418</v>
      </c>
      <c r="N19" s="104">
        <v>440.09</v>
      </c>
      <c r="O19" s="168">
        <f t="shared" si="9"/>
        <v>200</v>
      </c>
      <c r="P19" s="80">
        <f t="shared" si="16"/>
        <v>320.7817</v>
      </c>
      <c r="Q19" s="79">
        <v>2.5</v>
      </c>
      <c r="R19" s="252">
        <f t="shared" si="11"/>
        <v>801.95425</v>
      </c>
      <c r="S19" s="80">
        <f t="shared" si="13"/>
        <v>1000</v>
      </c>
      <c r="T19" s="188">
        <f t="shared" si="14"/>
        <v>198.04575</v>
      </c>
      <c r="U19" s="79" t="str">
        <f t="shared" si="15"/>
        <v>No</v>
      </c>
      <c r="V19" s="223"/>
      <c r="AG19" s="384"/>
      <c r="AH19" s="384"/>
    </row>
    <row r="20" spans="1:34" ht="14.25" customHeight="1" thickBot="1">
      <c r="A20" s="564"/>
      <c r="B20" s="94" t="s">
        <v>417</v>
      </c>
      <c r="C20" s="93" t="s">
        <v>409</v>
      </c>
      <c r="D20" s="92">
        <v>530.30999999999995</v>
      </c>
      <c r="E20" s="245">
        <f t="shared" si="5"/>
        <v>200</v>
      </c>
      <c r="F20" s="92">
        <v>22.35</v>
      </c>
      <c r="G20" s="82">
        <v>2.5</v>
      </c>
      <c r="H20" s="92">
        <f t="shared" si="6"/>
        <v>55.875</v>
      </c>
      <c r="I20" s="81">
        <f t="shared" si="7"/>
        <v>1</v>
      </c>
      <c r="J20" s="274">
        <f t="shared" si="12"/>
        <v>200</v>
      </c>
      <c r="K20" s="81">
        <f t="shared" si="1"/>
        <v>144.125</v>
      </c>
      <c r="L20" s="82">
        <f t="shared" si="8"/>
        <v>27.9375</v>
      </c>
      <c r="M20" s="88" t="s">
        <v>416</v>
      </c>
      <c r="N20" s="90">
        <v>541.49</v>
      </c>
      <c r="O20" s="168">
        <f t="shared" si="9"/>
        <v>150</v>
      </c>
      <c r="P20" s="80">
        <f t="shared" si="16"/>
        <v>22.35</v>
      </c>
      <c r="Q20" s="79">
        <v>2.5</v>
      </c>
      <c r="R20" s="252">
        <f t="shared" si="11"/>
        <v>55.875</v>
      </c>
      <c r="S20" s="80">
        <f t="shared" si="13"/>
        <v>150</v>
      </c>
      <c r="T20" s="188">
        <f t="shared" si="14"/>
        <v>94.125</v>
      </c>
      <c r="U20" s="79" t="str">
        <f t="shared" si="15"/>
        <v>No</v>
      </c>
      <c r="V20" s="223"/>
      <c r="AG20" s="384"/>
      <c r="AH20" s="384"/>
    </row>
    <row r="21" spans="1:34" ht="13.5" thickBot="1">
      <c r="A21" s="562" t="s">
        <v>411</v>
      </c>
      <c r="B21" s="84" t="s">
        <v>7</v>
      </c>
      <c r="C21" s="83" t="s">
        <v>48</v>
      </c>
      <c r="D21" s="82">
        <v>457.755</v>
      </c>
      <c r="E21" s="243">
        <f t="shared" si="5"/>
        <v>200</v>
      </c>
      <c r="F21" s="82">
        <v>200.1122</v>
      </c>
      <c r="G21" s="82">
        <v>2.5</v>
      </c>
      <c r="H21" s="82">
        <f t="shared" si="6"/>
        <v>500.28050000000002</v>
      </c>
      <c r="I21" s="81">
        <f t="shared" si="7"/>
        <v>3</v>
      </c>
      <c r="J21" s="270">
        <f t="shared" si="12"/>
        <v>600</v>
      </c>
      <c r="K21" s="81">
        <f t="shared" si="1"/>
        <v>99.719499999999982</v>
      </c>
      <c r="L21" s="82">
        <f t="shared" si="8"/>
        <v>83.380083333333332</v>
      </c>
      <c r="M21" s="98" t="s">
        <v>414</v>
      </c>
      <c r="N21" s="80">
        <v>733.18499999999995</v>
      </c>
      <c r="O21" s="168">
        <f t="shared" si="9"/>
        <v>150</v>
      </c>
      <c r="P21" s="80">
        <f t="shared" si="16"/>
        <v>200.1122</v>
      </c>
      <c r="Q21" s="79">
        <v>2.5</v>
      </c>
      <c r="R21" s="251">
        <f t="shared" si="11"/>
        <v>500.28050000000002</v>
      </c>
      <c r="S21" s="80">
        <f t="shared" si="13"/>
        <v>450</v>
      </c>
      <c r="T21" s="188">
        <f t="shared" si="14"/>
        <v>-50.280500000000018</v>
      </c>
      <c r="U21" s="79" t="str">
        <f t="shared" si="15"/>
        <v>Yes</v>
      </c>
      <c r="V21" s="223"/>
      <c r="AG21" s="384"/>
      <c r="AH21" s="384"/>
    </row>
    <row r="22" spans="1:34" ht="14.25" customHeight="1" thickBot="1">
      <c r="A22" s="564"/>
      <c r="B22" s="94" t="s">
        <v>413</v>
      </c>
      <c r="C22" s="93" t="s">
        <v>74</v>
      </c>
      <c r="D22" s="105">
        <v>632.29</v>
      </c>
      <c r="E22" s="245">
        <f t="shared" si="5"/>
        <v>150</v>
      </c>
      <c r="F22" s="105">
        <v>416.14780000000002</v>
      </c>
      <c r="G22" s="82">
        <v>2.5</v>
      </c>
      <c r="H22" s="92">
        <f t="shared" si="6"/>
        <v>1040.3695</v>
      </c>
      <c r="I22" s="81">
        <f t="shared" si="7"/>
        <v>9</v>
      </c>
      <c r="J22" s="274">
        <f t="shared" si="12"/>
        <v>1350</v>
      </c>
      <c r="K22" s="81">
        <f t="shared" si="1"/>
        <v>309.63049999999998</v>
      </c>
      <c r="L22" s="82">
        <f t="shared" si="8"/>
        <v>77.064407407407415</v>
      </c>
      <c r="M22" s="99" t="s">
        <v>361</v>
      </c>
      <c r="N22" s="104">
        <v>692.19500000000005</v>
      </c>
      <c r="O22" s="168">
        <f t="shared" si="9"/>
        <v>150</v>
      </c>
      <c r="P22" s="80">
        <f t="shared" si="16"/>
        <v>416.14780000000002</v>
      </c>
      <c r="Q22" s="79">
        <v>2.5</v>
      </c>
      <c r="R22" s="252">
        <f t="shared" si="11"/>
        <v>1040.3695</v>
      </c>
      <c r="S22" s="80">
        <f t="shared" si="13"/>
        <v>1350</v>
      </c>
      <c r="T22" s="188">
        <f t="shared" si="14"/>
        <v>309.63049999999998</v>
      </c>
      <c r="U22" s="79" t="str">
        <f t="shared" si="15"/>
        <v>No</v>
      </c>
      <c r="V22" s="223"/>
      <c r="AG22" s="384"/>
      <c r="AH22" s="384"/>
    </row>
    <row r="23" spans="1:34" ht="14.25" customHeight="1" thickBot="1">
      <c r="A23" s="564"/>
      <c r="B23" s="94" t="s">
        <v>412</v>
      </c>
      <c r="C23" s="93" t="s">
        <v>411</v>
      </c>
      <c r="D23" s="105">
        <v>370.31</v>
      </c>
      <c r="E23" s="245">
        <f t="shared" si="5"/>
        <v>200</v>
      </c>
      <c r="F23" s="105">
        <v>24.103000000000002</v>
      </c>
      <c r="G23" s="82">
        <v>2.5</v>
      </c>
      <c r="H23" s="92">
        <f t="shared" si="6"/>
        <v>60.257500000000007</v>
      </c>
      <c r="I23" s="81">
        <f t="shared" si="7"/>
        <v>1</v>
      </c>
      <c r="J23" s="274">
        <f t="shared" si="12"/>
        <v>200</v>
      </c>
      <c r="K23" s="81">
        <f t="shared" si="1"/>
        <v>139.74250000000001</v>
      </c>
      <c r="L23" s="82">
        <f t="shared" si="8"/>
        <v>30.128750000000004</v>
      </c>
      <c r="M23" s="99" t="s">
        <v>410</v>
      </c>
      <c r="N23" s="104">
        <v>820.63</v>
      </c>
      <c r="O23" s="168">
        <f t="shared" si="9"/>
        <v>150</v>
      </c>
      <c r="P23" s="80">
        <f t="shared" si="16"/>
        <v>24.103000000000002</v>
      </c>
      <c r="Q23" s="79">
        <v>2.5</v>
      </c>
      <c r="R23" s="252">
        <f t="shared" si="11"/>
        <v>60.257500000000007</v>
      </c>
      <c r="S23" s="80">
        <f t="shared" si="13"/>
        <v>150</v>
      </c>
      <c r="T23" s="188">
        <f t="shared" si="14"/>
        <v>89.742499999999993</v>
      </c>
      <c r="U23" s="79" t="str">
        <f t="shared" si="15"/>
        <v>No</v>
      </c>
      <c r="V23" s="223"/>
      <c r="AG23" s="384"/>
      <c r="AH23" s="384"/>
    </row>
    <row r="24" spans="1:34" ht="14.25" customHeight="1" thickBot="1">
      <c r="A24" s="564"/>
      <c r="B24" s="94" t="s">
        <v>394</v>
      </c>
      <c r="C24" s="93" t="s">
        <v>409</v>
      </c>
      <c r="D24" s="92">
        <v>530.30999999999995</v>
      </c>
      <c r="E24" s="244">
        <f t="shared" si="5"/>
        <v>200</v>
      </c>
      <c r="F24" s="92">
        <v>22.35</v>
      </c>
      <c r="G24" s="82">
        <v>2.5</v>
      </c>
      <c r="H24" s="72">
        <f t="shared" si="6"/>
        <v>55.875</v>
      </c>
      <c r="I24" s="81">
        <f t="shared" si="7"/>
        <v>1</v>
      </c>
      <c r="J24" s="272">
        <f t="shared" si="12"/>
        <v>200</v>
      </c>
      <c r="K24" s="81">
        <f t="shared" si="1"/>
        <v>144.125</v>
      </c>
      <c r="L24" s="82">
        <f t="shared" si="8"/>
        <v>27.9375</v>
      </c>
      <c r="M24" s="88" t="s">
        <v>408</v>
      </c>
      <c r="N24" s="90">
        <v>660.63</v>
      </c>
      <c r="O24" s="168">
        <f t="shared" si="9"/>
        <v>150</v>
      </c>
      <c r="P24" s="80">
        <f t="shared" si="16"/>
        <v>22.35</v>
      </c>
      <c r="Q24" s="79">
        <v>2.5</v>
      </c>
      <c r="R24" s="253">
        <f t="shared" si="11"/>
        <v>55.875</v>
      </c>
      <c r="S24" s="80">
        <f t="shared" si="13"/>
        <v>150</v>
      </c>
      <c r="T24" s="188">
        <f t="shared" si="14"/>
        <v>94.125</v>
      </c>
      <c r="U24" s="79" t="str">
        <f t="shared" si="15"/>
        <v>No</v>
      </c>
      <c r="AG24" s="384"/>
      <c r="AH24" s="384"/>
    </row>
    <row r="25" spans="1:34" ht="13.5" thickBot="1">
      <c r="A25" s="151" t="s">
        <v>407</v>
      </c>
      <c r="B25" s="84" t="s">
        <v>406</v>
      </c>
      <c r="C25" s="150"/>
      <c r="D25" s="82"/>
      <c r="E25" s="92">
        <f t="shared" si="5"/>
        <v>300</v>
      </c>
      <c r="F25" s="82"/>
      <c r="G25" s="82">
        <v>2.5</v>
      </c>
      <c r="H25" s="92">
        <f t="shared" si="6"/>
        <v>0</v>
      </c>
      <c r="I25" s="81">
        <f t="shared" si="7"/>
        <v>0</v>
      </c>
      <c r="J25" s="268"/>
      <c r="K25" s="81">
        <f t="shared" si="1"/>
        <v>0</v>
      </c>
      <c r="L25" s="82"/>
      <c r="M25" s="80"/>
      <c r="N25" s="80"/>
      <c r="O25" s="168">
        <f t="shared" si="9"/>
        <v>300</v>
      </c>
      <c r="P25" s="80"/>
      <c r="Q25" s="79">
        <v>2.5</v>
      </c>
      <c r="R25" s="89">
        <f t="shared" si="11"/>
        <v>0</v>
      </c>
      <c r="S25" s="80"/>
      <c r="T25" s="191"/>
      <c r="U25" s="79"/>
      <c r="V25" s="382" t="s">
        <v>438</v>
      </c>
      <c r="W25" s="382" t="s">
        <v>453</v>
      </c>
      <c r="AG25" s="384"/>
      <c r="AH25" s="384"/>
    </row>
    <row r="26" spans="1:34" ht="15" customHeight="1" thickBot="1">
      <c r="A26" s="575" t="s">
        <v>405</v>
      </c>
      <c r="B26" s="148" t="s">
        <v>14</v>
      </c>
      <c r="C26" s="83" t="s">
        <v>404</v>
      </c>
      <c r="D26" s="82">
        <v>391.72</v>
      </c>
      <c r="E26" s="243">
        <f t="shared" si="5"/>
        <v>200</v>
      </c>
      <c r="F26" s="82">
        <v>664.51419999999996</v>
      </c>
      <c r="G26" s="82">
        <v>2.5</v>
      </c>
      <c r="H26" s="82">
        <f t="shared" si="6"/>
        <v>1661.2855</v>
      </c>
      <c r="I26" s="81">
        <f t="shared" si="7"/>
        <v>10</v>
      </c>
      <c r="J26" s="270">
        <f t="shared" ref="J26:J56" si="17">I26*E26</f>
        <v>2000</v>
      </c>
      <c r="K26" s="81">
        <f t="shared" si="1"/>
        <v>338.71450000000004</v>
      </c>
      <c r="L26" s="82">
        <f t="shared" si="8"/>
        <v>83.064274999999995</v>
      </c>
      <c r="M26" s="98" t="s">
        <v>403</v>
      </c>
      <c r="N26" s="80">
        <v>799.22</v>
      </c>
      <c r="O26" s="168">
        <f t="shared" si="9"/>
        <v>150</v>
      </c>
      <c r="P26" s="80">
        <f>F26</f>
        <v>664.51419999999996</v>
      </c>
      <c r="Q26" s="79">
        <v>2.5</v>
      </c>
      <c r="R26" s="80">
        <f t="shared" si="11"/>
        <v>1661.2855</v>
      </c>
      <c r="S26" s="247">
        <f t="shared" ref="S26:S56" si="18">O26*I26</f>
        <v>1500</v>
      </c>
      <c r="T26" s="191">
        <f t="shared" ref="T26:T56" si="19">S26-R26</f>
        <v>-161.28549999999996</v>
      </c>
      <c r="U26" s="306" t="str">
        <f t="shared" ref="U26:U57" si="20">IF(T26&gt;=0,"No","Yes")</f>
        <v>Yes</v>
      </c>
      <c r="V26" s="647" t="s">
        <v>351</v>
      </c>
      <c r="W26" s="627" t="s">
        <v>351</v>
      </c>
      <c r="Y26" s="380" t="s">
        <v>452</v>
      </c>
      <c r="Z26" s="381"/>
      <c r="AA26" s="383"/>
      <c r="AG26" s="384"/>
      <c r="AH26" s="384"/>
    </row>
    <row r="27" spans="1:34" ht="14.25" customHeight="1" thickBot="1">
      <c r="A27" s="576"/>
      <c r="B27" s="74" t="s">
        <v>360</v>
      </c>
      <c r="C27" s="73" t="s">
        <v>55</v>
      </c>
      <c r="D27" s="146">
        <v>566.26</v>
      </c>
      <c r="E27" s="245">
        <f t="shared" si="5"/>
        <v>150</v>
      </c>
      <c r="F27" s="146">
        <v>424.66829999999999</v>
      </c>
      <c r="G27" s="82">
        <v>2.5</v>
      </c>
      <c r="H27" s="92">
        <f t="shared" si="6"/>
        <v>1061.67075</v>
      </c>
      <c r="I27" s="81">
        <f t="shared" si="7"/>
        <v>9</v>
      </c>
      <c r="J27" s="274">
        <f t="shared" si="17"/>
        <v>1350</v>
      </c>
      <c r="K27" s="81">
        <f t="shared" si="1"/>
        <v>288.32925</v>
      </c>
      <c r="L27" s="82">
        <f t="shared" si="8"/>
        <v>78.642277777777778</v>
      </c>
      <c r="M27" s="246" t="s">
        <v>402</v>
      </c>
      <c r="N27" s="145">
        <v>973.76</v>
      </c>
      <c r="O27" s="168">
        <f t="shared" si="9"/>
        <v>150</v>
      </c>
      <c r="P27" s="80">
        <f t="shared" ref="P27:P56" si="21">F27</f>
        <v>424.66829999999999</v>
      </c>
      <c r="Q27" s="79">
        <v>2.5</v>
      </c>
      <c r="R27" s="90">
        <f t="shared" si="11"/>
        <v>1061.67075</v>
      </c>
      <c r="S27" s="249">
        <f t="shared" si="18"/>
        <v>1350</v>
      </c>
      <c r="T27" s="305">
        <f t="shared" si="19"/>
        <v>288.32925</v>
      </c>
      <c r="U27" s="307" t="str">
        <f t="shared" si="20"/>
        <v>No</v>
      </c>
      <c r="V27" s="648"/>
      <c r="W27" s="629"/>
      <c r="Y27" s="87"/>
      <c r="Z27" s="266"/>
      <c r="AA27" s="97"/>
      <c r="AG27" s="384"/>
      <c r="AH27" s="384"/>
    </row>
    <row r="28" spans="1:34" ht="15" customHeight="1" thickBot="1">
      <c r="A28" s="564" t="s">
        <v>401</v>
      </c>
      <c r="B28" s="62" t="s">
        <v>6</v>
      </c>
      <c r="C28" s="111" t="s">
        <v>47</v>
      </c>
      <c r="D28" s="92">
        <v>341.46499999999997</v>
      </c>
      <c r="E28" s="243">
        <f t="shared" si="5"/>
        <v>200</v>
      </c>
      <c r="F28" s="92">
        <v>414.50749999999999</v>
      </c>
      <c r="G28" s="82">
        <v>2.5</v>
      </c>
      <c r="H28" s="82">
        <f t="shared" si="6"/>
        <v>1036.26875</v>
      </c>
      <c r="I28" s="81">
        <f t="shared" si="7"/>
        <v>7</v>
      </c>
      <c r="J28" s="270">
        <f t="shared" si="17"/>
        <v>1400</v>
      </c>
      <c r="K28" s="81">
        <f t="shared" si="1"/>
        <v>363.73125000000005</v>
      </c>
      <c r="L28" s="82">
        <f t="shared" si="8"/>
        <v>74.019196428571419</v>
      </c>
      <c r="M28" s="88" t="s">
        <v>400</v>
      </c>
      <c r="N28" s="90">
        <v>849.47500000000002</v>
      </c>
      <c r="O28" s="168">
        <f t="shared" si="9"/>
        <v>150</v>
      </c>
      <c r="P28" s="80">
        <f t="shared" si="21"/>
        <v>414.50749999999999</v>
      </c>
      <c r="Q28" s="79">
        <v>2.5</v>
      </c>
      <c r="R28" s="80">
        <f t="shared" si="11"/>
        <v>1036.26875</v>
      </c>
      <c r="S28" s="248">
        <f t="shared" si="18"/>
        <v>1050</v>
      </c>
      <c r="T28" s="302">
        <f t="shared" si="19"/>
        <v>13.731250000000045</v>
      </c>
      <c r="U28" s="308" t="str">
        <f t="shared" si="20"/>
        <v>No</v>
      </c>
      <c r="V28" s="374"/>
      <c r="W28" s="377"/>
      <c r="Y28" s="256" t="s">
        <v>388</v>
      </c>
      <c r="Z28" s="184" t="s">
        <v>387</v>
      </c>
      <c r="AA28" s="257" t="s">
        <v>386</v>
      </c>
      <c r="AG28" s="384"/>
      <c r="AH28" s="384"/>
    </row>
    <row r="29" spans="1:34" ht="14.25" customHeight="1" thickBot="1">
      <c r="A29" s="564"/>
      <c r="B29" s="62" t="s">
        <v>399</v>
      </c>
      <c r="C29" s="111" t="s">
        <v>384</v>
      </c>
      <c r="D29" s="92">
        <v>894.93</v>
      </c>
      <c r="E29" s="245">
        <f t="shared" si="5"/>
        <v>150</v>
      </c>
      <c r="F29" s="92">
        <v>185.4342</v>
      </c>
      <c r="G29" s="82">
        <v>2.5</v>
      </c>
      <c r="H29" s="92">
        <f t="shared" si="6"/>
        <v>463.58550000000002</v>
      </c>
      <c r="I29" s="81">
        <f t="shared" si="7"/>
        <v>4</v>
      </c>
      <c r="J29" s="274">
        <f t="shared" si="17"/>
        <v>600</v>
      </c>
      <c r="K29" s="81">
        <f t="shared" si="1"/>
        <v>136.41449999999998</v>
      </c>
      <c r="L29" s="82">
        <f t="shared" si="8"/>
        <v>77.264250000000004</v>
      </c>
      <c r="M29" s="88" t="s">
        <v>383</v>
      </c>
      <c r="N29" s="90">
        <v>975.03499999999997</v>
      </c>
      <c r="O29" s="168">
        <f t="shared" si="9"/>
        <v>150</v>
      </c>
      <c r="P29" s="80">
        <f t="shared" si="21"/>
        <v>185.4342</v>
      </c>
      <c r="Q29" s="79">
        <v>2.5</v>
      </c>
      <c r="R29" s="90">
        <f t="shared" si="11"/>
        <v>463.58550000000002</v>
      </c>
      <c r="S29" s="248">
        <f t="shared" si="18"/>
        <v>600</v>
      </c>
      <c r="T29" s="302">
        <f t="shared" si="19"/>
        <v>136.41449999999998</v>
      </c>
      <c r="U29" s="308" t="str">
        <f t="shared" si="20"/>
        <v>No</v>
      </c>
      <c r="V29" s="376" t="s">
        <v>351</v>
      </c>
      <c r="W29" s="378" t="s">
        <v>351</v>
      </c>
      <c r="Y29" s="126" t="s">
        <v>19</v>
      </c>
      <c r="Z29" s="125">
        <v>160</v>
      </c>
      <c r="AA29" s="97"/>
      <c r="AG29" s="384"/>
      <c r="AH29" s="384"/>
    </row>
    <row r="30" spans="1:34" ht="14.25" customHeight="1" thickBot="1">
      <c r="A30" s="564"/>
      <c r="B30" s="94" t="s">
        <v>398</v>
      </c>
      <c r="C30" s="93" t="s">
        <v>377</v>
      </c>
      <c r="D30" s="105">
        <v>839.23</v>
      </c>
      <c r="E30" s="245">
        <f t="shared" si="5"/>
        <v>150</v>
      </c>
      <c r="F30" s="105">
        <v>213.84829999999999</v>
      </c>
      <c r="G30" s="82">
        <v>2.5</v>
      </c>
      <c r="H30" s="92">
        <f t="shared" si="6"/>
        <v>534.62075000000004</v>
      </c>
      <c r="I30" s="81">
        <f t="shared" si="7"/>
        <v>5</v>
      </c>
      <c r="J30" s="274">
        <f t="shared" si="17"/>
        <v>750</v>
      </c>
      <c r="K30" s="81">
        <f t="shared" si="1"/>
        <v>215.37924999999996</v>
      </c>
      <c r="L30" s="82">
        <f t="shared" si="8"/>
        <v>71.282766666666674</v>
      </c>
      <c r="M30" s="99" t="s">
        <v>397</v>
      </c>
      <c r="N30" s="104">
        <v>1347.24</v>
      </c>
      <c r="O30" s="168">
        <f t="shared" si="9"/>
        <v>100</v>
      </c>
      <c r="P30" s="80">
        <f t="shared" si="21"/>
        <v>213.84829999999999</v>
      </c>
      <c r="Q30" s="79">
        <v>2.5</v>
      </c>
      <c r="R30" s="90">
        <f t="shared" si="11"/>
        <v>534.62075000000004</v>
      </c>
      <c r="S30" s="248">
        <f t="shared" si="18"/>
        <v>500</v>
      </c>
      <c r="T30" s="302">
        <f t="shared" si="19"/>
        <v>-34.620750000000044</v>
      </c>
      <c r="U30" s="308" t="str">
        <f t="shared" si="20"/>
        <v>Yes</v>
      </c>
      <c r="V30" s="376"/>
      <c r="W30" s="378"/>
      <c r="Y30" s="126" t="s">
        <v>27</v>
      </c>
      <c r="Z30" s="125">
        <v>65</v>
      </c>
      <c r="AA30" s="97"/>
      <c r="AG30" s="384"/>
      <c r="AH30" s="384"/>
    </row>
    <row r="31" spans="1:34" ht="14.25" customHeight="1" thickBot="1">
      <c r="A31" s="564"/>
      <c r="B31" s="94" t="s">
        <v>396</v>
      </c>
      <c r="C31" s="93" t="s">
        <v>52</v>
      </c>
      <c r="D31" s="92">
        <v>428.91</v>
      </c>
      <c r="E31" s="245">
        <f t="shared" si="5"/>
        <v>200</v>
      </c>
      <c r="F31" s="92">
        <v>320.7817</v>
      </c>
      <c r="G31" s="82">
        <v>2.5</v>
      </c>
      <c r="H31" s="92">
        <f t="shared" si="6"/>
        <v>801.95425</v>
      </c>
      <c r="I31" s="81">
        <f t="shared" si="7"/>
        <v>5</v>
      </c>
      <c r="J31" s="274">
        <f t="shared" si="17"/>
        <v>1000</v>
      </c>
      <c r="K31" s="81">
        <f t="shared" si="1"/>
        <v>198.04575</v>
      </c>
      <c r="L31" s="82">
        <f t="shared" si="8"/>
        <v>80.195425</v>
      </c>
      <c r="M31" s="88" t="s">
        <v>395</v>
      </c>
      <c r="N31" s="90">
        <v>762.03</v>
      </c>
      <c r="O31" s="168">
        <f t="shared" si="9"/>
        <v>150</v>
      </c>
      <c r="P31" s="80">
        <f t="shared" si="21"/>
        <v>320.7817</v>
      </c>
      <c r="Q31" s="79">
        <v>2.5</v>
      </c>
      <c r="R31" s="90">
        <f t="shared" si="11"/>
        <v>801.95425</v>
      </c>
      <c r="S31" s="248">
        <f t="shared" si="18"/>
        <v>750</v>
      </c>
      <c r="T31" s="302">
        <f t="shared" si="19"/>
        <v>-51.954250000000002</v>
      </c>
      <c r="U31" s="308" t="str">
        <f t="shared" si="20"/>
        <v>Yes</v>
      </c>
      <c r="V31" s="376"/>
      <c r="W31" s="378"/>
      <c r="Y31" s="126" t="s">
        <v>20</v>
      </c>
      <c r="Z31" s="125">
        <v>280</v>
      </c>
      <c r="AA31" s="97"/>
    </row>
    <row r="32" spans="1:34" ht="14.25" customHeight="1" thickBot="1">
      <c r="A32" s="564"/>
      <c r="B32" s="94" t="s">
        <v>393</v>
      </c>
      <c r="C32" s="93" t="s">
        <v>56</v>
      </c>
      <c r="D32" s="92">
        <v>268.91000000000003</v>
      </c>
      <c r="E32" s="245">
        <f t="shared" si="5"/>
        <v>250</v>
      </c>
      <c r="F32" s="92">
        <v>277.57420000000002</v>
      </c>
      <c r="G32" s="82">
        <v>2.5</v>
      </c>
      <c r="H32" s="92">
        <f t="shared" si="6"/>
        <v>693.93550000000005</v>
      </c>
      <c r="I32" s="81">
        <f t="shared" si="7"/>
        <v>4</v>
      </c>
      <c r="J32" s="274">
        <f t="shared" si="17"/>
        <v>1000</v>
      </c>
      <c r="K32" s="81">
        <f t="shared" si="1"/>
        <v>306.06449999999995</v>
      </c>
      <c r="L32" s="82">
        <f t="shared" si="8"/>
        <v>69.393550000000005</v>
      </c>
      <c r="M32" s="88" t="s">
        <v>392</v>
      </c>
      <c r="N32" s="90">
        <v>922.03</v>
      </c>
      <c r="O32" s="168">
        <f t="shared" si="9"/>
        <v>150</v>
      </c>
      <c r="P32" s="80">
        <f t="shared" si="21"/>
        <v>277.57420000000002</v>
      </c>
      <c r="Q32" s="79">
        <v>2.5</v>
      </c>
      <c r="R32" s="90">
        <f t="shared" si="11"/>
        <v>693.93550000000005</v>
      </c>
      <c r="S32" s="249">
        <f t="shared" si="18"/>
        <v>600</v>
      </c>
      <c r="T32" s="305">
        <f t="shared" si="19"/>
        <v>-93.935500000000047</v>
      </c>
      <c r="U32" s="307" t="str">
        <f t="shared" si="20"/>
        <v>Yes</v>
      </c>
      <c r="V32" s="375"/>
      <c r="W32" s="379"/>
      <c r="Y32" s="87" t="s">
        <v>28</v>
      </c>
      <c r="Z32" s="266">
        <v>65</v>
      </c>
      <c r="AA32" s="97"/>
    </row>
    <row r="33" spans="1:38" ht="13.5" thickBot="1">
      <c r="A33" s="562" t="s">
        <v>380</v>
      </c>
      <c r="B33" s="84" t="s">
        <v>391</v>
      </c>
      <c r="C33" s="83" t="s">
        <v>390</v>
      </c>
      <c r="D33" s="82">
        <v>774.56</v>
      </c>
      <c r="E33" s="243">
        <f t="shared" si="5"/>
        <v>150</v>
      </c>
      <c r="F33" s="82">
        <v>593.39</v>
      </c>
      <c r="G33" s="82">
        <v>2.5</v>
      </c>
      <c r="H33" s="82">
        <f t="shared" si="6"/>
        <v>1483.4749999999999</v>
      </c>
      <c r="I33" s="81">
        <f t="shared" si="7"/>
        <v>12</v>
      </c>
      <c r="J33" s="270">
        <f t="shared" si="17"/>
        <v>1800</v>
      </c>
      <c r="K33" s="81">
        <f t="shared" si="1"/>
        <v>316.52500000000009</v>
      </c>
      <c r="L33" s="82">
        <f t="shared" si="8"/>
        <v>82.415277777777774</v>
      </c>
      <c r="M33" s="98" t="s">
        <v>389</v>
      </c>
      <c r="N33" s="80">
        <v>778.62</v>
      </c>
      <c r="O33" s="168">
        <f t="shared" si="9"/>
        <v>150</v>
      </c>
      <c r="P33" s="80">
        <f t="shared" si="21"/>
        <v>593.39</v>
      </c>
      <c r="Q33" s="79">
        <v>2.5</v>
      </c>
      <c r="R33" s="251">
        <f t="shared" si="11"/>
        <v>1483.4749999999999</v>
      </c>
      <c r="S33" s="90">
        <f t="shared" si="18"/>
        <v>1800</v>
      </c>
      <c r="T33" s="302">
        <f t="shared" si="19"/>
        <v>316.52500000000009</v>
      </c>
      <c r="U33" s="303" t="str">
        <f t="shared" si="20"/>
        <v>No</v>
      </c>
      <c r="V33" s="213"/>
      <c r="W33" s="213"/>
      <c r="Y33" s="258"/>
      <c r="Z33" s="214"/>
      <c r="AA33" s="86"/>
    </row>
    <row r="34" spans="1:38" ht="14.25" customHeight="1" thickBot="1">
      <c r="A34" s="564"/>
      <c r="B34" s="94" t="s">
        <v>385</v>
      </c>
      <c r="C34" s="93" t="s">
        <v>384</v>
      </c>
      <c r="D34" s="105">
        <v>894.93</v>
      </c>
      <c r="E34" s="245">
        <f t="shared" si="5"/>
        <v>150</v>
      </c>
      <c r="F34" s="105">
        <v>185.4342</v>
      </c>
      <c r="G34" s="82">
        <v>2.5</v>
      </c>
      <c r="H34" s="92">
        <f t="shared" si="6"/>
        <v>463.58550000000002</v>
      </c>
      <c r="I34" s="81">
        <f t="shared" si="7"/>
        <v>4</v>
      </c>
      <c r="J34" s="274">
        <f t="shared" si="17"/>
        <v>600</v>
      </c>
      <c r="K34" s="81">
        <f t="shared" si="1"/>
        <v>136.41449999999998</v>
      </c>
      <c r="L34" s="82">
        <f t="shared" si="8"/>
        <v>77.264250000000004</v>
      </c>
      <c r="M34" s="99" t="s">
        <v>383</v>
      </c>
      <c r="N34" s="104">
        <v>975.03499999999997</v>
      </c>
      <c r="O34" s="168">
        <f t="shared" si="9"/>
        <v>150</v>
      </c>
      <c r="P34" s="80">
        <f t="shared" si="21"/>
        <v>185.4342</v>
      </c>
      <c r="Q34" s="79">
        <v>2.5</v>
      </c>
      <c r="R34" s="252">
        <f t="shared" si="11"/>
        <v>463.58550000000002</v>
      </c>
      <c r="S34" s="80">
        <f t="shared" si="18"/>
        <v>600</v>
      </c>
      <c r="T34" s="191">
        <f t="shared" si="19"/>
        <v>136.41449999999998</v>
      </c>
      <c r="U34" s="204" t="str">
        <f t="shared" si="20"/>
        <v>No</v>
      </c>
      <c r="V34" s="384"/>
      <c r="W34" s="384"/>
      <c r="Y34" s="153" t="s">
        <v>369</v>
      </c>
      <c r="Z34" s="227">
        <f>SUM(Z29:Z33)</f>
        <v>570</v>
      </c>
      <c r="AB34" s="57"/>
    </row>
    <row r="35" spans="1:38" ht="14.25" customHeight="1" thickBot="1">
      <c r="A35" s="564"/>
      <c r="B35" s="94" t="s">
        <v>381</v>
      </c>
      <c r="C35" s="93" t="s">
        <v>380</v>
      </c>
      <c r="D35" s="92">
        <v>553.46500000000003</v>
      </c>
      <c r="E35" s="245">
        <f t="shared" si="5"/>
        <v>150</v>
      </c>
      <c r="F35" s="92">
        <v>491.47570000000002</v>
      </c>
      <c r="G35" s="82">
        <v>2.5</v>
      </c>
      <c r="H35" s="92">
        <f t="shared" si="6"/>
        <v>1228.6892500000001</v>
      </c>
      <c r="I35" s="81">
        <f t="shared" si="7"/>
        <v>10</v>
      </c>
      <c r="J35" s="274">
        <f t="shared" si="17"/>
        <v>1500</v>
      </c>
      <c r="K35" s="81">
        <f t="shared" si="1"/>
        <v>271.31074999999987</v>
      </c>
      <c r="L35" s="82">
        <f t="shared" si="8"/>
        <v>81.912616666666665</v>
      </c>
      <c r="M35" s="88" t="s">
        <v>379</v>
      </c>
      <c r="N35" s="90">
        <v>660.12</v>
      </c>
      <c r="O35" s="168">
        <f t="shared" si="9"/>
        <v>150</v>
      </c>
      <c r="P35" s="80">
        <f t="shared" si="21"/>
        <v>491.47570000000002</v>
      </c>
      <c r="Q35" s="79">
        <v>2.5</v>
      </c>
      <c r="R35" s="252">
        <f t="shared" si="11"/>
        <v>1228.6892500000001</v>
      </c>
      <c r="S35" s="80">
        <f t="shared" si="18"/>
        <v>1500</v>
      </c>
      <c r="T35" s="191">
        <f t="shared" si="19"/>
        <v>271.31074999999987</v>
      </c>
      <c r="U35" s="204" t="str">
        <f t="shared" si="20"/>
        <v>No</v>
      </c>
      <c r="V35" s="384"/>
      <c r="W35" s="384"/>
      <c r="Y35" s="226" t="s">
        <v>365</v>
      </c>
      <c r="Z35" s="225">
        <f>Z34/J57</f>
        <v>1.2351029252437704E-2</v>
      </c>
    </row>
    <row r="36" spans="1:38" ht="13.5" thickBot="1">
      <c r="A36" s="562" t="s">
        <v>374</v>
      </c>
      <c r="B36" s="84" t="s">
        <v>378</v>
      </c>
      <c r="C36" s="83" t="s">
        <v>377</v>
      </c>
      <c r="D36" s="82">
        <v>839.23</v>
      </c>
      <c r="E36" s="243">
        <f t="shared" si="5"/>
        <v>150</v>
      </c>
      <c r="F36" s="82">
        <v>213.84829999999999</v>
      </c>
      <c r="G36" s="82">
        <v>2.5</v>
      </c>
      <c r="H36" s="82">
        <f t="shared" si="6"/>
        <v>534.62075000000004</v>
      </c>
      <c r="I36" s="81">
        <f t="shared" si="7"/>
        <v>5</v>
      </c>
      <c r="J36" s="270">
        <f t="shared" si="17"/>
        <v>750</v>
      </c>
      <c r="K36" s="81">
        <f t="shared" si="1"/>
        <v>215.37924999999996</v>
      </c>
      <c r="L36" s="82">
        <f t="shared" si="8"/>
        <v>71.282766666666674</v>
      </c>
      <c r="M36" s="98" t="s">
        <v>376</v>
      </c>
      <c r="N36" s="80">
        <v>844.89</v>
      </c>
      <c r="O36" s="168">
        <f t="shared" si="9"/>
        <v>150</v>
      </c>
      <c r="P36" s="80">
        <f t="shared" si="21"/>
        <v>213.84829999999999</v>
      </c>
      <c r="Q36" s="79">
        <v>2.5</v>
      </c>
      <c r="R36" s="251">
        <f t="shared" si="11"/>
        <v>534.62075000000004</v>
      </c>
      <c r="S36" s="80">
        <f t="shared" si="18"/>
        <v>750</v>
      </c>
      <c r="T36" s="191">
        <f t="shared" si="19"/>
        <v>215.37924999999996</v>
      </c>
      <c r="U36" s="204" t="str">
        <f t="shared" si="20"/>
        <v>No</v>
      </c>
      <c r="V36" s="384"/>
      <c r="W36" s="384"/>
      <c r="AA36" s="266"/>
    </row>
    <row r="37" spans="1:38" ht="14.25" customHeight="1" thickBot="1">
      <c r="A37" s="564"/>
      <c r="B37" s="94" t="s">
        <v>375</v>
      </c>
      <c r="C37" s="93" t="s">
        <v>374</v>
      </c>
      <c r="D37" s="92">
        <v>497.76499999999999</v>
      </c>
      <c r="E37" s="244">
        <f t="shared" si="5"/>
        <v>200</v>
      </c>
      <c r="F37" s="92">
        <v>1151.328</v>
      </c>
      <c r="G37" s="82">
        <v>2.5</v>
      </c>
      <c r="H37" s="72">
        <f t="shared" si="6"/>
        <v>2878.3199999999997</v>
      </c>
      <c r="I37" s="81">
        <f t="shared" si="7"/>
        <v>18</v>
      </c>
      <c r="J37" s="272">
        <f t="shared" si="17"/>
        <v>3600</v>
      </c>
      <c r="K37" s="81">
        <f t="shared" si="1"/>
        <v>721.68000000000029</v>
      </c>
      <c r="L37" s="82">
        <f t="shared" si="8"/>
        <v>79.953333333333319</v>
      </c>
      <c r="M37" s="88" t="s">
        <v>373</v>
      </c>
      <c r="N37" s="90">
        <v>503.42500000000001</v>
      </c>
      <c r="O37" s="168">
        <f t="shared" si="9"/>
        <v>200</v>
      </c>
      <c r="P37" s="80">
        <f t="shared" si="21"/>
        <v>1151.328</v>
      </c>
      <c r="Q37" s="79">
        <v>2.5</v>
      </c>
      <c r="R37" s="253">
        <f t="shared" si="11"/>
        <v>2878.3199999999997</v>
      </c>
      <c r="S37" s="80">
        <f t="shared" si="18"/>
        <v>3600</v>
      </c>
      <c r="T37" s="191">
        <f t="shared" si="19"/>
        <v>721.68000000000029</v>
      </c>
      <c r="U37" s="204" t="str">
        <f t="shared" si="20"/>
        <v>No</v>
      </c>
      <c r="V37" s="224"/>
      <c r="W37" s="224"/>
      <c r="AA37" s="266"/>
    </row>
    <row r="38" spans="1:38" ht="13.5" thickBot="1">
      <c r="A38" s="372" t="s">
        <v>371</v>
      </c>
      <c r="B38" s="84" t="s">
        <v>372</v>
      </c>
      <c r="C38" s="83" t="s">
        <v>371</v>
      </c>
      <c r="D38" s="82">
        <v>285.27999999999997</v>
      </c>
      <c r="E38" s="92">
        <f t="shared" si="5"/>
        <v>250</v>
      </c>
      <c r="F38" s="82">
        <v>779.52329999999995</v>
      </c>
      <c r="G38" s="82">
        <v>2.5</v>
      </c>
      <c r="H38" s="92">
        <f t="shared" si="6"/>
        <v>1948.8082499999998</v>
      </c>
      <c r="I38" s="81">
        <f t="shared" si="7"/>
        <v>10</v>
      </c>
      <c r="J38" s="242">
        <f t="shared" si="17"/>
        <v>2500</v>
      </c>
      <c r="K38" s="81">
        <f t="shared" si="1"/>
        <v>551.19175000000018</v>
      </c>
      <c r="L38" s="82">
        <f t="shared" si="8"/>
        <v>77.952329999999989</v>
      </c>
      <c r="M38" s="80" t="s">
        <v>370</v>
      </c>
      <c r="N38" s="80">
        <v>539.80499999999995</v>
      </c>
      <c r="O38" s="168">
        <f t="shared" si="9"/>
        <v>150</v>
      </c>
      <c r="P38" s="80">
        <f t="shared" si="21"/>
        <v>779.52329999999995</v>
      </c>
      <c r="Q38" s="79">
        <v>2.5</v>
      </c>
      <c r="R38" s="89">
        <f t="shared" si="11"/>
        <v>1948.8082499999998</v>
      </c>
      <c r="S38" s="80">
        <f t="shared" si="18"/>
        <v>1500</v>
      </c>
      <c r="T38" s="191">
        <f t="shared" si="19"/>
        <v>-448.80824999999982</v>
      </c>
      <c r="U38" s="204" t="str">
        <f t="shared" si="20"/>
        <v>Yes</v>
      </c>
      <c r="V38" s="206" t="s">
        <v>511</v>
      </c>
      <c r="W38" s="205" t="s">
        <v>513</v>
      </c>
    </row>
    <row r="39" spans="1:38" ht="13.5" thickBot="1">
      <c r="A39" s="562" t="s">
        <v>60</v>
      </c>
      <c r="B39" s="84" t="s">
        <v>368</v>
      </c>
      <c r="C39" s="83" t="s">
        <v>367</v>
      </c>
      <c r="D39" s="82">
        <v>239.47</v>
      </c>
      <c r="E39" s="243">
        <f t="shared" si="5"/>
        <v>250</v>
      </c>
      <c r="F39" s="82">
        <v>886.15449999999998</v>
      </c>
      <c r="G39" s="82">
        <v>2.5</v>
      </c>
      <c r="H39" s="82">
        <f t="shared" si="6"/>
        <v>2215.38625</v>
      </c>
      <c r="I39" s="81">
        <f t="shared" si="7"/>
        <v>11</v>
      </c>
      <c r="J39" s="270">
        <f t="shared" si="17"/>
        <v>2750</v>
      </c>
      <c r="K39" s="81">
        <f t="shared" si="1"/>
        <v>534.61374999999998</v>
      </c>
      <c r="L39" s="82">
        <f t="shared" si="8"/>
        <v>80.5595</v>
      </c>
      <c r="M39" s="98" t="s">
        <v>366</v>
      </c>
      <c r="N39" s="80">
        <v>585.61500000000001</v>
      </c>
      <c r="O39" s="168">
        <f t="shared" si="9"/>
        <v>150</v>
      </c>
      <c r="P39" s="80">
        <f t="shared" si="21"/>
        <v>886.15449999999998</v>
      </c>
      <c r="Q39" s="79">
        <v>2.5</v>
      </c>
      <c r="R39" s="251">
        <f t="shared" si="11"/>
        <v>2215.38625</v>
      </c>
      <c r="S39" s="80">
        <f t="shared" si="18"/>
        <v>1650</v>
      </c>
      <c r="T39" s="191">
        <f t="shared" si="19"/>
        <v>-565.38625000000002</v>
      </c>
      <c r="U39" s="204" t="str">
        <f t="shared" si="20"/>
        <v>Yes</v>
      </c>
      <c r="V39" s="203" t="s">
        <v>20</v>
      </c>
      <c r="W39" s="202">
        <v>280</v>
      </c>
    </row>
    <row r="40" spans="1:38" ht="14.25" customHeight="1" thickBot="1">
      <c r="A40" s="563"/>
      <c r="B40" s="74" t="s">
        <v>364</v>
      </c>
      <c r="C40" s="73" t="s">
        <v>61</v>
      </c>
      <c r="D40" s="72">
        <v>381.34</v>
      </c>
      <c r="E40" s="245">
        <f t="shared" si="5"/>
        <v>200</v>
      </c>
      <c r="F40" s="72">
        <v>233.80699999999999</v>
      </c>
      <c r="G40" s="82">
        <v>2.5</v>
      </c>
      <c r="H40" s="92">
        <f t="shared" si="6"/>
        <v>584.51749999999993</v>
      </c>
      <c r="I40" s="81">
        <f t="shared" si="7"/>
        <v>4</v>
      </c>
      <c r="J40" s="274">
        <f t="shared" si="17"/>
        <v>800</v>
      </c>
      <c r="K40" s="81">
        <f t="shared" si="1"/>
        <v>215.48250000000007</v>
      </c>
      <c r="L40" s="82">
        <f t="shared" si="8"/>
        <v>73.064687499999991</v>
      </c>
      <c r="M40" s="69" t="s">
        <v>328</v>
      </c>
      <c r="N40" s="70">
        <v>673.16499999999996</v>
      </c>
      <c r="O40" s="168">
        <f t="shared" si="9"/>
        <v>150</v>
      </c>
      <c r="P40" s="80">
        <f t="shared" si="21"/>
        <v>233.80699999999999</v>
      </c>
      <c r="Q40" s="79">
        <v>2.5</v>
      </c>
      <c r="R40" s="252">
        <f t="shared" si="11"/>
        <v>584.51749999999993</v>
      </c>
      <c r="S40" s="80">
        <f t="shared" si="18"/>
        <v>600</v>
      </c>
      <c r="T40" s="191">
        <f t="shared" si="19"/>
        <v>15.482500000000073</v>
      </c>
      <c r="U40" s="204" t="str">
        <f t="shared" si="20"/>
        <v>No</v>
      </c>
      <c r="V40" s="201" t="s">
        <v>28</v>
      </c>
      <c r="W40" s="200">
        <v>65</v>
      </c>
    </row>
    <row r="41" spans="1:38" ht="13.5" thickBot="1">
      <c r="A41" s="564" t="s">
        <v>363</v>
      </c>
      <c r="B41" s="62" t="s">
        <v>362</v>
      </c>
      <c r="C41" s="111" t="s">
        <v>74</v>
      </c>
      <c r="D41" s="92">
        <v>632.29499999999996</v>
      </c>
      <c r="E41" s="243">
        <f t="shared" si="5"/>
        <v>150</v>
      </c>
      <c r="F41" s="92">
        <v>416.14780000000002</v>
      </c>
      <c r="G41" s="82">
        <v>2.5</v>
      </c>
      <c r="H41" s="82">
        <f t="shared" si="6"/>
        <v>1040.3695</v>
      </c>
      <c r="I41" s="81">
        <f t="shared" si="7"/>
        <v>9</v>
      </c>
      <c r="J41" s="270">
        <f t="shared" si="17"/>
        <v>1350</v>
      </c>
      <c r="K41" s="81">
        <f t="shared" si="1"/>
        <v>309.63049999999998</v>
      </c>
      <c r="L41" s="82">
        <f t="shared" si="8"/>
        <v>77.064407407407415</v>
      </c>
      <c r="M41" s="88" t="s">
        <v>361</v>
      </c>
      <c r="N41" s="90">
        <v>692.19500000000005</v>
      </c>
      <c r="O41" s="168">
        <f t="shared" si="9"/>
        <v>150</v>
      </c>
      <c r="P41" s="80">
        <f t="shared" si="21"/>
        <v>416.14780000000002</v>
      </c>
      <c r="Q41" s="79">
        <v>2.5</v>
      </c>
      <c r="R41" s="251">
        <f t="shared" si="11"/>
        <v>1040.3695</v>
      </c>
      <c r="S41" s="80">
        <f t="shared" si="18"/>
        <v>1350</v>
      </c>
      <c r="T41" s="191">
        <f t="shared" si="19"/>
        <v>309.63049999999998</v>
      </c>
      <c r="U41" s="348" t="str">
        <f t="shared" si="20"/>
        <v>No</v>
      </c>
      <c r="V41" s="350"/>
      <c r="W41" s="351"/>
    </row>
    <row r="42" spans="1:38" ht="14.25" customHeight="1" thickBot="1">
      <c r="A42" s="564"/>
      <c r="B42" s="94" t="s">
        <v>360</v>
      </c>
      <c r="C42" s="93" t="s">
        <v>55</v>
      </c>
      <c r="D42" s="105">
        <v>566.26</v>
      </c>
      <c r="E42" s="245">
        <f t="shared" si="5"/>
        <v>150</v>
      </c>
      <c r="F42" s="105">
        <v>424.66829999999999</v>
      </c>
      <c r="G42" s="82">
        <v>2.5</v>
      </c>
      <c r="H42" s="92">
        <f t="shared" si="6"/>
        <v>1061.67075</v>
      </c>
      <c r="I42" s="81">
        <f t="shared" si="7"/>
        <v>9</v>
      </c>
      <c r="J42" s="274">
        <f t="shared" si="17"/>
        <v>1350</v>
      </c>
      <c r="K42" s="81">
        <f t="shared" si="1"/>
        <v>288.32925</v>
      </c>
      <c r="L42" s="82">
        <f t="shared" si="8"/>
        <v>78.642277777777778</v>
      </c>
      <c r="M42" s="99" t="s">
        <v>359</v>
      </c>
      <c r="N42" s="104">
        <v>1033.6600000000001</v>
      </c>
      <c r="O42" s="168">
        <f t="shared" si="9"/>
        <v>150</v>
      </c>
      <c r="P42" s="80">
        <f t="shared" si="21"/>
        <v>424.66829999999999</v>
      </c>
      <c r="Q42" s="79">
        <v>2.5</v>
      </c>
      <c r="R42" s="252">
        <f t="shared" si="11"/>
        <v>1061.67075</v>
      </c>
      <c r="S42" s="80">
        <f t="shared" si="18"/>
        <v>1350</v>
      </c>
      <c r="T42" s="191">
        <f t="shared" si="19"/>
        <v>288.32925</v>
      </c>
      <c r="U42" s="348" t="str">
        <f t="shared" si="20"/>
        <v>No</v>
      </c>
      <c r="V42" s="352" t="s">
        <v>351</v>
      </c>
      <c r="W42" s="353"/>
      <c r="X42" s="558" t="s">
        <v>595</v>
      </c>
      <c r="Y42" s="558"/>
      <c r="Z42" s="558"/>
      <c r="AA42" s="558"/>
      <c r="AB42" s="558"/>
      <c r="AC42" s="559"/>
      <c r="AD42" s="154"/>
      <c r="AI42" s="486"/>
      <c r="AJ42" s="486"/>
      <c r="AK42" s="486"/>
      <c r="AL42" s="486"/>
    </row>
    <row r="43" spans="1:38" ht="14.25" customHeight="1" thickBot="1">
      <c r="A43" s="564"/>
      <c r="B43" s="94" t="s">
        <v>358</v>
      </c>
      <c r="C43" s="93" t="s">
        <v>62</v>
      </c>
      <c r="D43" s="92">
        <v>174.54</v>
      </c>
      <c r="E43" s="244">
        <f t="shared" si="5"/>
        <v>250</v>
      </c>
      <c r="F43" s="92">
        <v>80.336669999999998</v>
      </c>
      <c r="G43" s="82">
        <v>2.5</v>
      </c>
      <c r="H43" s="72">
        <f t="shared" si="6"/>
        <v>200.84167500000001</v>
      </c>
      <c r="I43" s="81">
        <f t="shared" si="7"/>
        <v>1</v>
      </c>
      <c r="J43" s="272">
        <f t="shared" si="17"/>
        <v>250</v>
      </c>
      <c r="K43" s="81">
        <f t="shared" si="1"/>
        <v>49.158324999999991</v>
      </c>
      <c r="L43" s="82">
        <f t="shared" si="8"/>
        <v>80.336669999999998</v>
      </c>
      <c r="M43" s="88" t="s">
        <v>357</v>
      </c>
      <c r="N43" s="90">
        <v>811.21</v>
      </c>
      <c r="O43" s="168">
        <f t="shared" si="9"/>
        <v>150</v>
      </c>
      <c r="P43" s="80">
        <f t="shared" si="21"/>
        <v>80.336669999999998</v>
      </c>
      <c r="Q43" s="79">
        <v>2.5</v>
      </c>
      <c r="R43" s="253">
        <f t="shared" si="11"/>
        <v>200.84167500000001</v>
      </c>
      <c r="S43" s="80">
        <f t="shared" si="18"/>
        <v>150</v>
      </c>
      <c r="T43" s="191">
        <f t="shared" si="19"/>
        <v>-50.841675000000009</v>
      </c>
      <c r="U43" s="348" t="str">
        <f t="shared" si="20"/>
        <v>Yes</v>
      </c>
      <c r="V43" s="354"/>
      <c r="W43" s="355"/>
      <c r="X43" s="349" t="s">
        <v>491</v>
      </c>
      <c r="Y43" s="333" t="s">
        <v>493</v>
      </c>
      <c r="Z43" s="333" t="s">
        <v>494</v>
      </c>
      <c r="AA43" s="333" t="s">
        <v>495</v>
      </c>
      <c r="AB43" s="333" t="s">
        <v>496</v>
      </c>
      <c r="AC43" s="334" t="s">
        <v>562</v>
      </c>
      <c r="AD43" s="290" t="s">
        <v>415</v>
      </c>
      <c r="AI43" s="486"/>
      <c r="AJ43" s="486"/>
      <c r="AK43" s="486"/>
      <c r="AL43" s="491"/>
    </row>
    <row r="44" spans="1:38" ht="13.5" thickBot="1">
      <c r="A44" s="372" t="s">
        <v>355</v>
      </c>
      <c r="B44" s="84" t="s">
        <v>356</v>
      </c>
      <c r="C44" s="83" t="s">
        <v>355</v>
      </c>
      <c r="D44" s="82">
        <v>517.28</v>
      </c>
      <c r="E44" s="92">
        <f t="shared" si="5"/>
        <v>200</v>
      </c>
      <c r="F44" s="82">
        <v>67.241829999999993</v>
      </c>
      <c r="G44" s="82">
        <v>2.5</v>
      </c>
      <c r="H44" s="92">
        <f t="shared" si="6"/>
        <v>168.10457499999998</v>
      </c>
      <c r="I44" s="81">
        <f t="shared" si="7"/>
        <v>2</v>
      </c>
      <c r="J44" s="242">
        <f t="shared" si="17"/>
        <v>400</v>
      </c>
      <c r="K44" s="81">
        <f t="shared" si="1"/>
        <v>231.89542500000002</v>
      </c>
      <c r="L44" s="82">
        <f t="shared" si="8"/>
        <v>42.026143749999996</v>
      </c>
      <c r="M44" s="80" t="s">
        <v>354</v>
      </c>
      <c r="N44" s="80">
        <v>607.995</v>
      </c>
      <c r="O44" s="168">
        <f t="shared" si="9"/>
        <v>150</v>
      </c>
      <c r="P44" s="80">
        <f t="shared" si="21"/>
        <v>67.241829999999993</v>
      </c>
      <c r="Q44" s="79">
        <v>2.5</v>
      </c>
      <c r="R44" s="89">
        <f t="shared" si="11"/>
        <v>168.10457499999998</v>
      </c>
      <c r="S44" s="80">
        <f t="shared" si="18"/>
        <v>300</v>
      </c>
      <c r="T44" s="191">
        <f t="shared" si="19"/>
        <v>131.89542500000002</v>
      </c>
      <c r="U44" s="204" t="str">
        <f t="shared" si="20"/>
        <v>No</v>
      </c>
      <c r="V44" s="223"/>
      <c r="X44" s="59" t="s">
        <v>84</v>
      </c>
      <c r="Y44" s="335">
        <v>0</v>
      </c>
      <c r="Z44" s="335">
        <v>0</v>
      </c>
      <c r="AA44" s="336">
        <v>0</v>
      </c>
      <c r="AB44" s="336">
        <v>0</v>
      </c>
      <c r="AC44" s="337">
        <v>0</v>
      </c>
      <c r="AD44" s="338">
        <f>SUM(Y44:AC44)</f>
        <v>0</v>
      </c>
      <c r="AI44" s="486"/>
      <c r="AJ44" s="486"/>
      <c r="AK44" s="486"/>
      <c r="AL44" s="486"/>
    </row>
    <row r="45" spans="1:38" ht="13.5" thickBot="1">
      <c r="A45" s="562" t="s">
        <v>349</v>
      </c>
      <c r="B45" s="84" t="s">
        <v>353</v>
      </c>
      <c r="C45" s="83" t="s">
        <v>342</v>
      </c>
      <c r="D45" s="82">
        <v>592.98500000000001</v>
      </c>
      <c r="E45" s="243">
        <f t="shared" si="5"/>
        <v>150</v>
      </c>
      <c r="F45" s="82">
        <v>175.91919999999999</v>
      </c>
      <c r="G45" s="82">
        <v>2.5</v>
      </c>
      <c r="H45" s="82">
        <f t="shared" si="6"/>
        <v>439.798</v>
      </c>
      <c r="I45" s="81">
        <f t="shared" si="7"/>
        <v>4</v>
      </c>
      <c r="J45" s="270">
        <f t="shared" si="17"/>
        <v>600</v>
      </c>
      <c r="K45" s="81">
        <f t="shared" si="1"/>
        <v>160.202</v>
      </c>
      <c r="L45" s="82">
        <f t="shared" si="8"/>
        <v>73.299666666666667</v>
      </c>
      <c r="M45" s="98" t="s">
        <v>352</v>
      </c>
      <c r="N45" s="80">
        <v>1051.23</v>
      </c>
      <c r="O45" s="168">
        <f t="shared" si="9"/>
        <v>150</v>
      </c>
      <c r="P45" s="80">
        <f t="shared" si="21"/>
        <v>175.91919999999999</v>
      </c>
      <c r="Q45" s="79">
        <v>2.5</v>
      </c>
      <c r="R45" s="251">
        <f t="shared" si="11"/>
        <v>439.798</v>
      </c>
      <c r="S45" s="80">
        <f t="shared" si="18"/>
        <v>600</v>
      </c>
      <c r="T45" s="191">
        <f t="shared" si="19"/>
        <v>160.202</v>
      </c>
      <c r="U45" s="204" t="str">
        <f t="shared" si="20"/>
        <v>No</v>
      </c>
      <c r="V45" s="223"/>
      <c r="X45" s="59" t="s">
        <v>85</v>
      </c>
      <c r="Y45" s="335">
        <v>0</v>
      </c>
      <c r="Z45" s="335">
        <v>0</v>
      </c>
      <c r="AA45" s="335">
        <v>0</v>
      </c>
      <c r="AB45" s="335">
        <v>0</v>
      </c>
      <c r="AC45" s="337">
        <v>0</v>
      </c>
      <c r="AD45" s="59">
        <f t="shared" ref="AD45:AD55" si="22">SUM(Y45:AC45)</f>
        <v>0</v>
      </c>
      <c r="AI45" s="486"/>
      <c r="AJ45" s="486"/>
      <c r="AK45" s="486"/>
      <c r="AL45" s="486"/>
    </row>
    <row r="46" spans="1:38" ht="14.25" customHeight="1" thickBot="1">
      <c r="A46" s="564"/>
      <c r="B46" s="94" t="s">
        <v>350</v>
      </c>
      <c r="C46" s="93" t="s">
        <v>349</v>
      </c>
      <c r="D46" s="105">
        <v>374.84</v>
      </c>
      <c r="E46" s="245">
        <f t="shared" si="5"/>
        <v>200</v>
      </c>
      <c r="F46" s="105">
        <v>115.1143</v>
      </c>
      <c r="G46" s="82">
        <v>2.5</v>
      </c>
      <c r="H46" s="92">
        <f t="shared" si="6"/>
        <v>287.78575000000001</v>
      </c>
      <c r="I46" s="81">
        <f t="shared" si="7"/>
        <v>2</v>
      </c>
      <c r="J46" s="274">
        <f t="shared" si="17"/>
        <v>400</v>
      </c>
      <c r="K46" s="81">
        <f t="shared" si="1"/>
        <v>112.21424999999999</v>
      </c>
      <c r="L46" s="82">
        <f t="shared" si="8"/>
        <v>71.946437500000002</v>
      </c>
      <c r="M46" s="99" t="s">
        <v>348</v>
      </c>
      <c r="N46" s="104">
        <v>838.745</v>
      </c>
      <c r="O46" s="168">
        <f t="shared" si="9"/>
        <v>150</v>
      </c>
      <c r="P46" s="80">
        <f t="shared" si="21"/>
        <v>115.1143</v>
      </c>
      <c r="Q46" s="79">
        <v>2.5</v>
      </c>
      <c r="R46" s="252">
        <f t="shared" si="11"/>
        <v>287.78575000000001</v>
      </c>
      <c r="S46" s="80">
        <f t="shared" si="18"/>
        <v>300</v>
      </c>
      <c r="T46" s="191">
        <f t="shared" si="19"/>
        <v>12.214249999999993</v>
      </c>
      <c r="U46" s="204" t="str">
        <f t="shared" si="20"/>
        <v>No</v>
      </c>
      <c r="V46" s="223"/>
      <c r="X46" s="59" t="s">
        <v>86</v>
      </c>
      <c r="Y46" s="335">
        <v>0</v>
      </c>
      <c r="Z46" s="335">
        <v>0</v>
      </c>
      <c r="AA46" s="335">
        <v>0</v>
      </c>
      <c r="AB46" s="335">
        <v>0</v>
      </c>
      <c r="AC46" s="337">
        <v>0</v>
      </c>
      <c r="AD46" s="59">
        <f t="shared" si="22"/>
        <v>0</v>
      </c>
      <c r="AF46" s="481" t="s">
        <v>498</v>
      </c>
      <c r="AG46" s="481" t="s">
        <v>499</v>
      </c>
      <c r="AH46" s="340" t="s">
        <v>500</v>
      </c>
      <c r="AI46" s="486"/>
      <c r="AJ46" s="486"/>
    </row>
    <row r="47" spans="1:38" ht="14.25" customHeight="1" thickBot="1">
      <c r="A47" s="564"/>
      <c r="B47" s="94" t="s">
        <v>347</v>
      </c>
      <c r="C47" s="93" t="s">
        <v>335</v>
      </c>
      <c r="D47" s="105">
        <v>675.17499999999995</v>
      </c>
      <c r="E47" s="245">
        <f t="shared" si="5"/>
        <v>150</v>
      </c>
      <c r="F47" s="105">
        <v>87.5685</v>
      </c>
      <c r="G47" s="82">
        <v>2.5</v>
      </c>
      <c r="H47" s="92">
        <f t="shared" si="6"/>
        <v>218.92124999999999</v>
      </c>
      <c r="I47" s="81">
        <f t="shared" si="7"/>
        <v>2</v>
      </c>
      <c r="J47" s="274">
        <f t="shared" si="17"/>
        <v>300</v>
      </c>
      <c r="K47" s="81">
        <f t="shared" si="1"/>
        <v>81.078750000000014</v>
      </c>
      <c r="L47" s="82">
        <f t="shared" si="8"/>
        <v>72.973749999999995</v>
      </c>
      <c r="M47" s="99" t="s">
        <v>346</v>
      </c>
      <c r="N47" s="104">
        <v>792.93499999999995</v>
      </c>
      <c r="O47" s="168">
        <f t="shared" si="9"/>
        <v>150</v>
      </c>
      <c r="P47" s="80">
        <f t="shared" si="21"/>
        <v>87.5685</v>
      </c>
      <c r="Q47" s="79">
        <v>2.5</v>
      </c>
      <c r="R47" s="252">
        <f t="shared" si="11"/>
        <v>218.92124999999999</v>
      </c>
      <c r="S47" s="80">
        <f t="shared" si="18"/>
        <v>300</v>
      </c>
      <c r="T47" s="191">
        <f t="shared" si="19"/>
        <v>81.078750000000014</v>
      </c>
      <c r="U47" s="204" t="str">
        <f t="shared" si="20"/>
        <v>No</v>
      </c>
      <c r="V47" s="223"/>
      <c r="X47" s="59" t="s">
        <v>87</v>
      </c>
      <c r="Y47" s="335">
        <v>0</v>
      </c>
      <c r="Z47" s="335">
        <v>2</v>
      </c>
      <c r="AA47" s="335">
        <v>0</v>
      </c>
      <c r="AB47" s="335">
        <v>0</v>
      </c>
      <c r="AC47" s="337">
        <v>0</v>
      </c>
      <c r="AD47" s="59">
        <f t="shared" si="22"/>
        <v>2</v>
      </c>
      <c r="AF47" s="60" t="s">
        <v>493</v>
      </c>
      <c r="AG47" s="60">
        <v>100</v>
      </c>
      <c r="AH47" s="492">
        <v>15</v>
      </c>
      <c r="AI47" s="486"/>
      <c r="AJ47" s="486"/>
    </row>
    <row r="48" spans="1:38" ht="14.25" customHeight="1" thickBot="1">
      <c r="A48" s="564"/>
      <c r="B48" s="94" t="s">
        <v>339</v>
      </c>
      <c r="C48" s="93" t="s">
        <v>338</v>
      </c>
      <c r="D48" s="92">
        <v>768.38499999999999</v>
      </c>
      <c r="E48" s="245">
        <f t="shared" si="5"/>
        <v>150</v>
      </c>
      <c r="F48" s="92">
        <v>46.164000000000001</v>
      </c>
      <c r="G48" s="82">
        <v>2.5</v>
      </c>
      <c r="H48" s="92">
        <f t="shared" si="6"/>
        <v>115.41</v>
      </c>
      <c r="I48" s="81">
        <f t="shared" si="7"/>
        <v>1</v>
      </c>
      <c r="J48" s="274">
        <f t="shared" si="17"/>
        <v>150</v>
      </c>
      <c r="K48" s="81">
        <f t="shared" si="1"/>
        <v>34.590000000000003</v>
      </c>
      <c r="L48" s="82">
        <f t="shared" si="8"/>
        <v>76.94</v>
      </c>
      <c r="M48" s="88" t="s">
        <v>345</v>
      </c>
      <c r="N48" s="90">
        <v>934.80499999999995</v>
      </c>
      <c r="O48" s="168">
        <f t="shared" si="9"/>
        <v>150</v>
      </c>
      <c r="P48" s="80">
        <f t="shared" si="21"/>
        <v>46.164000000000001</v>
      </c>
      <c r="Q48" s="79">
        <v>2.5</v>
      </c>
      <c r="R48" s="252">
        <f t="shared" si="11"/>
        <v>115.41</v>
      </c>
      <c r="S48" s="80">
        <f t="shared" si="18"/>
        <v>150</v>
      </c>
      <c r="T48" s="191">
        <f t="shared" si="19"/>
        <v>34.590000000000003</v>
      </c>
      <c r="U48" s="204" t="str">
        <f t="shared" si="20"/>
        <v>No</v>
      </c>
      <c r="V48" s="223"/>
      <c r="X48" s="59" t="s">
        <v>88</v>
      </c>
      <c r="Y48" s="335">
        <v>0</v>
      </c>
      <c r="Z48" s="335">
        <v>0</v>
      </c>
      <c r="AA48" s="335">
        <v>0</v>
      </c>
      <c r="AB48" s="335">
        <v>0</v>
      </c>
      <c r="AC48" s="337">
        <v>0</v>
      </c>
      <c r="AD48" s="59">
        <f t="shared" si="22"/>
        <v>0</v>
      </c>
      <c r="AE48" s="384"/>
      <c r="AF48" s="341" t="s">
        <v>494</v>
      </c>
      <c r="AG48" s="341">
        <v>150</v>
      </c>
      <c r="AH48" s="493">
        <v>16.3689</v>
      </c>
      <c r="AI48" s="486"/>
      <c r="AJ48" s="486"/>
      <c r="AL48" s="486"/>
    </row>
    <row r="49" spans="1:38" ht="13.5" thickBot="1">
      <c r="A49" s="562" t="s">
        <v>344</v>
      </c>
      <c r="B49" s="84" t="s">
        <v>343</v>
      </c>
      <c r="C49" s="83" t="s">
        <v>342</v>
      </c>
      <c r="D49" s="82">
        <v>592.98500000000001</v>
      </c>
      <c r="E49" s="243">
        <f t="shared" si="5"/>
        <v>150</v>
      </c>
      <c r="F49" s="82">
        <v>175.91919999999999</v>
      </c>
      <c r="G49" s="82">
        <v>2.5</v>
      </c>
      <c r="H49" s="82">
        <f t="shared" si="6"/>
        <v>439.798</v>
      </c>
      <c r="I49" s="81">
        <f t="shared" si="7"/>
        <v>4</v>
      </c>
      <c r="J49" s="270">
        <f t="shared" si="17"/>
        <v>600</v>
      </c>
      <c r="K49" s="81">
        <f t="shared" si="1"/>
        <v>160.202</v>
      </c>
      <c r="L49" s="82">
        <f t="shared" si="8"/>
        <v>73.299666666666667</v>
      </c>
      <c r="M49" s="98" t="s">
        <v>341</v>
      </c>
      <c r="N49" s="80">
        <v>992.44500000000005</v>
      </c>
      <c r="O49" s="168">
        <f t="shared" si="9"/>
        <v>150</v>
      </c>
      <c r="P49" s="80">
        <f t="shared" si="21"/>
        <v>175.91919999999999</v>
      </c>
      <c r="Q49" s="79">
        <v>2.5</v>
      </c>
      <c r="R49" s="251">
        <f t="shared" si="11"/>
        <v>439.798</v>
      </c>
      <c r="S49" s="80">
        <f t="shared" si="18"/>
        <v>600</v>
      </c>
      <c r="T49" s="191">
        <f t="shared" si="19"/>
        <v>160.202</v>
      </c>
      <c r="U49" s="204" t="str">
        <f t="shared" si="20"/>
        <v>No</v>
      </c>
      <c r="V49" s="223"/>
      <c r="X49" s="59" t="s">
        <v>89</v>
      </c>
      <c r="Y49" s="335">
        <v>0</v>
      </c>
      <c r="Z49" s="335">
        <v>0</v>
      </c>
      <c r="AA49" s="335">
        <v>0</v>
      </c>
      <c r="AB49" s="335">
        <v>0</v>
      </c>
      <c r="AC49" s="337">
        <v>0</v>
      </c>
      <c r="AD49" s="59">
        <f t="shared" si="22"/>
        <v>0</v>
      </c>
      <c r="AE49" s="382"/>
      <c r="AF49" s="341" t="s">
        <v>495</v>
      </c>
      <c r="AG49" s="341">
        <v>200</v>
      </c>
      <c r="AH49" s="493">
        <v>16.746700000000001</v>
      </c>
      <c r="AI49" s="486"/>
      <c r="AJ49" s="486"/>
      <c r="AL49" s="486"/>
    </row>
    <row r="50" spans="1:38" ht="14.25" customHeight="1" thickBot="1">
      <c r="A50" s="564"/>
      <c r="B50" s="94" t="s">
        <v>339</v>
      </c>
      <c r="C50" s="93" t="s">
        <v>338</v>
      </c>
      <c r="D50" s="92">
        <v>768.38499999999999</v>
      </c>
      <c r="E50" s="245">
        <f t="shared" si="5"/>
        <v>150</v>
      </c>
      <c r="F50" s="92">
        <v>46.164000000000001</v>
      </c>
      <c r="G50" s="82">
        <v>2.5</v>
      </c>
      <c r="H50" s="92">
        <f t="shared" si="6"/>
        <v>115.41</v>
      </c>
      <c r="I50" s="81">
        <f t="shared" si="7"/>
        <v>1</v>
      </c>
      <c r="J50" s="274">
        <f t="shared" si="17"/>
        <v>150</v>
      </c>
      <c r="K50" s="81">
        <f t="shared" si="1"/>
        <v>34.590000000000003</v>
      </c>
      <c r="L50" s="82">
        <f t="shared" si="8"/>
        <v>76.94</v>
      </c>
      <c r="M50" s="88" t="s">
        <v>337</v>
      </c>
      <c r="N50" s="90">
        <v>817.04499999999996</v>
      </c>
      <c r="O50" s="168">
        <f t="shared" si="9"/>
        <v>150</v>
      </c>
      <c r="P50" s="80">
        <f t="shared" si="21"/>
        <v>46.164000000000001</v>
      </c>
      <c r="Q50" s="79">
        <v>2.5</v>
      </c>
      <c r="R50" s="252">
        <f t="shared" si="11"/>
        <v>115.41</v>
      </c>
      <c r="S50" s="80">
        <f t="shared" si="18"/>
        <v>150</v>
      </c>
      <c r="T50" s="191">
        <f t="shared" si="19"/>
        <v>34.590000000000003</v>
      </c>
      <c r="U50" s="204" t="str">
        <f t="shared" si="20"/>
        <v>No</v>
      </c>
      <c r="V50" s="223"/>
      <c r="X50" s="59" t="s">
        <v>90</v>
      </c>
      <c r="Y50" s="335">
        <v>0</v>
      </c>
      <c r="Z50" s="335">
        <v>0</v>
      </c>
      <c r="AA50" s="335">
        <v>0</v>
      </c>
      <c r="AB50" s="335">
        <v>0</v>
      </c>
      <c r="AC50" s="337">
        <v>0</v>
      </c>
      <c r="AD50" s="59">
        <f t="shared" si="22"/>
        <v>0</v>
      </c>
      <c r="AE50" s="382"/>
      <c r="AF50" s="341" t="s">
        <v>496</v>
      </c>
      <c r="AG50" s="341">
        <v>250</v>
      </c>
      <c r="AH50" s="493">
        <v>16.886600000000001</v>
      </c>
      <c r="AI50" s="486"/>
      <c r="AJ50" s="486"/>
      <c r="AL50" s="486"/>
    </row>
    <row r="51" spans="1:38" ht="13.5" thickBot="1">
      <c r="A51" s="562" t="s">
        <v>340</v>
      </c>
      <c r="B51" s="84" t="s">
        <v>339</v>
      </c>
      <c r="C51" s="83" t="s">
        <v>338</v>
      </c>
      <c r="D51" s="82">
        <v>768.38499999999999</v>
      </c>
      <c r="E51" s="243">
        <f t="shared" si="5"/>
        <v>150</v>
      </c>
      <c r="F51" s="82">
        <v>46.164000000000001</v>
      </c>
      <c r="G51" s="82">
        <v>2.5</v>
      </c>
      <c r="H51" s="82">
        <f t="shared" si="6"/>
        <v>115.41</v>
      </c>
      <c r="I51" s="81">
        <f t="shared" si="7"/>
        <v>1</v>
      </c>
      <c r="J51" s="270">
        <f t="shared" si="17"/>
        <v>150</v>
      </c>
      <c r="K51" s="81">
        <f t="shared" si="1"/>
        <v>34.590000000000003</v>
      </c>
      <c r="L51" s="82">
        <f t="shared" si="8"/>
        <v>76.94</v>
      </c>
      <c r="M51" s="98" t="s">
        <v>337</v>
      </c>
      <c r="N51" s="80">
        <v>817.04499999999996</v>
      </c>
      <c r="O51" s="168">
        <f t="shared" si="9"/>
        <v>150</v>
      </c>
      <c r="P51" s="80">
        <f t="shared" si="21"/>
        <v>46.164000000000001</v>
      </c>
      <c r="Q51" s="79">
        <v>2.5</v>
      </c>
      <c r="R51" s="251">
        <f t="shared" si="11"/>
        <v>115.41</v>
      </c>
      <c r="S51" s="80">
        <f t="shared" si="18"/>
        <v>150</v>
      </c>
      <c r="T51" s="191">
        <f t="shared" si="19"/>
        <v>34.590000000000003</v>
      </c>
      <c r="U51" s="204" t="str">
        <f t="shared" si="20"/>
        <v>No</v>
      </c>
      <c r="V51" s="223"/>
      <c r="X51" s="59" t="s">
        <v>91</v>
      </c>
      <c r="Y51" s="335">
        <v>1</v>
      </c>
      <c r="Z51" s="335">
        <v>0</v>
      </c>
      <c r="AA51" s="337">
        <v>0</v>
      </c>
      <c r="AB51" s="337">
        <v>0</v>
      </c>
      <c r="AC51" s="337">
        <v>0</v>
      </c>
      <c r="AD51" s="59">
        <f t="shared" si="22"/>
        <v>1</v>
      </c>
      <c r="AE51" s="384"/>
      <c r="AF51" s="342" t="s">
        <v>562</v>
      </c>
      <c r="AG51" s="342">
        <v>300</v>
      </c>
      <c r="AH51" s="494">
        <v>17</v>
      </c>
      <c r="AI51" s="486"/>
      <c r="AJ51" s="486"/>
      <c r="AL51" s="486"/>
    </row>
    <row r="52" spans="1:38" ht="14.25" customHeight="1" thickBot="1">
      <c r="A52" s="564"/>
      <c r="B52" s="94" t="s">
        <v>30</v>
      </c>
      <c r="C52" s="93" t="s">
        <v>326</v>
      </c>
      <c r="D52" s="92">
        <v>317.27</v>
      </c>
      <c r="E52" s="245">
        <f t="shared" si="5"/>
        <v>200</v>
      </c>
      <c r="F52" s="92">
        <v>136.87530000000001</v>
      </c>
      <c r="G52" s="82">
        <v>2.5</v>
      </c>
      <c r="H52" s="92">
        <f t="shared" si="6"/>
        <v>342.18825000000004</v>
      </c>
      <c r="I52" s="81">
        <f t="shared" si="7"/>
        <v>3</v>
      </c>
      <c r="J52" s="274">
        <f t="shared" si="17"/>
        <v>600</v>
      </c>
      <c r="K52" s="81">
        <f t="shared" si="1"/>
        <v>257.81174999999996</v>
      </c>
      <c r="L52" s="82">
        <f t="shared" si="8"/>
        <v>57.031375000000004</v>
      </c>
      <c r="M52" s="88" t="s">
        <v>325</v>
      </c>
      <c r="N52" s="90">
        <v>518.48</v>
      </c>
      <c r="O52" s="168">
        <f t="shared" si="9"/>
        <v>200</v>
      </c>
      <c r="P52" s="80">
        <f t="shared" si="21"/>
        <v>136.87530000000001</v>
      </c>
      <c r="Q52" s="79">
        <v>2.5</v>
      </c>
      <c r="R52" s="252">
        <f t="shared" si="11"/>
        <v>342.18825000000004</v>
      </c>
      <c r="S52" s="80">
        <f t="shared" si="18"/>
        <v>600</v>
      </c>
      <c r="T52" s="191">
        <f t="shared" si="19"/>
        <v>257.81174999999996</v>
      </c>
      <c r="U52" s="204" t="str">
        <f t="shared" si="20"/>
        <v>No</v>
      </c>
      <c r="V52" s="223"/>
      <c r="X52" s="59" t="s">
        <v>92</v>
      </c>
      <c r="Y52" s="337">
        <v>0</v>
      </c>
      <c r="Z52" s="337">
        <v>0</v>
      </c>
      <c r="AA52" s="337">
        <v>0</v>
      </c>
      <c r="AB52" s="337">
        <v>0</v>
      </c>
      <c r="AC52" s="337">
        <v>0</v>
      </c>
      <c r="AD52" s="59">
        <f t="shared" si="22"/>
        <v>0</v>
      </c>
      <c r="AE52" s="384"/>
      <c r="AF52" s="486"/>
      <c r="AG52" s="486"/>
      <c r="AI52" s="486"/>
      <c r="AJ52" s="486"/>
      <c r="AL52" s="486"/>
    </row>
    <row r="53" spans="1:38" ht="13.5" thickBot="1">
      <c r="A53" s="562" t="s">
        <v>336</v>
      </c>
      <c r="B53" s="84" t="s">
        <v>28</v>
      </c>
      <c r="C53" s="83" t="s">
        <v>335</v>
      </c>
      <c r="D53" s="82">
        <v>675.17499999999995</v>
      </c>
      <c r="E53" s="243">
        <f t="shared" si="5"/>
        <v>150</v>
      </c>
      <c r="F53" s="82">
        <v>87.5685</v>
      </c>
      <c r="G53" s="82">
        <v>2.5</v>
      </c>
      <c r="H53" s="82">
        <f t="shared" si="6"/>
        <v>218.92124999999999</v>
      </c>
      <c r="I53" s="81">
        <f t="shared" si="7"/>
        <v>2</v>
      </c>
      <c r="J53" s="270">
        <f t="shared" si="17"/>
        <v>300</v>
      </c>
      <c r="K53" s="81">
        <f t="shared" si="1"/>
        <v>81.078750000000014</v>
      </c>
      <c r="L53" s="82">
        <f t="shared" si="8"/>
        <v>72.973749999999995</v>
      </c>
      <c r="M53" s="98" t="s">
        <v>334</v>
      </c>
      <c r="N53" s="80">
        <v>792.93499999999995</v>
      </c>
      <c r="O53" s="168">
        <f t="shared" si="9"/>
        <v>150</v>
      </c>
      <c r="P53" s="80">
        <f t="shared" si="21"/>
        <v>87.5685</v>
      </c>
      <c r="Q53" s="79">
        <v>2.5</v>
      </c>
      <c r="R53" s="251">
        <f t="shared" si="11"/>
        <v>218.92124999999999</v>
      </c>
      <c r="S53" s="80">
        <f t="shared" si="18"/>
        <v>300</v>
      </c>
      <c r="T53" s="191">
        <f t="shared" si="19"/>
        <v>81.078750000000014</v>
      </c>
      <c r="U53" s="204" t="str">
        <f t="shared" si="20"/>
        <v>No</v>
      </c>
      <c r="V53" s="223"/>
      <c r="X53" s="59" t="s">
        <v>93</v>
      </c>
      <c r="Y53" s="337">
        <v>3</v>
      </c>
      <c r="Z53" s="335">
        <v>0</v>
      </c>
      <c r="AA53" s="337">
        <v>0</v>
      </c>
      <c r="AB53" s="337">
        <v>0</v>
      </c>
      <c r="AC53" s="337">
        <v>0</v>
      </c>
      <c r="AD53" s="59">
        <f t="shared" si="22"/>
        <v>3</v>
      </c>
      <c r="AE53" s="384"/>
      <c r="AF53" s="486"/>
      <c r="AG53" s="486"/>
      <c r="AI53" s="486"/>
      <c r="AJ53" s="486"/>
      <c r="AK53" s="495"/>
      <c r="AL53" s="486"/>
    </row>
    <row r="54" spans="1:38" ht="13.5" thickBot="1">
      <c r="A54" s="564"/>
      <c r="B54" s="94" t="s">
        <v>333</v>
      </c>
      <c r="C54" s="93" t="s">
        <v>332</v>
      </c>
      <c r="D54" s="92">
        <v>300.33499999999998</v>
      </c>
      <c r="E54" s="244">
        <f t="shared" si="5"/>
        <v>200</v>
      </c>
      <c r="F54" s="92">
        <v>33.29833</v>
      </c>
      <c r="G54" s="82">
        <v>2.5</v>
      </c>
      <c r="H54" s="92">
        <f t="shared" si="6"/>
        <v>83.245824999999996</v>
      </c>
      <c r="I54" s="81">
        <f t="shared" si="7"/>
        <v>1</v>
      </c>
      <c r="J54" s="272">
        <f t="shared" si="17"/>
        <v>200</v>
      </c>
      <c r="K54" s="81">
        <f t="shared" si="1"/>
        <v>116.754175</v>
      </c>
      <c r="L54" s="82">
        <f t="shared" si="8"/>
        <v>41.622912499999998</v>
      </c>
      <c r="M54" s="88" t="s">
        <v>331</v>
      </c>
      <c r="N54" s="90">
        <v>524.75</v>
      </c>
      <c r="O54" s="168">
        <f t="shared" si="9"/>
        <v>200</v>
      </c>
      <c r="P54" s="80">
        <f t="shared" si="21"/>
        <v>33.29833</v>
      </c>
      <c r="Q54" s="79">
        <v>2.5</v>
      </c>
      <c r="R54" s="252">
        <f t="shared" si="11"/>
        <v>83.245824999999996</v>
      </c>
      <c r="S54" s="80">
        <f t="shared" si="18"/>
        <v>200</v>
      </c>
      <c r="T54" s="191">
        <f t="shared" si="19"/>
        <v>116.754175</v>
      </c>
      <c r="U54" s="204" t="str">
        <f t="shared" si="20"/>
        <v>No</v>
      </c>
      <c r="V54" s="223"/>
      <c r="X54" s="59" t="s">
        <v>94</v>
      </c>
      <c r="Y54" s="337">
        <v>1</v>
      </c>
      <c r="Z54" s="335">
        <v>2</v>
      </c>
      <c r="AA54" s="337">
        <v>0</v>
      </c>
      <c r="AB54" s="337">
        <v>0</v>
      </c>
      <c r="AC54" s="337">
        <v>0</v>
      </c>
      <c r="AD54" s="59">
        <f t="shared" si="22"/>
        <v>3</v>
      </c>
      <c r="AE54" s="18"/>
      <c r="AF54" s="18"/>
      <c r="AG54" s="486"/>
      <c r="AI54" s="486"/>
      <c r="AJ54" s="486"/>
      <c r="AL54" s="486"/>
    </row>
    <row r="55" spans="1:38" ht="13.5" thickBot="1">
      <c r="A55" s="562" t="s">
        <v>330</v>
      </c>
      <c r="B55" s="84" t="s">
        <v>329</v>
      </c>
      <c r="C55" s="83" t="s">
        <v>61</v>
      </c>
      <c r="D55" s="82">
        <v>381.34</v>
      </c>
      <c r="E55" s="243">
        <f t="shared" si="5"/>
        <v>200</v>
      </c>
      <c r="F55" s="82">
        <v>233.80699999999999</v>
      </c>
      <c r="G55" s="82">
        <v>2.5</v>
      </c>
      <c r="H55" s="82">
        <f t="shared" si="6"/>
        <v>584.51749999999993</v>
      </c>
      <c r="I55" s="81">
        <f t="shared" si="7"/>
        <v>4</v>
      </c>
      <c r="J55" s="270">
        <f t="shared" si="17"/>
        <v>800</v>
      </c>
      <c r="K55" s="81">
        <f t="shared" si="1"/>
        <v>215.48250000000007</v>
      </c>
      <c r="L55" s="82">
        <f t="shared" si="8"/>
        <v>73.064687499999991</v>
      </c>
      <c r="M55" s="98" t="s">
        <v>328</v>
      </c>
      <c r="N55" s="80">
        <v>673.16499999999996</v>
      </c>
      <c r="O55" s="168">
        <f t="shared" si="9"/>
        <v>150</v>
      </c>
      <c r="P55" s="80">
        <f t="shared" si="21"/>
        <v>233.80699999999999</v>
      </c>
      <c r="Q55" s="79">
        <v>2.5</v>
      </c>
      <c r="R55" s="251">
        <f t="shared" si="11"/>
        <v>584.51749999999993</v>
      </c>
      <c r="S55" s="80">
        <f t="shared" si="18"/>
        <v>600</v>
      </c>
      <c r="T55" s="191">
        <f t="shared" si="19"/>
        <v>15.482500000000073</v>
      </c>
      <c r="U55" s="204" t="str">
        <f t="shared" si="20"/>
        <v>No</v>
      </c>
      <c r="V55" s="223"/>
      <c r="X55" s="343" t="s">
        <v>492</v>
      </c>
      <c r="Y55" s="344">
        <v>0</v>
      </c>
      <c r="Z55" s="344">
        <v>0</v>
      </c>
      <c r="AA55" s="344">
        <v>0</v>
      </c>
      <c r="AB55" s="344">
        <v>0</v>
      </c>
      <c r="AC55" s="344">
        <v>0</v>
      </c>
      <c r="AD55" s="343">
        <f t="shared" si="22"/>
        <v>0</v>
      </c>
      <c r="AE55" s="384"/>
      <c r="AF55" s="557" t="s">
        <v>597</v>
      </c>
      <c r="AG55" s="558"/>
      <c r="AH55" s="558"/>
      <c r="AI55" s="558"/>
      <c r="AJ55" s="558"/>
      <c r="AK55" s="559"/>
      <c r="AL55" s="154"/>
    </row>
    <row r="56" spans="1:38" ht="14.25" customHeight="1" thickBot="1">
      <c r="A56" s="563"/>
      <c r="B56" s="74" t="s">
        <v>30</v>
      </c>
      <c r="C56" s="73" t="s">
        <v>326</v>
      </c>
      <c r="D56" s="72">
        <v>317.27</v>
      </c>
      <c r="E56" s="244">
        <f t="shared" si="5"/>
        <v>200</v>
      </c>
      <c r="F56" s="72">
        <v>136.87530000000001</v>
      </c>
      <c r="G56" s="82">
        <v>2.5</v>
      </c>
      <c r="H56" s="72">
        <f t="shared" si="6"/>
        <v>342.18825000000004</v>
      </c>
      <c r="I56" s="81">
        <f t="shared" si="7"/>
        <v>3</v>
      </c>
      <c r="J56" s="272">
        <f t="shared" si="17"/>
        <v>600</v>
      </c>
      <c r="K56" s="81">
        <f t="shared" si="1"/>
        <v>257.81174999999996</v>
      </c>
      <c r="L56" s="82">
        <f t="shared" si="8"/>
        <v>57.031375000000004</v>
      </c>
      <c r="M56" s="69" t="s">
        <v>325</v>
      </c>
      <c r="N56" s="70">
        <v>518.48</v>
      </c>
      <c r="O56" s="168">
        <f t="shared" si="9"/>
        <v>200</v>
      </c>
      <c r="P56" s="80">
        <f t="shared" si="21"/>
        <v>136.87530000000001</v>
      </c>
      <c r="Q56" s="79">
        <v>2.5</v>
      </c>
      <c r="R56" s="253">
        <f t="shared" si="11"/>
        <v>342.18825000000004</v>
      </c>
      <c r="S56" s="80">
        <f t="shared" si="18"/>
        <v>600</v>
      </c>
      <c r="T56" s="191">
        <f t="shared" si="19"/>
        <v>257.81174999999996</v>
      </c>
      <c r="U56" s="204" t="str">
        <f t="shared" si="20"/>
        <v>No</v>
      </c>
      <c r="V56" s="223"/>
      <c r="X56" s="290" t="s">
        <v>501</v>
      </c>
      <c r="Y56" s="345">
        <f t="shared" ref="Y56:AD56" si="23">SUM(Y44:Y55)</f>
        <v>5</v>
      </c>
      <c r="Z56" s="345">
        <f t="shared" si="23"/>
        <v>4</v>
      </c>
      <c r="AA56" s="345">
        <f t="shared" si="23"/>
        <v>0</v>
      </c>
      <c r="AB56" s="345">
        <f t="shared" si="23"/>
        <v>0</v>
      </c>
      <c r="AC56" s="345">
        <f t="shared" si="23"/>
        <v>0</v>
      </c>
      <c r="AD56" s="346">
        <f t="shared" si="23"/>
        <v>9</v>
      </c>
      <c r="AE56" s="384"/>
      <c r="AF56" s="331" t="s">
        <v>491</v>
      </c>
      <c r="AG56" s="333" t="s">
        <v>493</v>
      </c>
      <c r="AH56" s="333" t="s">
        <v>494</v>
      </c>
      <c r="AI56" s="333" t="s">
        <v>495</v>
      </c>
      <c r="AJ56" s="333" t="s">
        <v>496</v>
      </c>
      <c r="AK56" s="334" t="s">
        <v>562</v>
      </c>
      <c r="AL56" s="290" t="s">
        <v>415</v>
      </c>
    </row>
    <row r="57" spans="1:38">
      <c r="A57" s="266"/>
      <c r="B57" s="63"/>
      <c r="C57" s="266"/>
      <c r="D57" s="266"/>
      <c r="E57" s="266"/>
      <c r="F57" s="63"/>
      <c r="G57" s="63"/>
      <c r="H57" s="63"/>
      <c r="I57" s="266" t="s">
        <v>415</v>
      </c>
      <c r="J57" s="266">
        <f>SUM(J3:J56)</f>
        <v>46150</v>
      </c>
      <c r="K57" s="266"/>
      <c r="L57" s="266"/>
      <c r="M57" s="266"/>
      <c r="N57" s="266"/>
      <c r="O57" s="266"/>
      <c r="P57" s="266"/>
      <c r="Q57" s="266"/>
      <c r="R57" s="266"/>
      <c r="S57" s="266"/>
      <c r="T57" s="58"/>
      <c r="U57" s="266" t="str">
        <f t="shared" si="20"/>
        <v>No</v>
      </c>
      <c r="X57" s="290" t="s">
        <v>500</v>
      </c>
      <c r="Y57" s="347">
        <f>PRODUCT(Y56*AH47)</f>
        <v>75</v>
      </c>
      <c r="Z57" s="489">
        <f>PRODUCT(Z56*AH48)</f>
        <v>65.4756</v>
      </c>
      <c r="AA57" s="489">
        <f>PRODUCT(AA56*AH49)</f>
        <v>0</v>
      </c>
      <c r="AB57" s="489">
        <f>PRODUCT(AB56*AH50)</f>
        <v>0</v>
      </c>
      <c r="AC57" s="489">
        <f>PRODUCT(AC56*AH51)</f>
        <v>0</v>
      </c>
      <c r="AD57" s="490">
        <f>SUM(Y57:AC57)</f>
        <v>140.47559999999999</v>
      </c>
      <c r="AE57" s="384"/>
      <c r="AF57" s="59" t="s">
        <v>84</v>
      </c>
      <c r="AG57" s="337">
        <f>Y44+Y64</f>
        <v>0</v>
      </c>
      <c r="AH57" s="337">
        <f t="shared" ref="AH57:AK68" si="24">Z44+Z64</f>
        <v>12</v>
      </c>
      <c r="AI57" s="337">
        <f t="shared" si="24"/>
        <v>4</v>
      </c>
      <c r="AJ57" s="337">
        <f t="shared" si="24"/>
        <v>2</v>
      </c>
      <c r="AK57" s="337">
        <f t="shared" si="24"/>
        <v>0</v>
      </c>
      <c r="AL57" s="338">
        <f>SUM(AG57:AK57)</f>
        <v>18</v>
      </c>
    </row>
    <row r="58" spans="1:38">
      <c r="A58" s="266"/>
      <c r="B58" s="63"/>
      <c r="C58" s="266"/>
      <c r="D58" s="266"/>
      <c r="E58" s="266"/>
      <c r="F58" s="266"/>
      <c r="G58" s="63"/>
      <c r="H58" s="63"/>
      <c r="I58" s="63"/>
      <c r="J58" s="266"/>
      <c r="K58" s="266"/>
      <c r="L58" s="266"/>
      <c r="M58" s="266"/>
      <c r="N58" s="266"/>
      <c r="O58" s="266"/>
      <c r="P58" s="266"/>
      <c r="Q58" s="266"/>
      <c r="R58" s="266"/>
      <c r="S58" s="266"/>
      <c r="T58" s="384"/>
      <c r="U58" s="384"/>
      <c r="X58" s="290" t="s">
        <v>499</v>
      </c>
      <c r="Y58" s="347">
        <f>Y56*AG47</f>
        <v>500</v>
      </c>
      <c r="Z58" s="347">
        <f>Z56*AG48</f>
        <v>600</v>
      </c>
      <c r="AA58" s="347">
        <f>AA56*AG49</f>
        <v>0</v>
      </c>
      <c r="AB58" s="347">
        <f>AB56*AG50</f>
        <v>0</v>
      </c>
      <c r="AC58" s="347">
        <f>AC56*AG51</f>
        <v>0</v>
      </c>
      <c r="AD58" s="290">
        <f>SUM(Y58:AC58)</f>
        <v>1100</v>
      </c>
      <c r="AE58" s="384"/>
      <c r="AF58" s="59" t="s">
        <v>85</v>
      </c>
      <c r="AG58" s="337">
        <f t="shared" ref="AG58:AG68" si="25">Y45+Y65</f>
        <v>0</v>
      </c>
      <c r="AH58" s="337">
        <f t="shared" si="24"/>
        <v>18</v>
      </c>
      <c r="AI58" s="337">
        <f t="shared" si="24"/>
        <v>10</v>
      </c>
      <c r="AJ58" s="337">
        <f t="shared" si="24"/>
        <v>0</v>
      </c>
      <c r="AK58" s="337">
        <f t="shared" si="24"/>
        <v>7</v>
      </c>
      <c r="AL58" s="59">
        <f t="shared" ref="AL58:AL68" si="26">SUM(AG58:AK58)</f>
        <v>35</v>
      </c>
    </row>
    <row r="59" spans="1:38">
      <c r="A59" s="266"/>
      <c r="B59" s="63"/>
      <c r="C59" s="266"/>
      <c r="D59" s="266"/>
      <c r="E59" s="266"/>
      <c r="F59" s="266"/>
      <c r="G59" s="63"/>
      <c r="H59" s="63"/>
      <c r="I59" s="63"/>
      <c r="J59" s="266"/>
      <c r="K59" s="266"/>
      <c r="L59" s="266"/>
      <c r="M59" s="266"/>
      <c r="N59" s="266"/>
      <c r="O59" s="266"/>
      <c r="P59" s="266"/>
      <c r="Q59" s="266"/>
      <c r="R59" s="266"/>
      <c r="S59" s="266"/>
      <c r="T59" s="384"/>
      <c r="U59" s="266"/>
      <c r="AF59" s="59" t="s">
        <v>86</v>
      </c>
      <c r="AG59" s="337">
        <f t="shared" si="25"/>
        <v>0</v>
      </c>
      <c r="AH59" s="337">
        <f t="shared" si="24"/>
        <v>0</v>
      </c>
      <c r="AI59" s="337">
        <f t="shared" si="24"/>
        <v>6</v>
      </c>
      <c r="AJ59" s="337">
        <f t="shared" si="24"/>
        <v>0</v>
      </c>
      <c r="AK59" s="337">
        <f t="shared" si="24"/>
        <v>4</v>
      </c>
      <c r="AL59" s="59">
        <f t="shared" si="26"/>
        <v>10</v>
      </c>
    </row>
    <row r="60" spans="1:38">
      <c r="A60" s="266"/>
      <c r="B60" s="63"/>
      <c r="C60" s="266"/>
      <c r="D60" s="266"/>
      <c r="E60" s="266"/>
      <c r="F60" s="266"/>
      <c r="G60" s="63"/>
      <c r="H60" s="63"/>
      <c r="I60" s="63"/>
      <c r="J60" s="266"/>
      <c r="K60" s="266"/>
      <c r="L60" s="266"/>
      <c r="M60" s="266"/>
      <c r="N60" s="266"/>
      <c r="O60" s="266"/>
      <c r="P60" s="266"/>
      <c r="Q60" s="266"/>
      <c r="R60" s="266"/>
      <c r="S60" s="266"/>
      <c r="T60" s="384"/>
      <c r="U60" s="266"/>
      <c r="AF60" s="59" t="s">
        <v>87</v>
      </c>
      <c r="AG60" s="337">
        <f t="shared" si="25"/>
        <v>0</v>
      </c>
      <c r="AH60" s="337">
        <f t="shared" si="24"/>
        <v>33</v>
      </c>
      <c r="AI60" s="337">
        <f t="shared" si="24"/>
        <v>44</v>
      </c>
      <c r="AJ60" s="337">
        <f t="shared" si="24"/>
        <v>25</v>
      </c>
      <c r="AK60" s="337">
        <f t="shared" si="24"/>
        <v>0</v>
      </c>
      <c r="AL60" s="59">
        <f t="shared" si="26"/>
        <v>102</v>
      </c>
    </row>
    <row r="61" spans="1:38">
      <c r="A61" s="266"/>
      <c r="B61" s="63"/>
      <c r="C61" s="266"/>
      <c r="D61" s="266"/>
      <c r="E61" s="266"/>
      <c r="F61" s="266"/>
      <c r="G61" s="63"/>
      <c r="H61" s="63"/>
      <c r="I61" s="63"/>
      <c r="J61" s="266"/>
      <c r="K61" s="266"/>
      <c r="L61" s="266"/>
      <c r="M61" s="266"/>
      <c r="N61" s="266"/>
      <c r="O61" s="266"/>
      <c r="P61" s="266"/>
      <c r="Q61" s="266"/>
      <c r="R61" s="266"/>
      <c r="S61" s="266"/>
      <c r="T61" s="384"/>
      <c r="U61" s="266"/>
      <c r="AF61" s="59" t="s">
        <v>88</v>
      </c>
      <c r="AG61" s="337">
        <f t="shared" si="25"/>
        <v>0</v>
      </c>
      <c r="AH61" s="337">
        <f t="shared" si="24"/>
        <v>0</v>
      </c>
      <c r="AI61" s="337">
        <f t="shared" si="24"/>
        <v>19</v>
      </c>
      <c r="AJ61" s="337">
        <f t="shared" si="24"/>
        <v>1</v>
      </c>
      <c r="AK61" s="337">
        <f t="shared" si="24"/>
        <v>0</v>
      </c>
      <c r="AL61" s="59">
        <f t="shared" si="26"/>
        <v>20</v>
      </c>
    </row>
    <row r="62" spans="1:38">
      <c r="A62" s="266"/>
      <c r="B62" s="64"/>
      <c r="C62" s="266"/>
      <c r="D62" s="266"/>
      <c r="E62" s="266"/>
      <c r="F62" s="266"/>
      <c r="G62" s="63"/>
      <c r="H62" s="63"/>
      <c r="I62" s="63"/>
      <c r="J62" s="266"/>
      <c r="K62" s="266"/>
      <c r="L62" s="266"/>
      <c r="M62" s="266"/>
      <c r="N62" s="266"/>
      <c r="O62" s="266"/>
      <c r="P62" s="266"/>
      <c r="Q62" s="266"/>
      <c r="R62" s="266"/>
      <c r="S62" s="266"/>
      <c r="T62" s="384"/>
      <c r="U62" s="266"/>
      <c r="X62" s="557" t="s">
        <v>596</v>
      </c>
      <c r="Y62" s="558"/>
      <c r="Z62" s="558"/>
      <c r="AA62" s="558"/>
      <c r="AB62" s="558"/>
      <c r="AC62" s="559"/>
      <c r="AD62" s="154"/>
      <c r="AF62" s="59" t="s">
        <v>89</v>
      </c>
      <c r="AG62" s="337">
        <f t="shared" si="25"/>
        <v>0</v>
      </c>
      <c r="AH62" s="337">
        <f t="shared" si="24"/>
        <v>21</v>
      </c>
      <c r="AI62" s="337">
        <f t="shared" si="24"/>
        <v>2</v>
      </c>
      <c r="AJ62" s="337">
        <f t="shared" si="24"/>
        <v>1</v>
      </c>
      <c r="AK62" s="337">
        <f t="shared" si="24"/>
        <v>0</v>
      </c>
      <c r="AL62" s="59">
        <f t="shared" si="26"/>
        <v>24</v>
      </c>
    </row>
    <row r="63" spans="1:38">
      <c r="A63" s="266"/>
      <c r="B63" s="64"/>
      <c r="C63" s="266"/>
      <c r="D63" s="266"/>
      <c r="E63" s="266"/>
      <c r="F63" s="266"/>
      <c r="G63" s="63"/>
      <c r="H63" s="63"/>
      <c r="I63" s="63"/>
      <c r="J63" s="266"/>
      <c r="K63" s="266"/>
      <c r="L63" s="266"/>
      <c r="M63" s="266"/>
      <c r="N63" s="266"/>
      <c r="O63" s="266"/>
      <c r="P63" s="266"/>
      <c r="Q63" s="266"/>
      <c r="R63" s="266"/>
      <c r="S63" s="266"/>
      <c r="T63" s="384"/>
      <c r="U63" s="266"/>
      <c r="X63" s="331" t="s">
        <v>491</v>
      </c>
      <c r="Y63" s="333" t="s">
        <v>493</v>
      </c>
      <c r="Z63" s="333" t="s">
        <v>494</v>
      </c>
      <c r="AA63" s="333" t="s">
        <v>495</v>
      </c>
      <c r="AB63" s="333" t="s">
        <v>496</v>
      </c>
      <c r="AC63" s="334" t="s">
        <v>562</v>
      </c>
      <c r="AD63" s="290" t="s">
        <v>415</v>
      </c>
      <c r="AF63" s="59" t="s">
        <v>90</v>
      </c>
      <c r="AG63" s="337">
        <f t="shared" si="25"/>
        <v>0</v>
      </c>
      <c r="AH63" s="337">
        <f t="shared" si="24"/>
        <v>0</v>
      </c>
      <c r="AI63" s="337">
        <f t="shared" si="24"/>
        <v>1</v>
      </c>
      <c r="AJ63" s="337">
        <f t="shared" si="24"/>
        <v>4</v>
      </c>
      <c r="AK63" s="337">
        <f t="shared" si="24"/>
        <v>3</v>
      </c>
      <c r="AL63" s="59">
        <f t="shared" si="26"/>
        <v>8</v>
      </c>
    </row>
    <row r="64" spans="1:38">
      <c r="A64" s="266"/>
      <c r="B64" s="64"/>
      <c r="C64" s="266"/>
      <c r="D64" s="266"/>
      <c r="E64" s="266"/>
      <c r="F64" s="266"/>
      <c r="G64" s="63"/>
      <c r="H64" s="63"/>
      <c r="I64" s="63"/>
      <c r="J64" s="266"/>
      <c r="K64" s="266"/>
      <c r="L64" s="266"/>
      <c r="M64" s="266"/>
      <c r="N64" s="266"/>
      <c r="O64" s="266"/>
      <c r="P64" s="266"/>
      <c r="Q64" s="266"/>
      <c r="R64" s="266"/>
      <c r="S64" s="266"/>
      <c r="T64" s="384"/>
      <c r="U64" s="266"/>
      <c r="X64" s="59" t="s">
        <v>84</v>
      </c>
      <c r="Y64" s="337">
        <v>0</v>
      </c>
      <c r="Z64" s="337">
        <f>12</f>
        <v>12</v>
      </c>
      <c r="AA64" s="487">
        <f>2+2</f>
        <v>4</v>
      </c>
      <c r="AB64" s="487">
        <f>2</f>
        <v>2</v>
      </c>
      <c r="AC64" s="337">
        <v>0</v>
      </c>
      <c r="AD64" s="338">
        <f>SUM(Y64:AC64)</f>
        <v>18</v>
      </c>
      <c r="AF64" s="59" t="s">
        <v>91</v>
      </c>
      <c r="AG64" s="337">
        <f t="shared" si="25"/>
        <v>1</v>
      </c>
      <c r="AH64" s="337">
        <f t="shared" si="24"/>
        <v>24</v>
      </c>
      <c r="AI64" s="337">
        <f t="shared" si="24"/>
        <v>4</v>
      </c>
      <c r="AJ64" s="337">
        <f t="shared" si="24"/>
        <v>2</v>
      </c>
      <c r="AK64" s="337">
        <f t="shared" si="24"/>
        <v>0</v>
      </c>
      <c r="AL64" s="59">
        <f t="shared" si="26"/>
        <v>31</v>
      </c>
    </row>
    <row r="65" spans="1:38">
      <c r="A65" s="266"/>
      <c r="B65" s="63"/>
      <c r="C65" s="266"/>
      <c r="D65" s="266"/>
      <c r="E65" s="266"/>
      <c r="N65" s="266"/>
      <c r="O65" s="266"/>
      <c r="P65" s="266"/>
      <c r="Q65" s="266"/>
      <c r="S65" s="266"/>
      <c r="T65" s="384"/>
      <c r="U65" s="266"/>
      <c r="X65" s="59" t="s">
        <v>85</v>
      </c>
      <c r="Y65" s="337">
        <v>0</v>
      </c>
      <c r="Z65" s="337">
        <f>9+4+5</f>
        <v>18</v>
      </c>
      <c r="AA65" s="337">
        <f>7+3</f>
        <v>10</v>
      </c>
      <c r="AB65" s="337">
        <v>0</v>
      </c>
      <c r="AC65" s="337">
        <f>4+3</f>
        <v>7</v>
      </c>
      <c r="AD65" s="59">
        <f t="shared" ref="AD65:AD75" si="27">SUM(Y65:AC65)</f>
        <v>35</v>
      </c>
      <c r="AF65" s="59" t="s">
        <v>92</v>
      </c>
      <c r="AG65" s="337">
        <f t="shared" si="25"/>
        <v>0</v>
      </c>
      <c r="AH65" s="337">
        <f t="shared" si="24"/>
        <v>9</v>
      </c>
      <c r="AI65" s="337">
        <f t="shared" si="24"/>
        <v>21</v>
      </c>
      <c r="AJ65" s="337">
        <f t="shared" si="24"/>
        <v>0</v>
      </c>
      <c r="AK65" s="337">
        <f t="shared" si="24"/>
        <v>0</v>
      </c>
      <c r="AL65" s="59">
        <f t="shared" si="26"/>
        <v>30</v>
      </c>
    </row>
    <row r="66" spans="1:38">
      <c r="A66" s="266"/>
      <c r="B66" s="63"/>
      <c r="C66" s="266"/>
      <c r="D66" s="266"/>
      <c r="E66" s="266"/>
      <c r="N66" s="266"/>
      <c r="O66" s="266"/>
      <c r="P66" s="266"/>
      <c r="Q66" s="266"/>
      <c r="S66" s="266"/>
      <c r="T66" s="384"/>
      <c r="U66" s="266"/>
      <c r="X66" s="59" t="s">
        <v>86</v>
      </c>
      <c r="Y66" s="337">
        <v>0</v>
      </c>
      <c r="Z66" s="337">
        <v>0</v>
      </c>
      <c r="AA66" s="335">
        <f>5+1</f>
        <v>6</v>
      </c>
      <c r="AB66" s="337">
        <v>0</v>
      </c>
      <c r="AC66" s="337">
        <f>4</f>
        <v>4</v>
      </c>
      <c r="AD66" s="59">
        <f t="shared" si="27"/>
        <v>10</v>
      </c>
      <c r="AF66" s="59" t="s">
        <v>93</v>
      </c>
      <c r="AG66" s="337">
        <f t="shared" si="25"/>
        <v>3</v>
      </c>
      <c r="AH66" s="337">
        <f t="shared" si="24"/>
        <v>0</v>
      </c>
      <c r="AI66" s="337">
        <f t="shared" si="24"/>
        <v>3</v>
      </c>
      <c r="AJ66" s="337">
        <f t="shared" si="24"/>
        <v>10</v>
      </c>
      <c r="AK66" s="337">
        <f t="shared" si="24"/>
        <v>0</v>
      </c>
      <c r="AL66" s="59">
        <f t="shared" si="26"/>
        <v>16</v>
      </c>
    </row>
    <row r="67" spans="1:38">
      <c r="A67" s="266"/>
      <c r="B67" s="63"/>
      <c r="C67" s="266"/>
      <c r="D67" s="266"/>
      <c r="E67" s="266"/>
      <c r="N67" s="266"/>
      <c r="O67" s="266"/>
      <c r="P67" s="266"/>
      <c r="Q67" s="266"/>
      <c r="S67" s="266"/>
      <c r="T67" s="384"/>
      <c r="U67" s="266"/>
      <c r="X67" s="59" t="s">
        <v>87</v>
      </c>
      <c r="Y67" s="337">
        <v>0</v>
      </c>
      <c r="Z67" s="488">
        <f>12+9+10</f>
        <v>31</v>
      </c>
      <c r="AA67" s="337">
        <f>7+5+10+18+4</f>
        <v>44</v>
      </c>
      <c r="AB67" s="337">
        <f>4+10+11</f>
        <v>25</v>
      </c>
      <c r="AC67" s="337">
        <v>0</v>
      </c>
      <c r="AD67" s="59">
        <f t="shared" si="27"/>
        <v>100</v>
      </c>
      <c r="AF67" s="59" t="s">
        <v>94</v>
      </c>
      <c r="AG67" s="337">
        <f t="shared" si="25"/>
        <v>1</v>
      </c>
      <c r="AH67" s="337">
        <f t="shared" si="24"/>
        <v>4</v>
      </c>
      <c r="AI67" s="337">
        <f t="shared" si="24"/>
        <v>4</v>
      </c>
      <c r="AJ67" s="337">
        <f t="shared" si="24"/>
        <v>11</v>
      </c>
      <c r="AK67" s="337">
        <f t="shared" si="24"/>
        <v>0</v>
      </c>
      <c r="AL67" s="59">
        <f t="shared" si="26"/>
        <v>20</v>
      </c>
    </row>
    <row r="68" spans="1:38">
      <c r="A68" s="266"/>
      <c r="B68" s="63"/>
      <c r="C68" s="266"/>
      <c r="D68" s="266"/>
      <c r="E68" s="266"/>
      <c r="F68" s="266"/>
      <c r="G68" s="63"/>
      <c r="H68" s="63"/>
      <c r="I68" s="63"/>
      <c r="J68" s="266"/>
      <c r="K68" s="266"/>
      <c r="L68" s="266"/>
      <c r="M68" s="266"/>
      <c r="N68" s="266"/>
      <c r="O68" s="266"/>
      <c r="P68" s="266"/>
      <c r="Q68" s="266"/>
      <c r="R68" s="266"/>
      <c r="S68" s="266"/>
      <c r="T68" s="384"/>
      <c r="U68" s="266"/>
      <c r="X68" s="59" t="s">
        <v>88</v>
      </c>
      <c r="Y68" s="337">
        <v>0</v>
      </c>
      <c r="Z68" s="337">
        <v>0</v>
      </c>
      <c r="AA68" s="337">
        <f>2+3+1+10+1+2</f>
        <v>19</v>
      </c>
      <c r="AB68" s="337">
        <f>1</f>
        <v>1</v>
      </c>
      <c r="AC68" s="337">
        <v>0</v>
      </c>
      <c r="AD68" s="59">
        <f t="shared" si="27"/>
        <v>20</v>
      </c>
      <c r="AF68" s="343" t="s">
        <v>492</v>
      </c>
      <c r="AG68" s="337">
        <f t="shared" si="25"/>
        <v>0</v>
      </c>
      <c r="AH68" s="337">
        <f t="shared" si="24"/>
        <v>1</v>
      </c>
      <c r="AI68" s="337">
        <f t="shared" si="24"/>
        <v>4</v>
      </c>
      <c r="AJ68" s="337">
        <f t="shared" si="24"/>
        <v>0</v>
      </c>
      <c r="AK68" s="337">
        <f t="shared" si="24"/>
        <v>0</v>
      </c>
      <c r="AL68" s="343">
        <f t="shared" si="26"/>
        <v>5</v>
      </c>
    </row>
    <row r="69" spans="1:38">
      <c r="B69" s="63"/>
      <c r="C69" s="266"/>
      <c r="D69" s="266"/>
      <c r="E69" s="266"/>
      <c r="F69" s="266"/>
      <c r="G69" s="63"/>
      <c r="H69" s="63"/>
      <c r="I69" s="63"/>
      <c r="J69" s="266"/>
      <c r="K69" s="266"/>
      <c r="L69" s="266"/>
      <c r="M69" s="266"/>
      <c r="N69" s="266"/>
      <c r="O69" s="266"/>
      <c r="P69" s="266"/>
      <c r="Q69" s="266"/>
      <c r="R69" s="266"/>
      <c r="S69" s="266"/>
      <c r="T69" s="384"/>
      <c r="U69" s="266"/>
      <c r="W69" s="57"/>
      <c r="X69" s="59" t="s">
        <v>89</v>
      </c>
      <c r="Y69" s="337">
        <v>0</v>
      </c>
      <c r="Z69" s="337">
        <f>9+9+3</f>
        <v>21</v>
      </c>
      <c r="AA69" s="337">
        <f>2</f>
        <v>2</v>
      </c>
      <c r="AB69" s="337">
        <f>1</f>
        <v>1</v>
      </c>
      <c r="AC69" s="337">
        <v>0</v>
      </c>
      <c r="AD69" s="59">
        <f t="shared" si="27"/>
        <v>24</v>
      </c>
      <c r="AF69" s="290" t="s">
        <v>501</v>
      </c>
      <c r="AG69" s="345">
        <f t="shared" ref="AG69:AL69" si="28">SUM(AG57:AG68)</f>
        <v>5</v>
      </c>
      <c r="AH69" s="345">
        <f t="shared" si="28"/>
        <v>122</v>
      </c>
      <c r="AI69" s="345">
        <f t="shared" si="28"/>
        <v>122</v>
      </c>
      <c r="AJ69" s="345">
        <f t="shared" si="28"/>
        <v>56</v>
      </c>
      <c r="AK69" s="345">
        <f t="shared" si="28"/>
        <v>14</v>
      </c>
      <c r="AL69" s="346">
        <f t="shared" si="28"/>
        <v>319</v>
      </c>
    </row>
    <row r="70" spans="1:38">
      <c r="B70" s="63"/>
      <c r="C70" s="266"/>
      <c r="D70" s="266"/>
      <c r="E70" s="266"/>
      <c r="F70" s="266"/>
      <c r="G70" s="63"/>
      <c r="H70" s="63"/>
      <c r="I70" s="63"/>
      <c r="J70" s="266"/>
      <c r="K70" s="266"/>
      <c r="L70" s="266"/>
      <c r="M70" s="266"/>
      <c r="N70" s="266"/>
      <c r="O70" s="266"/>
      <c r="P70" s="266"/>
      <c r="Q70" s="266"/>
      <c r="R70" s="266"/>
      <c r="S70" s="266"/>
      <c r="T70" s="384"/>
      <c r="U70" s="266"/>
      <c r="W70" s="57"/>
      <c r="X70" s="59" t="s">
        <v>90</v>
      </c>
      <c r="Y70" s="337">
        <v>0</v>
      </c>
      <c r="Z70" s="335">
        <v>0</v>
      </c>
      <c r="AA70" s="335">
        <f>1</f>
        <v>1</v>
      </c>
      <c r="AB70" s="337">
        <f>4</f>
        <v>4</v>
      </c>
      <c r="AC70" s="337">
        <f>3</f>
        <v>3</v>
      </c>
      <c r="AD70" s="59">
        <f t="shared" si="27"/>
        <v>8</v>
      </c>
      <c r="AF70" s="290" t="s">
        <v>500</v>
      </c>
      <c r="AG70" s="347">
        <f>PRODUCT(AG69*AH47)</f>
        <v>75</v>
      </c>
      <c r="AH70" s="489">
        <f>PRODUCT(AH69*AH48)</f>
        <v>1997.0057999999999</v>
      </c>
      <c r="AI70" s="489">
        <f>PRODUCT(AI69*AH49)</f>
        <v>2043.0974000000001</v>
      </c>
      <c r="AJ70" s="489">
        <f>PRODUCT(AJ69*AH50)</f>
        <v>945.64960000000008</v>
      </c>
      <c r="AK70" s="489">
        <f>PRODUCT(AK69*AH51)</f>
        <v>238</v>
      </c>
      <c r="AL70" s="490">
        <f>SUM(AG70:AK70)</f>
        <v>5298.7527999999993</v>
      </c>
    </row>
    <row r="71" spans="1:38">
      <c r="B71" s="63"/>
      <c r="C71" s="266"/>
      <c r="D71" s="266"/>
      <c r="E71" s="266"/>
      <c r="F71" s="266"/>
      <c r="G71" s="63"/>
      <c r="H71" s="63"/>
      <c r="I71" s="63"/>
      <c r="J71" s="266"/>
      <c r="K71" s="266"/>
      <c r="L71" s="266"/>
      <c r="M71" s="266"/>
      <c r="N71" s="266"/>
      <c r="O71" s="266"/>
      <c r="P71" s="266"/>
      <c r="Q71" s="266"/>
      <c r="R71" s="266"/>
      <c r="S71" s="266"/>
      <c r="T71" s="384"/>
      <c r="U71" s="266"/>
      <c r="W71" s="57"/>
      <c r="X71" s="59" t="s">
        <v>91</v>
      </c>
      <c r="Y71" s="337">
        <v>0</v>
      </c>
      <c r="Z71" s="335">
        <f>4+10+3+4+2+1</f>
        <v>24</v>
      </c>
      <c r="AA71" s="337">
        <f>2+2</f>
        <v>4</v>
      </c>
      <c r="AB71" s="337">
        <f>2</f>
        <v>2</v>
      </c>
      <c r="AC71" s="337">
        <v>0</v>
      </c>
      <c r="AD71" s="59">
        <f t="shared" si="27"/>
        <v>30</v>
      </c>
      <c r="AF71" s="290" t="s">
        <v>563</v>
      </c>
      <c r="AG71" s="347">
        <f>AG69*AG47</f>
        <v>500</v>
      </c>
      <c r="AH71" s="347">
        <f>AH69*AG48</f>
        <v>18300</v>
      </c>
      <c r="AI71" s="347">
        <f>AI69*AG49</f>
        <v>24400</v>
      </c>
      <c r="AJ71" s="347">
        <f>AJ69*AG50</f>
        <v>14000</v>
      </c>
      <c r="AK71" s="347">
        <f>AK69*AG51</f>
        <v>4200</v>
      </c>
      <c r="AL71" s="290">
        <f>SUM(AG71:AK71)</f>
        <v>61400</v>
      </c>
    </row>
    <row r="72" spans="1:38">
      <c r="B72" s="63"/>
      <c r="C72" s="266"/>
      <c r="D72" s="266"/>
      <c r="E72" s="266"/>
      <c r="F72" s="266"/>
      <c r="G72" s="63"/>
      <c r="H72" s="63"/>
      <c r="I72" s="63"/>
      <c r="J72" s="266"/>
      <c r="K72" s="266"/>
      <c r="L72" s="266"/>
      <c r="M72" s="266"/>
      <c r="N72" s="266"/>
      <c r="O72" s="266"/>
      <c r="P72" s="266"/>
      <c r="Q72" s="266"/>
      <c r="R72" s="266"/>
      <c r="S72" s="266"/>
      <c r="T72" s="384"/>
      <c r="U72" s="266"/>
      <c r="W72" s="57"/>
      <c r="X72" s="59" t="s">
        <v>92</v>
      </c>
      <c r="Y72" s="337">
        <v>0</v>
      </c>
      <c r="Z72" s="335">
        <f>5+4</f>
        <v>9</v>
      </c>
      <c r="AA72" s="337">
        <f>18+3</f>
        <v>21</v>
      </c>
      <c r="AB72" s="337">
        <v>0</v>
      </c>
      <c r="AC72" s="337">
        <v>0</v>
      </c>
      <c r="AD72" s="59">
        <f t="shared" si="27"/>
        <v>30</v>
      </c>
      <c r="AG72" s="486"/>
      <c r="AH72" s="335"/>
      <c r="AI72" s="335"/>
      <c r="AJ72" s="337"/>
      <c r="AK72" s="337"/>
      <c r="AL72" s="337"/>
    </row>
    <row r="73" spans="1:38">
      <c r="B73" s="63"/>
      <c r="C73" s="266"/>
      <c r="D73" s="266"/>
      <c r="E73" s="266"/>
      <c r="F73" s="266"/>
      <c r="G73" s="63"/>
      <c r="H73" s="63"/>
      <c r="I73" s="63"/>
      <c r="J73" s="266"/>
      <c r="K73" s="266"/>
      <c r="L73" s="266"/>
      <c r="M73" s="266"/>
      <c r="N73" s="266"/>
      <c r="O73" s="266"/>
      <c r="P73" s="266"/>
      <c r="Q73" s="266"/>
      <c r="R73" s="266"/>
      <c r="S73" s="266"/>
      <c r="T73" s="384"/>
      <c r="U73" s="266"/>
      <c r="W73" s="57"/>
      <c r="X73" s="59" t="s">
        <v>93</v>
      </c>
      <c r="Y73" s="337">
        <v>0</v>
      </c>
      <c r="Z73" s="335">
        <v>0</v>
      </c>
      <c r="AA73" s="337">
        <f>2+1</f>
        <v>3</v>
      </c>
      <c r="AB73" s="337">
        <f>10</f>
        <v>10</v>
      </c>
      <c r="AC73" s="337">
        <v>0</v>
      </c>
      <c r="AD73" s="59">
        <f t="shared" si="27"/>
        <v>13</v>
      </c>
    </row>
    <row r="74" spans="1:38" ht="15">
      <c r="B74" s="63"/>
      <c r="C74" s="266"/>
      <c r="D74" s="266"/>
      <c r="E74" s="266"/>
      <c r="F74" s="266"/>
      <c r="G74" s="63"/>
      <c r="H74" s="63"/>
      <c r="I74" s="63"/>
      <c r="J74" s="266"/>
      <c r="K74" s="266"/>
      <c r="L74" s="266"/>
      <c r="M74" s="266"/>
      <c r="N74" s="266"/>
      <c r="O74" s="266"/>
      <c r="P74" s="266"/>
      <c r="Q74" s="266"/>
      <c r="R74" s="266"/>
      <c r="S74" s="266"/>
      <c r="T74" s="384"/>
      <c r="U74" s="266"/>
      <c r="W74" s="57"/>
      <c r="X74" s="59" t="s">
        <v>94</v>
      </c>
      <c r="Y74" s="337">
        <v>0</v>
      </c>
      <c r="Z74" s="488">
        <f>2</f>
        <v>2</v>
      </c>
      <c r="AA74" s="337">
        <f>3+1</f>
        <v>4</v>
      </c>
      <c r="AB74" s="337">
        <f>11</f>
        <v>11</v>
      </c>
      <c r="AC74" s="337">
        <v>0</v>
      </c>
      <c r="AD74" s="59">
        <f t="shared" si="27"/>
        <v>17</v>
      </c>
      <c r="AF74" s="435">
        <f>AD56+AD76</f>
        <v>319</v>
      </c>
    </row>
    <row r="75" spans="1:38" ht="15">
      <c r="B75" s="63"/>
      <c r="C75" s="266"/>
      <c r="D75" s="266"/>
      <c r="E75" s="266"/>
      <c r="F75" s="266"/>
      <c r="G75" s="63"/>
      <c r="H75" s="63"/>
      <c r="I75" s="63"/>
      <c r="J75" s="266"/>
      <c r="K75" s="266"/>
      <c r="L75" s="266"/>
      <c r="M75" s="266"/>
      <c r="N75" s="266"/>
      <c r="O75" s="266"/>
      <c r="P75" s="266"/>
      <c r="Q75" s="266"/>
      <c r="R75" s="266"/>
      <c r="S75" s="266"/>
      <c r="T75" s="384"/>
      <c r="U75" s="266"/>
      <c r="X75" s="343" t="s">
        <v>492</v>
      </c>
      <c r="Y75" s="337">
        <v>0</v>
      </c>
      <c r="Z75" s="344">
        <f>1</f>
        <v>1</v>
      </c>
      <c r="AA75" s="344">
        <f>4</f>
        <v>4</v>
      </c>
      <c r="AB75" s="344">
        <v>0</v>
      </c>
      <c r="AC75" s="337">
        <v>0</v>
      </c>
      <c r="AD75" s="343">
        <f t="shared" si="27"/>
        <v>5</v>
      </c>
      <c r="AF75" s="496">
        <f t="shared" ref="AF75:AF76" si="29">AD57+AD77</f>
        <v>5298.7527999999993</v>
      </c>
    </row>
    <row r="76" spans="1:38" ht="15">
      <c r="B76" s="63"/>
      <c r="C76" s="266"/>
      <c r="D76" s="266"/>
      <c r="E76" s="266"/>
      <c r="F76" s="266"/>
      <c r="G76" s="63"/>
      <c r="H76" s="63"/>
      <c r="I76" s="63"/>
      <c r="J76" s="266"/>
      <c r="K76" s="266"/>
      <c r="L76" s="266"/>
      <c r="M76" s="266"/>
      <c r="N76" s="266"/>
      <c r="O76" s="266"/>
      <c r="P76" s="266"/>
      <c r="Q76" s="266"/>
      <c r="R76" s="266"/>
      <c r="S76" s="266"/>
      <c r="T76" s="384"/>
      <c r="U76" s="266"/>
      <c r="X76" s="290" t="s">
        <v>501</v>
      </c>
      <c r="Y76" s="345">
        <f t="shared" ref="Y76:AD76" si="30">SUM(Y64:Y75)</f>
        <v>0</v>
      </c>
      <c r="Z76" s="345">
        <f t="shared" si="30"/>
        <v>118</v>
      </c>
      <c r="AA76" s="345">
        <f t="shared" si="30"/>
        <v>122</v>
      </c>
      <c r="AB76" s="345">
        <f t="shared" si="30"/>
        <v>56</v>
      </c>
      <c r="AC76" s="345">
        <f t="shared" si="30"/>
        <v>14</v>
      </c>
      <c r="AD76" s="346">
        <f t="shared" si="30"/>
        <v>310</v>
      </c>
      <c r="AF76" s="435">
        <f t="shared" si="29"/>
        <v>61400</v>
      </c>
    </row>
    <row r="77" spans="1:38">
      <c r="B77" s="63"/>
      <c r="C77" s="266"/>
      <c r="D77" s="266"/>
      <c r="E77" s="266"/>
      <c r="F77" s="266"/>
      <c r="G77" s="63"/>
      <c r="H77" s="63"/>
      <c r="I77" s="63"/>
      <c r="J77" s="266"/>
      <c r="K77" s="266"/>
      <c r="L77" s="266"/>
      <c r="M77" s="266"/>
      <c r="N77" s="266"/>
      <c r="O77" s="266"/>
      <c r="P77" s="266"/>
      <c r="Q77" s="266"/>
      <c r="R77" s="266"/>
      <c r="S77" s="266"/>
      <c r="T77" s="384"/>
      <c r="U77" s="266"/>
      <c r="X77" s="290" t="s">
        <v>500</v>
      </c>
      <c r="Y77" s="489">
        <f>PRODUCT(Y76*AH47)</f>
        <v>0</v>
      </c>
      <c r="Z77" s="489">
        <f>PRODUCT(Z76*AH48)</f>
        <v>1931.5301999999999</v>
      </c>
      <c r="AA77" s="489">
        <f>PRODUCT(AA76*AH49)</f>
        <v>2043.0974000000001</v>
      </c>
      <c r="AB77" s="489">
        <f>PRODUCT(AB76*AH50)</f>
        <v>945.64960000000008</v>
      </c>
      <c r="AC77" s="489">
        <f>PRODUCT(AC76*AH51)</f>
        <v>238</v>
      </c>
      <c r="AD77" s="490">
        <f>SUM(Y77:AC77)</f>
        <v>5158.2771999999995</v>
      </c>
    </row>
    <row r="78" spans="1:38">
      <c r="B78" s="63"/>
      <c r="C78" s="266"/>
      <c r="D78" s="266"/>
      <c r="E78" s="266"/>
      <c r="F78" s="266"/>
      <c r="G78" s="63"/>
      <c r="H78" s="63"/>
      <c r="I78" s="63"/>
      <c r="J78" s="266"/>
      <c r="K78" s="266"/>
      <c r="L78" s="266"/>
      <c r="M78" s="266"/>
      <c r="N78" s="266"/>
      <c r="O78" s="266"/>
      <c r="P78" s="266"/>
      <c r="Q78" s="266"/>
      <c r="R78" s="266"/>
      <c r="S78" s="266"/>
      <c r="T78" s="384"/>
      <c r="U78" s="266"/>
      <c r="X78" s="290" t="s">
        <v>563</v>
      </c>
      <c r="Y78" s="347">
        <f>Y76*AG47</f>
        <v>0</v>
      </c>
      <c r="Z78" s="347">
        <f>Z76*AG48</f>
        <v>17700</v>
      </c>
      <c r="AA78" s="347">
        <f>AA76*AG49</f>
        <v>24400</v>
      </c>
      <c r="AB78" s="347">
        <f>AB76*AG50</f>
        <v>14000</v>
      </c>
      <c r="AC78" s="347">
        <f>AC76*AG51</f>
        <v>4200</v>
      </c>
      <c r="AD78" s="290">
        <f>SUM(Y78:AC78)</f>
        <v>60300</v>
      </c>
    </row>
    <row r="79" spans="1:38">
      <c r="B79" s="63"/>
      <c r="C79" s="266"/>
      <c r="D79" s="266"/>
      <c r="E79" s="266"/>
      <c r="F79" s="266"/>
      <c r="G79" s="63"/>
      <c r="H79" s="63"/>
      <c r="I79" s="63"/>
      <c r="J79" s="266"/>
      <c r="K79" s="266"/>
      <c r="L79" s="266"/>
      <c r="M79" s="266"/>
      <c r="N79" s="266"/>
      <c r="O79" s="266"/>
      <c r="P79" s="266"/>
      <c r="Q79" s="266"/>
      <c r="R79" s="266"/>
      <c r="S79" s="266"/>
      <c r="T79" s="384"/>
      <c r="U79" s="266"/>
    </row>
    <row r="80" spans="1:38">
      <c r="B80" s="63"/>
      <c r="C80" s="266"/>
      <c r="D80" s="266"/>
      <c r="E80" s="266"/>
      <c r="F80" s="266"/>
      <c r="G80" s="63"/>
      <c r="H80" s="63"/>
      <c r="I80" s="63"/>
      <c r="J80" s="266"/>
      <c r="K80" s="266"/>
      <c r="L80" s="266"/>
      <c r="M80" s="266"/>
      <c r="N80" s="266"/>
      <c r="O80" s="266"/>
      <c r="P80" s="266"/>
      <c r="Q80" s="266"/>
      <c r="R80" s="266"/>
      <c r="S80" s="266"/>
      <c r="T80" s="384"/>
      <c r="U80" s="266"/>
    </row>
    <row r="81" spans="2:21">
      <c r="B81" s="63"/>
      <c r="C81" s="266"/>
      <c r="D81" s="266"/>
      <c r="E81" s="266"/>
      <c r="F81" s="266"/>
      <c r="G81" s="63"/>
      <c r="H81" s="63"/>
      <c r="I81" s="63"/>
      <c r="J81" s="266"/>
      <c r="K81" s="266"/>
      <c r="L81" s="266"/>
      <c r="M81" s="266"/>
      <c r="N81" s="266"/>
      <c r="O81" s="266"/>
      <c r="P81" s="266"/>
      <c r="Q81" s="266"/>
      <c r="R81" s="266"/>
      <c r="S81" s="266"/>
      <c r="T81" s="384"/>
      <c r="U81" s="266"/>
    </row>
    <row r="82" spans="2:21">
      <c r="B82" s="63"/>
      <c r="C82" s="266"/>
      <c r="D82" s="266"/>
      <c r="E82" s="266"/>
      <c r="F82" s="266"/>
      <c r="G82" s="63"/>
      <c r="H82" s="63"/>
      <c r="I82" s="63"/>
      <c r="J82" s="266"/>
      <c r="K82" s="266"/>
      <c r="L82" s="266"/>
      <c r="M82" s="266"/>
      <c r="N82" s="266"/>
      <c r="O82" s="266"/>
      <c r="P82" s="266"/>
      <c r="Q82" s="266"/>
      <c r="R82" s="266"/>
      <c r="S82" s="266"/>
      <c r="T82" s="384"/>
      <c r="U82" s="266"/>
    </row>
    <row r="83" spans="2:21">
      <c r="B83" s="63"/>
      <c r="C83" s="266"/>
      <c r="D83" s="266"/>
      <c r="E83" s="266"/>
      <c r="F83" s="266"/>
      <c r="G83" s="63"/>
      <c r="H83" s="63"/>
      <c r="I83" s="63"/>
      <c r="J83" s="266"/>
      <c r="K83" s="266"/>
      <c r="L83" s="266"/>
      <c r="M83" s="266"/>
      <c r="N83" s="266"/>
      <c r="O83" s="266"/>
      <c r="P83" s="266"/>
      <c r="Q83" s="266"/>
      <c r="R83" s="266"/>
      <c r="S83" s="266"/>
      <c r="T83" s="384"/>
      <c r="U83" s="266"/>
    </row>
    <row r="84" spans="2:21">
      <c r="B84" s="63"/>
      <c r="C84" s="266"/>
      <c r="D84" s="266"/>
      <c r="E84" s="266"/>
      <c r="F84" s="266"/>
      <c r="G84" s="63"/>
      <c r="H84" s="63"/>
      <c r="I84" s="63"/>
      <c r="J84" s="266"/>
      <c r="K84" s="266"/>
      <c r="L84" s="266"/>
      <c r="M84" s="266"/>
      <c r="N84" s="266"/>
      <c r="O84" s="266"/>
      <c r="P84" s="266"/>
      <c r="Q84" s="266"/>
      <c r="R84" s="266"/>
      <c r="S84" s="266"/>
      <c r="T84" s="384"/>
      <c r="U84" s="266"/>
    </row>
    <row r="85" spans="2:21">
      <c r="B85" s="63"/>
      <c r="C85" s="266"/>
      <c r="D85" s="266"/>
      <c r="E85" s="266"/>
      <c r="F85" s="266"/>
      <c r="G85" s="63"/>
      <c r="H85" s="63"/>
      <c r="I85" s="63"/>
      <c r="J85" s="266"/>
      <c r="K85" s="266"/>
      <c r="L85" s="266"/>
      <c r="M85" s="266"/>
      <c r="N85" s="266"/>
      <c r="O85" s="266"/>
      <c r="P85" s="266"/>
      <c r="Q85" s="266"/>
      <c r="R85" s="266"/>
      <c r="S85" s="266"/>
      <c r="T85" s="384"/>
      <c r="U85" s="266"/>
    </row>
    <row r="86" spans="2:21">
      <c r="B86" s="63"/>
      <c r="C86" s="266"/>
      <c r="D86" s="266"/>
      <c r="E86" s="266"/>
      <c r="F86" s="266"/>
      <c r="G86" s="63"/>
      <c r="H86" s="63"/>
      <c r="I86" s="63"/>
      <c r="J86" s="266"/>
      <c r="K86" s="266"/>
      <c r="L86" s="266"/>
      <c r="M86" s="266"/>
      <c r="N86" s="266"/>
      <c r="O86" s="266"/>
      <c r="P86" s="266"/>
      <c r="Q86" s="266"/>
      <c r="R86" s="266"/>
      <c r="S86" s="266"/>
      <c r="T86" s="384"/>
      <c r="U86" s="266"/>
    </row>
    <row r="87" spans="2:21">
      <c r="B87" s="63"/>
      <c r="C87" s="266"/>
      <c r="D87" s="266"/>
      <c r="E87" s="266"/>
      <c r="F87" s="266"/>
      <c r="G87" s="63"/>
      <c r="H87" s="63"/>
      <c r="I87" s="63"/>
      <c r="J87" s="266"/>
      <c r="K87" s="266"/>
      <c r="L87" s="266"/>
      <c r="M87" s="266"/>
      <c r="N87" s="266"/>
      <c r="O87" s="266"/>
      <c r="P87" s="266"/>
      <c r="Q87" s="266"/>
      <c r="R87" s="266"/>
      <c r="S87" s="266"/>
      <c r="T87" s="384"/>
      <c r="U87" s="266"/>
    </row>
    <row r="88" spans="2:21">
      <c r="B88" s="63"/>
      <c r="C88" s="266"/>
      <c r="D88" s="266"/>
      <c r="E88" s="266"/>
      <c r="F88" s="266"/>
      <c r="G88" s="63"/>
      <c r="H88" s="63"/>
      <c r="I88" s="63"/>
      <c r="J88" s="266"/>
      <c r="K88" s="266"/>
      <c r="L88" s="266"/>
      <c r="M88" s="266"/>
      <c r="N88" s="266"/>
      <c r="O88" s="266"/>
      <c r="P88" s="266"/>
      <c r="Q88" s="266"/>
      <c r="R88" s="266"/>
      <c r="S88" s="266"/>
      <c r="T88" s="384"/>
      <c r="U88" s="266"/>
    </row>
    <row r="89" spans="2:21">
      <c r="B89" s="63"/>
      <c r="C89" s="266"/>
      <c r="D89" s="266"/>
      <c r="E89" s="266"/>
      <c r="F89" s="266"/>
      <c r="G89" s="63"/>
      <c r="H89" s="63"/>
      <c r="I89" s="63"/>
      <c r="J89" s="266"/>
      <c r="K89" s="266"/>
      <c r="L89" s="266"/>
      <c r="M89" s="266"/>
      <c r="N89" s="266"/>
      <c r="O89" s="266"/>
      <c r="P89" s="266"/>
      <c r="Q89" s="266"/>
      <c r="R89" s="266"/>
      <c r="S89" s="266"/>
      <c r="T89" s="384"/>
      <c r="U89" s="266"/>
    </row>
    <row r="90" spans="2:21">
      <c r="B90" s="63"/>
      <c r="C90" s="266"/>
      <c r="D90" s="266"/>
      <c r="E90" s="266"/>
      <c r="F90" s="266"/>
      <c r="G90" s="63"/>
      <c r="H90" s="63"/>
      <c r="I90" s="63"/>
      <c r="J90" s="266"/>
      <c r="K90" s="266"/>
      <c r="L90" s="266"/>
      <c r="M90" s="266"/>
      <c r="N90" s="266"/>
      <c r="O90" s="266"/>
      <c r="P90" s="266"/>
      <c r="Q90" s="266"/>
      <c r="R90" s="266"/>
      <c r="S90" s="266"/>
      <c r="T90" s="384"/>
      <c r="U90" s="266"/>
    </row>
    <row r="91" spans="2:21">
      <c r="B91" s="63"/>
      <c r="C91" s="266"/>
      <c r="D91" s="266"/>
      <c r="E91" s="266"/>
      <c r="F91" s="266"/>
      <c r="G91" s="63"/>
      <c r="H91" s="63"/>
      <c r="I91" s="63"/>
      <c r="J91" s="266"/>
      <c r="K91" s="266"/>
      <c r="L91" s="266"/>
      <c r="M91" s="266"/>
      <c r="N91" s="266"/>
      <c r="O91" s="266"/>
      <c r="P91" s="266"/>
      <c r="Q91" s="266"/>
      <c r="R91" s="266"/>
      <c r="S91" s="266"/>
      <c r="T91" s="384"/>
      <c r="U91" s="266"/>
    </row>
    <row r="92" spans="2:21">
      <c r="B92" s="63"/>
      <c r="C92" s="266"/>
      <c r="D92" s="266"/>
      <c r="E92" s="266"/>
      <c r="F92" s="266"/>
      <c r="G92" s="63"/>
      <c r="H92" s="63"/>
      <c r="I92" s="63"/>
      <c r="J92" s="266"/>
      <c r="K92" s="266"/>
      <c r="L92" s="266"/>
      <c r="M92" s="266"/>
      <c r="N92" s="266"/>
      <c r="O92" s="266"/>
      <c r="P92" s="266"/>
      <c r="Q92" s="266"/>
      <c r="R92" s="266"/>
      <c r="S92" s="266"/>
      <c r="T92" s="384"/>
      <c r="U92" s="266"/>
    </row>
    <row r="93" spans="2:21">
      <c r="B93" s="63"/>
      <c r="C93" s="266"/>
      <c r="D93" s="266"/>
      <c r="E93" s="266"/>
      <c r="F93" s="266"/>
      <c r="G93" s="63"/>
      <c r="H93" s="63"/>
      <c r="I93" s="63"/>
      <c r="J93" s="266"/>
      <c r="K93" s="266"/>
      <c r="L93" s="266"/>
      <c r="M93" s="266"/>
      <c r="N93" s="266"/>
      <c r="O93" s="266"/>
      <c r="P93" s="266"/>
      <c r="Q93" s="266"/>
      <c r="R93" s="266"/>
      <c r="S93" s="266"/>
      <c r="T93" s="384"/>
      <c r="U93" s="266"/>
    </row>
    <row r="94" spans="2:21">
      <c r="B94" s="63"/>
      <c r="C94" s="266"/>
      <c r="D94" s="266"/>
      <c r="E94" s="266"/>
      <c r="F94" s="266"/>
      <c r="G94" s="63"/>
      <c r="H94" s="63"/>
      <c r="I94" s="63"/>
      <c r="J94" s="266"/>
      <c r="K94" s="266"/>
      <c r="L94" s="266"/>
      <c r="M94" s="266"/>
      <c r="N94" s="266"/>
      <c r="O94" s="266"/>
      <c r="P94" s="266"/>
      <c r="Q94" s="266"/>
      <c r="R94" s="266"/>
      <c r="S94" s="266"/>
      <c r="T94" s="384"/>
      <c r="U94" s="266"/>
    </row>
    <row r="95" spans="2:21">
      <c r="B95" s="63"/>
      <c r="C95" s="266"/>
      <c r="D95" s="266"/>
      <c r="E95" s="266"/>
      <c r="F95" s="266"/>
      <c r="G95" s="63"/>
      <c r="H95" s="63"/>
      <c r="I95" s="63"/>
      <c r="J95" s="266"/>
      <c r="K95" s="266"/>
      <c r="L95" s="266"/>
      <c r="M95" s="266"/>
      <c r="N95" s="266"/>
      <c r="O95" s="266"/>
      <c r="P95" s="266"/>
      <c r="Q95" s="266"/>
      <c r="R95" s="266"/>
      <c r="S95" s="266"/>
      <c r="T95" s="384"/>
      <c r="U95" s="266"/>
    </row>
    <row r="96" spans="2:21">
      <c r="B96" s="63"/>
      <c r="C96" s="266"/>
      <c r="D96" s="266"/>
      <c r="E96" s="266"/>
      <c r="F96" s="266"/>
      <c r="G96" s="63"/>
      <c r="H96" s="63"/>
      <c r="I96" s="63"/>
      <c r="J96" s="266"/>
      <c r="K96" s="266"/>
      <c r="L96" s="266"/>
      <c r="M96" s="266"/>
      <c r="N96" s="266"/>
      <c r="O96" s="266"/>
      <c r="P96" s="266"/>
      <c r="Q96" s="266"/>
      <c r="R96" s="266"/>
      <c r="S96" s="266"/>
      <c r="T96" s="384"/>
      <c r="U96" s="266"/>
    </row>
    <row r="97" spans="2:21">
      <c r="B97" s="63"/>
      <c r="C97" s="266"/>
      <c r="D97" s="266"/>
      <c r="E97" s="266"/>
      <c r="F97" s="266"/>
      <c r="G97" s="63"/>
      <c r="H97" s="63"/>
      <c r="I97" s="63"/>
      <c r="J97" s="266"/>
      <c r="K97" s="266"/>
      <c r="L97" s="266"/>
      <c r="M97" s="266"/>
      <c r="N97" s="266"/>
      <c r="O97" s="266"/>
      <c r="P97" s="266"/>
      <c r="Q97" s="266"/>
      <c r="R97" s="266"/>
      <c r="S97" s="266"/>
      <c r="T97" s="384"/>
      <c r="U97" s="266"/>
    </row>
    <row r="98" spans="2:21">
      <c r="B98" s="63"/>
      <c r="C98" s="266"/>
      <c r="D98" s="266"/>
      <c r="E98" s="266"/>
      <c r="F98" s="266"/>
      <c r="G98" s="63"/>
      <c r="H98" s="63"/>
      <c r="I98" s="63"/>
      <c r="J98" s="266"/>
      <c r="K98" s="266"/>
      <c r="L98" s="266"/>
      <c r="M98" s="266"/>
      <c r="N98" s="266"/>
      <c r="O98" s="266"/>
      <c r="P98" s="266"/>
      <c r="Q98" s="266"/>
      <c r="R98" s="266"/>
      <c r="S98" s="266"/>
      <c r="T98" s="384"/>
      <c r="U98" s="266"/>
    </row>
    <row r="99" spans="2:21">
      <c r="B99" s="63"/>
      <c r="C99" s="266"/>
      <c r="D99" s="266"/>
      <c r="E99" s="266"/>
      <c r="F99" s="266"/>
      <c r="G99" s="63"/>
      <c r="H99" s="63"/>
      <c r="I99" s="63"/>
      <c r="J99" s="266"/>
      <c r="K99" s="266"/>
      <c r="L99" s="266"/>
      <c r="M99" s="266"/>
      <c r="N99" s="266"/>
      <c r="O99" s="266"/>
      <c r="P99" s="266"/>
      <c r="Q99" s="266"/>
      <c r="R99" s="266"/>
      <c r="S99" s="266"/>
      <c r="T99" s="384"/>
      <c r="U99" s="266"/>
    </row>
    <row r="100" spans="2:21">
      <c r="B100" s="63"/>
      <c r="C100" s="266"/>
      <c r="D100" s="266"/>
      <c r="E100" s="266"/>
      <c r="F100" s="266"/>
      <c r="G100" s="63"/>
      <c r="H100" s="63"/>
      <c r="I100" s="63"/>
      <c r="J100" s="266"/>
      <c r="K100" s="266"/>
      <c r="L100" s="266"/>
      <c r="M100" s="266"/>
      <c r="N100" s="266"/>
      <c r="O100" s="266"/>
      <c r="P100" s="266"/>
      <c r="Q100" s="266"/>
      <c r="R100" s="266"/>
      <c r="S100" s="266"/>
      <c r="T100" s="384"/>
      <c r="U100" s="266"/>
    </row>
    <row r="101" spans="2:21">
      <c r="B101" s="63"/>
      <c r="C101" s="266"/>
      <c r="D101" s="266"/>
      <c r="E101" s="266"/>
      <c r="F101" s="266"/>
      <c r="G101" s="63"/>
      <c r="H101" s="63"/>
      <c r="I101" s="63"/>
      <c r="J101" s="266"/>
      <c r="K101" s="266"/>
      <c r="L101" s="266"/>
      <c r="M101" s="266"/>
      <c r="N101" s="266"/>
      <c r="O101" s="266"/>
      <c r="P101" s="266"/>
      <c r="Q101" s="266"/>
      <c r="R101" s="266"/>
      <c r="S101" s="266"/>
      <c r="T101" s="384"/>
      <c r="U101" s="266"/>
    </row>
    <row r="102" spans="2:21">
      <c r="B102" s="63"/>
      <c r="C102" s="266"/>
      <c r="D102" s="266"/>
      <c r="E102" s="266"/>
      <c r="F102" s="266"/>
      <c r="G102" s="63"/>
      <c r="H102" s="63"/>
      <c r="I102" s="63"/>
      <c r="J102" s="266"/>
      <c r="K102" s="266"/>
      <c r="L102" s="266"/>
      <c r="M102" s="266"/>
      <c r="N102" s="266"/>
      <c r="O102" s="266"/>
      <c r="P102" s="266"/>
      <c r="Q102" s="266"/>
      <c r="R102" s="266"/>
      <c r="S102" s="266"/>
      <c r="T102" s="384"/>
      <c r="U102" s="266"/>
    </row>
    <row r="103" spans="2:21">
      <c r="B103" s="63"/>
      <c r="C103" s="266"/>
      <c r="D103" s="266"/>
      <c r="E103" s="266"/>
      <c r="F103" s="266"/>
      <c r="G103" s="63"/>
      <c r="H103" s="63"/>
      <c r="I103" s="63"/>
      <c r="J103" s="266"/>
      <c r="K103" s="266"/>
      <c r="L103" s="266"/>
      <c r="M103" s="266"/>
      <c r="N103" s="266"/>
      <c r="O103" s="266"/>
      <c r="P103" s="266"/>
      <c r="Q103" s="266"/>
      <c r="R103" s="266"/>
      <c r="S103" s="266"/>
      <c r="T103" s="384"/>
      <c r="U103" s="266"/>
    </row>
    <row r="104" spans="2:21">
      <c r="B104" s="63"/>
      <c r="C104" s="266"/>
      <c r="D104" s="266"/>
      <c r="E104" s="266"/>
      <c r="F104" s="266"/>
      <c r="G104" s="63"/>
      <c r="H104" s="63"/>
      <c r="I104" s="63"/>
      <c r="J104" s="266"/>
      <c r="K104" s="266"/>
      <c r="L104" s="266"/>
      <c r="M104" s="266"/>
      <c r="N104" s="266"/>
      <c r="O104" s="266"/>
      <c r="P104" s="266"/>
      <c r="Q104" s="266"/>
      <c r="R104" s="266"/>
      <c r="S104" s="266"/>
      <c r="T104" s="384"/>
      <c r="U104" s="266"/>
    </row>
    <row r="105" spans="2:21">
      <c r="B105" s="63"/>
      <c r="C105" s="266"/>
      <c r="D105" s="266"/>
      <c r="E105" s="266"/>
      <c r="F105" s="266"/>
      <c r="G105" s="63"/>
      <c r="H105" s="63"/>
      <c r="I105" s="63"/>
      <c r="J105" s="266"/>
      <c r="K105" s="266"/>
      <c r="L105" s="266"/>
      <c r="M105" s="266"/>
      <c r="N105" s="266"/>
      <c r="O105" s="266"/>
      <c r="P105" s="266"/>
      <c r="Q105" s="266"/>
      <c r="R105" s="266"/>
      <c r="S105" s="266"/>
      <c r="T105" s="384"/>
      <c r="U105" s="266"/>
    </row>
    <row r="106" spans="2:21">
      <c r="B106" s="63"/>
      <c r="C106" s="266"/>
      <c r="D106" s="266"/>
      <c r="E106" s="266"/>
      <c r="F106" s="266"/>
      <c r="G106" s="63"/>
      <c r="H106" s="63"/>
      <c r="I106" s="63"/>
      <c r="J106" s="266"/>
      <c r="K106" s="266"/>
      <c r="L106" s="266"/>
      <c r="M106" s="266"/>
      <c r="N106" s="266"/>
      <c r="O106" s="266"/>
      <c r="P106" s="266"/>
      <c r="Q106" s="266"/>
      <c r="R106" s="266"/>
      <c r="S106" s="266"/>
      <c r="T106" s="384"/>
      <c r="U106" s="266"/>
    </row>
    <row r="107" spans="2:21">
      <c r="B107" s="63"/>
      <c r="C107" s="266"/>
      <c r="D107" s="266"/>
      <c r="E107" s="266"/>
      <c r="F107" s="266"/>
      <c r="G107" s="63"/>
      <c r="H107" s="63"/>
      <c r="I107" s="63"/>
      <c r="J107" s="266"/>
      <c r="K107" s="266"/>
      <c r="L107" s="266"/>
      <c r="M107" s="266"/>
      <c r="N107" s="266"/>
      <c r="O107" s="266"/>
      <c r="P107" s="266"/>
      <c r="Q107" s="266"/>
      <c r="R107" s="266"/>
      <c r="S107" s="266"/>
      <c r="T107" s="384"/>
      <c r="U107" s="266"/>
    </row>
    <row r="108" spans="2:21">
      <c r="B108" s="63"/>
      <c r="C108" s="266"/>
      <c r="D108" s="266"/>
      <c r="E108" s="266"/>
      <c r="F108" s="266"/>
      <c r="G108" s="63"/>
      <c r="H108" s="63"/>
      <c r="I108" s="63"/>
      <c r="J108" s="266"/>
      <c r="K108" s="266"/>
      <c r="L108" s="266"/>
      <c r="M108" s="266"/>
      <c r="N108" s="266"/>
      <c r="O108" s="266"/>
      <c r="P108" s="266"/>
      <c r="Q108" s="266"/>
      <c r="R108" s="266"/>
      <c r="S108" s="266"/>
      <c r="T108" s="384"/>
      <c r="U108" s="266"/>
    </row>
    <row r="109" spans="2:21">
      <c r="B109" s="63"/>
      <c r="C109" s="266"/>
      <c r="D109" s="266"/>
      <c r="E109" s="266"/>
      <c r="F109" s="266"/>
      <c r="G109" s="63"/>
      <c r="H109" s="63"/>
      <c r="I109" s="63"/>
      <c r="J109" s="266"/>
      <c r="K109" s="266"/>
      <c r="L109" s="266"/>
      <c r="M109" s="266"/>
      <c r="N109" s="266"/>
      <c r="O109" s="266"/>
      <c r="P109" s="266"/>
      <c r="Q109" s="266"/>
      <c r="R109" s="266"/>
      <c r="S109" s="266"/>
      <c r="T109" s="384"/>
      <c r="U109" s="266"/>
    </row>
    <row r="110" spans="2:21">
      <c r="B110" s="63"/>
      <c r="C110" s="266"/>
      <c r="D110" s="266"/>
      <c r="E110" s="266"/>
      <c r="F110" s="266"/>
      <c r="G110" s="63"/>
      <c r="H110" s="63"/>
      <c r="I110" s="63"/>
      <c r="J110" s="266"/>
      <c r="K110" s="266"/>
      <c r="L110" s="266"/>
      <c r="M110" s="266"/>
      <c r="N110" s="266"/>
      <c r="O110" s="266"/>
      <c r="P110" s="266"/>
      <c r="Q110" s="266"/>
      <c r="R110" s="266"/>
      <c r="S110" s="266"/>
      <c r="T110" s="384"/>
      <c r="U110" s="266"/>
    </row>
    <row r="111" spans="2:21">
      <c r="B111" s="63"/>
      <c r="C111" s="266"/>
      <c r="D111" s="266"/>
      <c r="E111" s="266"/>
      <c r="F111" s="266"/>
      <c r="G111" s="63"/>
      <c r="H111" s="63"/>
      <c r="I111" s="63"/>
      <c r="J111" s="266"/>
      <c r="K111" s="266"/>
      <c r="L111" s="266"/>
      <c r="M111" s="266"/>
      <c r="N111" s="266"/>
      <c r="O111" s="266"/>
      <c r="P111" s="266"/>
      <c r="Q111" s="266"/>
      <c r="R111" s="266"/>
      <c r="S111" s="266"/>
      <c r="T111" s="384"/>
      <c r="U111" s="266"/>
    </row>
    <row r="112" spans="2:21">
      <c r="B112" s="63"/>
      <c r="C112" s="266"/>
      <c r="D112" s="266"/>
      <c r="E112" s="266"/>
      <c r="F112" s="266"/>
      <c r="G112" s="63"/>
      <c r="H112" s="63"/>
      <c r="I112" s="63"/>
      <c r="J112" s="266"/>
      <c r="K112" s="266"/>
      <c r="L112" s="266"/>
      <c r="M112" s="266"/>
      <c r="N112" s="266"/>
      <c r="O112" s="266"/>
      <c r="P112" s="266"/>
      <c r="Q112" s="266"/>
      <c r="R112" s="266"/>
      <c r="S112" s="266"/>
      <c r="T112" s="384"/>
      <c r="U112" s="266"/>
    </row>
    <row r="113" spans="1:21">
      <c r="B113" s="63"/>
      <c r="C113" s="266"/>
      <c r="D113" s="266"/>
      <c r="E113" s="266"/>
      <c r="F113" s="266"/>
      <c r="G113" s="63"/>
      <c r="H113" s="63"/>
      <c r="I113" s="63"/>
      <c r="J113" s="266"/>
      <c r="K113" s="266"/>
      <c r="L113" s="266"/>
      <c r="M113" s="266"/>
      <c r="N113" s="266"/>
      <c r="O113" s="266"/>
      <c r="P113" s="266"/>
      <c r="Q113" s="266"/>
      <c r="R113" s="266"/>
      <c r="S113" s="266"/>
      <c r="T113" s="384"/>
      <c r="U113" s="266"/>
    </row>
    <row r="114" spans="1:21">
      <c r="B114" s="63"/>
      <c r="C114" s="266"/>
      <c r="D114" s="266"/>
      <c r="E114" s="266"/>
      <c r="F114" s="266"/>
      <c r="G114" s="63"/>
      <c r="H114" s="63"/>
      <c r="I114" s="63"/>
      <c r="J114" s="266"/>
      <c r="K114" s="266"/>
      <c r="L114" s="266"/>
      <c r="M114" s="266"/>
      <c r="N114" s="266"/>
      <c r="O114" s="266"/>
      <c r="P114" s="266"/>
      <c r="Q114" s="266"/>
      <c r="R114" s="266"/>
      <c r="S114" s="266"/>
      <c r="T114" s="384"/>
      <c r="U114" s="266"/>
    </row>
    <row r="115" spans="1:21">
      <c r="B115" s="63"/>
      <c r="C115" s="266"/>
      <c r="D115" s="266"/>
      <c r="E115" s="266"/>
      <c r="F115" s="266"/>
      <c r="G115" s="63"/>
      <c r="H115" s="63"/>
      <c r="I115" s="63"/>
      <c r="J115" s="266"/>
      <c r="K115" s="266"/>
      <c r="L115" s="266"/>
      <c r="M115" s="266"/>
      <c r="N115" s="266"/>
      <c r="O115" s="266"/>
      <c r="P115" s="266"/>
      <c r="Q115" s="266"/>
      <c r="R115" s="266"/>
      <c r="S115" s="266"/>
      <c r="T115" s="384"/>
      <c r="U115" s="266"/>
    </row>
    <row r="116" spans="1:21">
      <c r="B116" s="63"/>
      <c r="C116" s="266"/>
      <c r="D116" s="266"/>
      <c r="E116" s="266"/>
      <c r="F116" s="266"/>
      <c r="G116" s="63"/>
      <c r="H116" s="63"/>
      <c r="I116" s="63"/>
      <c r="J116" s="266"/>
      <c r="K116" s="266"/>
      <c r="L116" s="266"/>
      <c r="M116" s="266"/>
      <c r="N116" s="266"/>
      <c r="O116" s="266"/>
      <c r="P116" s="266"/>
      <c r="Q116" s="266"/>
      <c r="R116" s="266"/>
      <c r="S116" s="266"/>
      <c r="T116" s="384"/>
      <c r="U116" s="266"/>
    </row>
    <row r="117" spans="1:21">
      <c r="B117" s="63"/>
      <c r="C117" s="266"/>
      <c r="D117" s="266"/>
      <c r="E117" s="266"/>
      <c r="F117" s="266"/>
      <c r="G117" s="63"/>
      <c r="H117" s="63"/>
      <c r="I117" s="63"/>
      <c r="J117" s="266"/>
      <c r="K117" s="266"/>
      <c r="L117" s="266"/>
      <c r="M117" s="266"/>
      <c r="N117" s="266"/>
      <c r="O117" s="266"/>
      <c r="P117" s="266"/>
      <c r="Q117" s="266"/>
      <c r="R117" s="266"/>
      <c r="S117" s="266"/>
      <c r="T117" s="384"/>
      <c r="U117" s="266"/>
    </row>
    <row r="118" spans="1:21">
      <c r="B118" s="63"/>
      <c r="C118" s="266"/>
      <c r="D118" s="266"/>
      <c r="E118" s="266"/>
      <c r="F118" s="266"/>
      <c r="G118" s="63"/>
      <c r="H118" s="63"/>
      <c r="I118" s="63"/>
      <c r="J118" s="266"/>
      <c r="K118" s="266"/>
      <c r="L118" s="266"/>
      <c r="M118" s="266"/>
      <c r="N118" s="266"/>
      <c r="O118" s="266"/>
      <c r="P118" s="266"/>
      <c r="Q118" s="266"/>
      <c r="R118" s="266"/>
      <c r="S118" s="266"/>
      <c r="T118" s="384"/>
      <c r="U118" s="266"/>
    </row>
    <row r="119" spans="1:21">
      <c r="B119" s="63"/>
      <c r="C119" s="266"/>
      <c r="D119" s="266"/>
      <c r="E119" s="266"/>
      <c r="F119" s="266"/>
      <c r="G119" s="63"/>
      <c r="H119" s="63"/>
      <c r="I119" s="63"/>
      <c r="J119" s="266"/>
      <c r="K119" s="266"/>
      <c r="L119" s="266"/>
      <c r="M119" s="266"/>
      <c r="N119" s="266"/>
      <c r="O119" s="266"/>
      <c r="P119" s="266"/>
      <c r="Q119" s="266"/>
      <c r="R119" s="266"/>
      <c r="S119" s="266"/>
      <c r="T119" s="384"/>
      <c r="U119" s="266"/>
    </row>
    <row r="120" spans="1:21">
      <c r="B120" s="63"/>
      <c r="C120" s="266"/>
      <c r="D120" s="266"/>
      <c r="E120" s="266"/>
      <c r="F120" s="266"/>
      <c r="G120" s="63"/>
      <c r="H120" s="63"/>
      <c r="I120" s="63"/>
      <c r="J120" s="266"/>
      <c r="K120" s="266"/>
      <c r="L120" s="266"/>
      <c r="M120" s="266"/>
      <c r="N120" s="266"/>
      <c r="O120" s="266"/>
      <c r="P120" s="266"/>
      <c r="Q120" s="266"/>
      <c r="R120" s="266"/>
      <c r="S120" s="266"/>
      <c r="T120" s="384"/>
      <c r="U120" s="266"/>
    </row>
    <row r="121" spans="1:21">
      <c r="B121" s="63"/>
      <c r="C121" s="266"/>
      <c r="D121" s="266"/>
      <c r="E121" s="266"/>
      <c r="F121" s="266"/>
      <c r="G121" s="63"/>
      <c r="H121" s="63"/>
      <c r="I121" s="63"/>
      <c r="J121" s="266"/>
      <c r="K121" s="266"/>
      <c r="L121" s="266"/>
      <c r="M121" s="266"/>
      <c r="N121" s="266"/>
      <c r="O121" s="266"/>
      <c r="P121" s="266"/>
      <c r="Q121" s="266"/>
      <c r="R121" s="266"/>
      <c r="S121" s="266"/>
      <c r="T121" s="384"/>
      <c r="U121" s="266"/>
    </row>
    <row r="122" spans="1:21">
      <c r="B122" s="63"/>
      <c r="C122" s="266"/>
      <c r="D122" s="266"/>
      <c r="E122" s="266"/>
      <c r="F122" s="266"/>
      <c r="G122" s="63"/>
      <c r="H122" s="63"/>
      <c r="I122" s="63"/>
      <c r="J122" s="266"/>
      <c r="K122" s="266"/>
      <c r="L122" s="266"/>
      <c r="M122" s="266"/>
      <c r="N122" s="266"/>
      <c r="O122" s="266"/>
      <c r="P122" s="266"/>
      <c r="Q122" s="266"/>
      <c r="R122" s="266"/>
      <c r="S122" s="266"/>
      <c r="T122" s="384"/>
      <c r="U122" s="266"/>
    </row>
    <row r="123" spans="1:21">
      <c r="B123" s="63"/>
      <c r="C123" s="266"/>
      <c r="D123" s="266"/>
      <c r="E123" s="266"/>
      <c r="F123" s="266"/>
      <c r="G123" s="63"/>
      <c r="H123" s="63"/>
      <c r="I123" s="63"/>
      <c r="J123" s="266"/>
      <c r="K123" s="266"/>
      <c r="L123" s="266"/>
      <c r="M123" s="266"/>
      <c r="N123" s="266"/>
      <c r="O123" s="266"/>
      <c r="P123" s="266"/>
      <c r="Q123" s="266"/>
      <c r="R123" s="266"/>
      <c r="S123" s="266"/>
      <c r="T123" s="384"/>
      <c r="U123" s="266"/>
    </row>
    <row r="124" spans="1:21">
      <c r="A124" s="266"/>
      <c r="B124" s="63"/>
      <c r="C124" s="266"/>
      <c r="D124" s="266"/>
      <c r="E124" s="266"/>
      <c r="F124" s="266"/>
      <c r="G124" s="63"/>
      <c r="H124" s="63"/>
      <c r="I124" s="63"/>
      <c r="J124" s="266"/>
      <c r="K124" s="266"/>
      <c r="L124" s="266"/>
      <c r="M124" s="266"/>
      <c r="N124" s="266"/>
      <c r="O124" s="266"/>
      <c r="P124" s="266"/>
      <c r="Q124" s="266"/>
      <c r="R124" s="266"/>
      <c r="S124" s="266"/>
      <c r="T124" s="384"/>
      <c r="U124" s="266"/>
    </row>
    <row r="125" spans="1:21">
      <c r="A125" s="266"/>
      <c r="B125" s="63"/>
      <c r="C125" s="266"/>
      <c r="D125" s="266"/>
      <c r="E125" s="266"/>
      <c r="F125" s="266"/>
      <c r="G125" s="63"/>
      <c r="H125" s="63"/>
      <c r="I125" s="63"/>
      <c r="J125" s="266"/>
      <c r="K125" s="266"/>
      <c r="L125" s="266"/>
      <c r="M125" s="266"/>
      <c r="N125" s="266"/>
      <c r="O125" s="266"/>
      <c r="P125" s="266"/>
      <c r="Q125" s="266"/>
      <c r="R125" s="266"/>
      <c r="S125" s="266"/>
      <c r="T125" s="384"/>
      <c r="U125" s="266"/>
    </row>
    <row r="126" spans="1:21">
      <c r="A126" s="266"/>
      <c r="B126" s="63"/>
      <c r="C126" s="266"/>
      <c r="D126" s="266"/>
      <c r="E126" s="266"/>
      <c r="F126" s="266"/>
      <c r="G126" s="63"/>
      <c r="H126" s="63"/>
      <c r="I126" s="63"/>
      <c r="J126" s="266"/>
      <c r="K126" s="266"/>
      <c r="L126" s="266"/>
      <c r="M126" s="266"/>
      <c r="N126" s="266"/>
      <c r="O126" s="266"/>
      <c r="P126" s="266"/>
      <c r="Q126" s="266"/>
      <c r="R126" s="266"/>
      <c r="S126" s="266"/>
      <c r="T126" s="384"/>
      <c r="U126" s="266"/>
    </row>
    <row r="127" spans="1:21">
      <c r="A127" s="266"/>
      <c r="B127" s="63"/>
      <c r="C127" s="266"/>
      <c r="D127" s="266"/>
      <c r="E127" s="266"/>
      <c r="F127" s="266"/>
      <c r="G127" s="63"/>
      <c r="H127" s="63"/>
      <c r="I127" s="63"/>
      <c r="J127" s="266"/>
      <c r="K127" s="266"/>
      <c r="L127" s="266"/>
      <c r="M127" s="266"/>
      <c r="N127" s="266"/>
      <c r="O127" s="266"/>
      <c r="P127" s="266"/>
      <c r="Q127" s="266"/>
      <c r="R127" s="266"/>
      <c r="S127" s="266"/>
      <c r="T127" s="384"/>
      <c r="U127" s="266"/>
    </row>
    <row r="128" spans="1:21">
      <c r="A128" s="266"/>
      <c r="B128" s="63"/>
      <c r="C128" s="266"/>
      <c r="D128" s="266"/>
      <c r="E128" s="266"/>
      <c r="F128" s="266"/>
      <c r="G128" s="63"/>
      <c r="H128" s="63"/>
      <c r="I128" s="63"/>
      <c r="J128" s="266"/>
      <c r="K128" s="266"/>
      <c r="L128" s="266"/>
      <c r="M128" s="266"/>
      <c r="N128" s="266"/>
      <c r="O128" s="266"/>
      <c r="P128" s="266"/>
      <c r="Q128" s="266"/>
      <c r="R128" s="266"/>
      <c r="S128" s="266"/>
      <c r="T128" s="384"/>
      <c r="U128" s="266"/>
    </row>
    <row r="129" spans="1:21">
      <c r="A129" s="266"/>
      <c r="B129" s="63"/>
      <c r="C129" s="266"/>
      <c r="D129" s="266"/>
      <c r="E129" s="266"/>
      <c r="F129" s="266"/>
      <c r="G129" s="63"/>
      <c r="H129" s="63"/>
      <c r="I129" s="63"/>
      <c r="J129" s="266"/>
      <c r="K129" s="266"/>
      <c r="L129" s="266"/>
      <c r="M129" s="266"/>
      <c r="N129" s="266"/>
      <c r="O129" s="266"/>
      <c r="P129" s="266"/>
      <c r="Q129" s="266"/>
      <c r="R129" s="266"/>
      <c r="S129" s="266"/>
      <c r="T129" s="384"/>
      <c r="U129" s="266"/>
    </row>
    <row r="130" spans="1:21">
      <c r="A130" s="266"/>
      <c r="B130" s="63"/>
      <c r="C130" s="266"/>
      <c r="D130" s="266"/>
      <c r="E130" s="266"/>
      <c r="F130" s="266"/>
      <c r="G130" s="63"/>
      <c r="H130" s="63"/>
      <c r="I130" s="63"/>
      <c r="J130" s="266"/>
      <c r="K130" s="266"/>
      <c r="L130" s="266"/>
      <c r="M130" s="266"/>
      <c r="N130" s="266"/>
      <c r="O130" s="266"/>
      <c r="P130" s="266"/>
      <c r="Q130" s="266"/>
      <c r="R130" s="266"/>
      <c r="S130" s="266"/>
      <c r="T130" s="384"/>
      <c r="U130" s="266"/>
    </row>
    <row r="131" spans="1:21">
      <c r="A131" s="266"/>
      <c r="B131" s="63"/>
      <c r="C131" s="266"/>
      <c r="D131" s="266"/>
      <c r="E131" s="266"/>
      <c r="F131" s="266"/>
      <c r="G131" s="63"/>
      <c r="H131" s="63"/>
      <c r="I131" s="63"/>
      <c r="J131" s="266"/>
      <c r="K131" s="266"/>
      <c r="L131" s="266"/>
      <c r="M131" s="266"/>
      <c r="N131" s="266"/>
      <c r="O131" s="266"/>
      <c r="P131" s="266"/>
      <c r="Q131" s="266"/>
      <c r="R131" s="266"/>
      <c r="S131" s="266"/>
      <c r="T131" s="384"/>
      <c r="U131" s="266"/>
    </row>
    <row r="132" spans="1:21">
      <c r="A132" s="266"/>
      <c r="B132" s="63"/>
      <c r="C132" s="266"/>
      <c r="D132" s="266"/>
      <c r="E132" s="266"/>
      <c r="F132" s="266"/>
      <c r="G132" s="63"/>
      <c r="H132" s="63"/>
      <c r="I132" s="63"/>
      <c r="J132" s="266"/>
      <c r="K132" s="266"/>
      <c r="L132" s="266"/>
      <c r="M132" s="266"/>
      <c r="N132" s="266"/>
      <c r="O132" s="266"/>
      <c r="P132" s="266"/>
      <c r="Q132" s="266"/>
      <c r="R132" s="266"/>
      <c r="S132" s="266"/>
      <c r="T132" s="384"/>
      <c r="U132" s="266"/>
    </row>
    <row r="133" spans="1:21">
      <c r="A133" s="266"/>
      <c r="B133" s="63"/>
      <c r="C133" s="266"/>
      <c r="D133" s="266"/>
      <c r="E133" s="266"/>
      <c r="F133" s="266"/>
      <c r="G133" s="63"/>
      <c r="H133" s="63"/>
      <c r="I133" s="63"/>
      <c r="J133" s="266"/>
      <c r="K133" s="266"/>
      <c r="L133" s="266"/>
      <c r="M133" s="266"/>
      <c r="N133" s="266"/>
      <c r="O133" s="266"/>
      <c r="P133" s="266"/>
      <c r="Q133" s="266"/>
      <c r="R133" s="266"/>
      <c r="S133" s="266"/>
      <c r="T133" s="384"/>
      <c r="U133" s="266"/>
    </row>
    <row r="134" spans="1:21">
      <c r="A134" s="266"/>
      <c r="B134" s="63"/>
      <c r="C134" s="266"/>
      <c r="D134" s="266"/>
      <c r="E134" s="266"/>
      <c r="F134" s="266"/>
      <c r="G134" s="63"/>
      <c r="H134" s="63"/>
      <c r="I134" s="63"/>
      <c r="J134" s="266"/>
      <c r="K134" s="266"/>
      <c r="L134" s="266"/>
      <c r="M134" s="266"/>
      <c r="N134" s="266"/>
      <c r="O134" s="266"/>
      <c r="P134" s="266"/>
      <c r="Q134" s="266"/>
      <c r="R134" s="266"/>
      <c r="S134" s="266"/>
      <c r="T134" s="384"/>
      <c r="U134" s="266"/>
    </row>
    <row r="135" spans="1:21">
      <c r="A135" s="266"/>
      <c r="B135" s="63"/>
      <c r="C135" s="266"/>
      <c r="D135" s="266"/>
      <c r="E135" s="266"/>
      <c r="F135" s="266"/>
      <c r="G135" s="63"/>
      <c r="H135" s="63"/>
      <c r="I135" s="63"/>
      <c r="J135" s="266"/>
      <c r="K135" s="266"/>
      <c r="L135" s="266"/>
      <c r="M135" s="266"/>
      <c r="N135" s="266"/>
      <c r="O135" s="266"/>
      <c r="P135" s="266"/>
      <c r="Q135" s="266"/>
      <c r="R135" s="266"/>
      <c r="S135" s="266"/>
      <c r="T135" s="384"/>
      <c r="U135" s="266"/>
    </row>
    <row r="136" spans="1:21">
      <c r="A136" s="266"/>
      <c r="B136" s="63"/>
      <c r="C136" s="266"/>
      <c r="D136" s="266"/>
      <c r="E136" s="266"/>
      <c r="F136" s="266"/>
      <c r="G136" s="63"/>
      <c r="H136" s="63"/>
      <c r="I136" s="63"/>
      <c r="J136" s="266"/>
      <c r="K136" s="266"/>
      <c r="L136" s="266"/>
      <c r="M136" s="266"/>
      <c r="N136" s="266"/>
      <c r="O136" s="266"/>
      <c r="P136" s="266"/>
      <c r="Q136" s="266"/>
      <c r="R136" s="266"/>
      <c r="S136" s="266"/>
      <c r="T136" s="384"/>
      <c r="U136" s="266"/>
    </row>
    <row r="137" spans="1:21">
      <c r="A137" s="266"/>
      <c r="B137" s="63"/>
      <c r="C137" s="266"/>
      <c r="D137" s="266"/>
      <c r="E137" s="266"/>
      <c r="F137" s="266"/>
      <c r="G137" s="63"/>
      <c r="H137" s="63"/>
      <c r="I137" s="63"/>
      <c r="J137" s="266"/>
      <c r="K137" s="266"/>
      <c r="L137" s="266"/>
      <c r="M137" s="266"/>
      <c r="N137" s="266"/>
      <c r="O137" s="266"/>
      <c r="P137" s="266"/>
      <c r="Q137" s="266"/>
      <c r="R137" s="266"/>
      <c r="S137" s="266"/>
      <c r="T137" s="384"/>
      <c r="U137" s="266"/>
    </row>
    <row r="138" spans="1:21">
      <c r="A138" s="266"/>
      <c r="B138" s="63"/>
      <c r="C138" s="266"/>
      <c r="D138" s="266"/>
      <c r="E138" s="266"/>
      <c r="F138" s="266"/>
      <c r="G138" s="63"/>
      <c r="H138" s="63"/>
      <c r="I138" s="63"/>
      <c r="J138" s="266"/>
      <c r="K138" s="266"/>
      <c r="L138" s="266"/>
      <c r="M138" s="266"/>
      <c r="N138" s="266"/>
      <c r="O138" s="266"/>
      <c r="P138" s="266"/>
      <c r="Q138" s="266"/>
      <c r="R138" s="266"/>
      <c r="S138" s="266"/>
      <c r="T138" s="384"/>
      <c r="U138" s="266"/>
    </row>
    <row r="139" spans="1:21">
      <c r="A139" s="266"/>
      <c r="B139" s="63"/>
      <c r="C139" s="266"/>
      <c r="D139" s="266"/>
      <c r="E139" s="266"/>
      <c r="F139" s="266"/>
      <c r="G139" s="63"/>
      <c r="H139" s="63"/>
      <c r="I139" s="63"/>
      <c r="J139" s="266"/>
      <c r="K139" s="266"/>
      <c r="L139" s="266"/>
      <c r="M139" s="266"/>
      <c r="N139" s="266"/>
      <c r="O139" s="266"/>
      <c r="P139" s="266"/>
      <c r="Q139" s="266"/>
      <c r="R139" s="266"/>
      <c r="S139" s="266"/>
      <c r="T139" s="384"/>
      <c r="U139" s="266"/>
    </row>
    <row r="140" spans="1:21">
      <c r="A140" s="266"/>
      <c r="B140" s="63"/>
      <c r="C140" s="266"/>
      <c r="D140" s="266"/>
      <c r="E140" s="266"/>
      <c r="F140" s="266"/>
      <c r="G140" s="63"/>
      <c r="H140" s="63"/>
      <c r="I140" s="63"/>
      <c r="J140" s="266"/>
      <c r="K140" s="266"/>
      <c r="L140" s="266"/>
      <c r="M140" s="266"/>
      <c r="N140" s="266"/>
      <c r="O140" s="266"/>
      <c r="P140" s="266"/>
      <c r="Q140" s="266"/>
      <c r="R140" s="266"/>
      <c r="S140" s="266"/>
      <c r="T140" s="384"/>
      <c r="U140" s="266"/>
    </row>
    <row r="141" spans="1:21">
      <c r="A141" s="266"/>
      <c r="B141" s="63"/>
      <c r="C141" s="266"/>
      <c r="D141" s="266"/>
      <c r="E141" s="266"/>
      <c r="F141" s="266"/>
      <c r="G141" s="63"/>
      <c r="H141" s="63"/>
      <c r="I141" s="63"/>
      <c r="J141" s="266"/>
      <c r="K141" s="266"/>
      <c r="L141" s="266"/>
      <c r="M141" s="266"/>
      <c r="N141" s="266"/>
      <c r="O141" s="266"/>
      <c r="P141" s="266"/>
      <c r="Q141" s="266"/>
      <c r="R141" s="266"/>
      <c r="S141" s="266"/>
      <c r="T141" s="384"/>
      <c r="U141" s="266"/>
    </row>
    <row r="142" spans="1:21">
      <c r="A142" s="266"/>
      <c r="B142" s="63"/>
      <c r="C142" s="266"/>
      <c r="D142" s="266"/>
      <c r="E142" s="266"/>
      <c r="F142" s="266"/>
      <c r="G142" s="63"/>
      <c r="H142" s="63"/>
      <c r="I142" s="63"/>
      <c r="J142" s="266"/>
      <c r="K142" s="266"/>
      <c r="L142" s="266"/>
      <c r="M142" s="266"/>
      <c r="N142" s="266"/>
      <c r="O142" s="266"/>
      <c r="P142" s="266"/>
      <c r="Q142" s="266"/>
      <c r="R142" s="266"/>
      <c r="S142" s="266"/>
      <c r="T142" s="384"/>
      <c r="U142" s="266"/>
    </row>
    <row r="143" spans="1:21">
      <c r="A143" s="266"/>
      <c r="B143" s="63"/>
      <c r="C143" s="266"/>
      <c r="D143" s="266"/>
      <c r="E143" s="266"/>
      <c r="F143" s="266"/>
      <c r="G143" s="63"/>
      <c r="H143" s="63"/>
      <c r="I143" s="63"/>
      <c r="J143" s="266"/>
      <c r="K143" s="266"/>
      <c r="L143" s="266"/>
      <c r="M143" s="266"/>
      <c r="N143" s="266"/>
      <c r="O143" s="266"/>
      <c r="P143" s="266"/>
      <c r="Q143" s="266"/>
      <c r="R143" s="266"/>
      <c r="S143" s="266"/>
      <c r="T143" s="384"/>
      <c r="U143" s="266"/>
    </row>
    <row r="144" spans="1:21">
      <c r="A144" s="266"/>
      <c r="B144" s="63"/>
      <c r="C144" s="266"/>
      <c r="D144" s="266"/>
      <c r="E144" s="266"/>
      <c r="F144" s="266"/>
      <c r="G144" s="63"/>
      <c r="H144" s="63"/>
      <c r="I144" s="63"/>
      <c r="J144" s="266"/>
      <c r="K144" s="266"/>
      <c r="L144" s="266"/>
      <c r="M144" s="266"/>
      <c r="N144" s="266"/>
      <c r="O144" s="266"/>
      <c r="P144" s="266"/>
      <c r="Q144" s="266"/>
      <c r="R144" s="266"/>
      <c r="S144" s="266"/>
      <c r="T144" s="384"/>
      <c r="U144" s="266"/>
    </row>
    <row r="145" spans="1:21">
      <c r="A145" s="266"/>
      <c r="B145" s="63"/>
      <c r="C145" s="266"/>
      <c r="D145" s="266"/>
      <c r="E145" s="266"/>
      <c r="F145" s="266"/>
      <c r="G145" s="63"/>
      <c r="H145" s="63"/>
      <c r="I145" s="63"/>
      <c r="J145" s="266"/>
      <c r="K145" s="266"/>
      <c r="L145" s="266"/>
      <c r="M145" s="266"/>
      <c r="N145" s="266"/>
      <c r="O145" s="266"/>
      <c r="P145" s="266"/>
      <c r="Q145" s="266"/>
      <c r="R145" s="266"/>
      <c r="S145" s="266"/>
      <c r="T145" s="384"/>
      <c r="U145" s="266"/>
    </row>
    <row r="146" spans="1:21">
      <c r="A146" s="266"/>
      <c r="B146" s="63"/>
      <c r="C146" s="266"/>
      <c r="D146" s="266"/>
      <c r="E146" s="266"/>
      <c r="F146" s="266"/>
      <c r="G146" s="63"/>
      <c r="H146" s="63"/>
      <c r="I146" s="63"/>
      <c r="J146" s="266"/>
      <c r="K146" s="266"/>
      <c r="L146" s="266"/>
      <c r="M146" s="266"/>
      <c r="N146" s="266"/>
      <c r="O146" s="266"/>
      <c r="P146" s="266"/>
      <c r="Q146" s="266"/>
      <c r="R146" s="266"/>
      <c r="S146" s="266"/>
      <c r="T146" s="384"/>
      <c r="U146" s="266"/>
    </row>
    <row r="147" spans="1:21">
      <c r="A147" s="266"/>
      <c r="B147" s="63"/>
      <c r="C147" s="266"/>
      <c r="D147" s="266"/>
      <c r="E147" s="266"/>
      <c r="F147" s="266"/>
      <c r="G147" s="63"/>
      <c r="H147" s="63"/>
      <c r="I147" s="63"/>
      <c r="J147" s="266"/>
      <c r="K147" s="266"/>
      <c r="L147" s="266"/>
      <c r="M147" s="266"/>
      <c r="N147" s="266"/>
      <c r="O147" s="266"/>
      <c r="P147" s="266"/>
      <c r="Q147" s="266"/>
      <c r="R147" s="266"/>
      <c r="S147" s="266"/>
      <c r="T147" s="384"/>
      <c r="U147" s="266"/>
    </row>
    <row r="148" spans="1:21">
      <c r="A148" s="266"/>
      <c r="B148" s="63"/>
      <c r="C148" s="266"/>
      <c r="D148" s="266"/>
      <c r="E148" s="266"/>
      <c r="F148" s="266"/>
      <c r="G148" s="63"/>
      <c r="H148" s="63"/>
      <c r="I148" s="63"/>
      <c r="J148" s="266"/>
      <c r="K148" s="266"/>
      <c r="L148" s="266"/>
      <c r="M148" s="266"/>
      <c r="N148" s="266"/>
      <c r="O148" s="266"/>
      <c r="P148" s="266"/>
      <c r="Q148" s="266"/>
      <c r="R148" s="266"/>
      <c r="S148" s="266"/>
      <c r="T148" s="384"/>
      <c r="U148" s="266"/>
    </row>
    <row r="149" spans="1:21">
      <c r="A149" s="266"/>
      <c r="B149" s="63"/>
      <c r="C149" s="266"/>
      <c r="D149" s="266"/>
      <c r="E149" s="266"/>
      <c r="F149" s="266"/>
      <c r="G149" s="63"/>
      <c r="H149" s="63"/>
      <c r="I149" s="63"/>
      <c r="J149" s="266"/>
      <c r="K149" s="266"/>
      <c r="L149" s="266"/>
      <c r="M149" s="266"/>
      <c r="N149" s="266"/>
      <c r="O149" s="266"/>
      <c r="P149" s="266"/>
      <c r="Q149" s="266"/>
      <c r="R149" s="266"/>
      <c r="S149" s="266"/>
      <c r="T149" s="384"/>
      <c r="U149" s="266"/>
    </row>
    <row r="150" spans="1:21">
      <c r="A150" s="266"/>
      <c r="B150" s="63"/>
      <c r="C150" s="266"/>
      <c r="D150" s="266"/>
      <c r="E150" s="266"/>
      <c r="F150" s="266"/>
      <c r="G150" s="63"/>
      <c r="H150" s="63"/>
      <c r="I150" s="63"/>
      <c r="J150" s="266"/>
      <c r="K150" s="266"/>
      <c r="L150" s="266"/>
      <c r="M150" s="266"/>
      <c r="N150" s="266"/>
      <c r="O150" s="266"/>
      <c r="P150" s="266"/>
      <c r="Q150" s="266"/>
      <c r="R150" s="266"/>
      <c r="S150" s="266"/>
      <c r="T150" s="384"/>
      <c r="U150" s="266"/>
    </row>
    <row r="151" spans="1:21">
      <c r="A151" s="266"/>
      <c r="B151" s="63"/>
      <c r="C151" s="266"/>
      <c r="D151" s="266"/>
      <c r="E151" s="266"/>
      <c r="F151" s="266"/>
      <c r="G151" s="63"/>
      <c r="H151" s="63"/>
      <c r="I151" s="63"/>
      <c r="J151" s="266"/>
      <c r="K151" s="266"/>
      <c r="L151" s="266"/>
      <c r="M151" s="266"/>
      <c r="N151" s="266"/>
      <c r="O151" s="266"/>
      <c r="P151" s="266"/>
      <c r="Q151" s="266"/>
      <c r="R151" s="266"/>
      <c r="S151" s="266"/>
      <c r="T151" s="384"/>
      <c r="U151" s="266"/>
    </row>
    <row r="152" spans="1:21">
      <c r="A152" s="266"/>
      <c r="B152" s="63"/>
      <c r="C152" s="266"/>
      <c r="D152" s="266"/>
      <c r="E152" s="266"/>
      <c r="F152" s="266"/>
      <c r="G152" s="63"/>
      <c r="H152" s="63"/>
      <c r="I152" s="63"/>
      <c r="J152" s="266"/>
      <c r="K152" s="266"/>
      <c r="L152" s="266"/>
      <c r="M152" s="266"/>
      <c r="N152" s="266"/>
      <c r="O152" s="266"/>
      <c r="P152" s="266"/>
      <c r="Q152" s="266"/>
      <c r="R152" s="266"/>
      <c r="S152" s="266"/>
      <c r="T152" s="384"/>
      <c r="U152" s="266"/>
    </row>
    <row r="153" spans="1:21">
      <c r="A153" s="266"/>
      <c r="B153" s="63"/>
      <c r="C153" s="266"/>
      <c r="D153" s="266"/>
      <c r="E153" s="266"/>
      <c r="F153" s="266"/>
      <c r="G153" s="63"/>
      <c r="H153" s="63"/>
      <c r="I153" s="63"/>
      <c r="J153" s="266"/>
      <c r="K153" s="266"/>
      <c r="L153" s="266"/>
      <c r="M153" s="266"/>
      <c r="N153" s="266"/>
      <c r="O153" s="266"/>
      <c r="P153" s="266"/>
      <c r="Q153" s="266"/>
      <c r="R153" s="266"/>
      <c r="S153" s="266"/>
      <c r="T153" s="384"/>
      <c r="U153" s="266"/>
    </row>
    <row r="154" spans="1:21">
      <c r="A154" s="266"/>
      <c r="B154" s="63"/>
      <c r="C154" s="266"/>
      <c r="D154" s="266"/>
      <c r="E154" s="266"/>
      <c r="F154" s="266"/>
      <c r="G154" s="63"/>
      <c r="H154" s="63"/>
      <c r="I154" s="63"/>
      <c r="J154" s="266"/>
      <c r="K154" s="266"/>
      <c r="L154" s="266"/>
      <c r="M154" s="266"/>
      <c r="N154" s="266"/>
      <c r="O154" s="266"/>
      <c r="P154" s="266"/>
      <c r="Q154" s="266"/>
      <c r="R154" s="266"/>
      <c r="S154" s="266"/>
      <c r="T154" s="384"/>
      <c r="U154" s="266"/>
    </row>
    <row r="155" spans="1:21">
      <c r="A155" s="266"/>
      <c r="B155" s="63"/>
      <c r="C155" s="266"/>
      <c r="D155" s="266"/>
      <c r="E155" s="266"/>
      <c r="F155" s="266"/>
      <c r="G155" s="63"/>
      <c r="H155" s="63"/>
      <c r="I155" s="63"/>
      <c r="J155" s="266"/>
      <c r="K155" s="266"/>
      <c r="L155" s="266"/>
      <c r="M155" s="266"/>
      <c r="N155" s="266"/>
      <c r="O155" s="266"/>
      <c r="P155" s="266"/>
      <c r="Q155" s="266"/>
      <c r="R155" s="266"/>
      <c r="S155" s="266"/>
      <c r="T155" s="384"/>
      <c r="U155" s="266"/>
    </row>
    <row r="156" spans="1:21">
      <c r="A156" s="266"/>
      <c r="B156" s="63"/>
      <c r="C156" s="266"/>
      <c r="D156" s="266"/>
      <c r="E156" s="266"/>
      <c r="F156" s="266"/>
      <c r="G156" s="63"/>
      <c r="H156" s="63"/>
      <c r="I156" s="63"/>
      <c r="J156" s="266"/>
      <c r="K156" s="266"/>
      <c r="L156" s="266"/>
      <c r="M156" s="266"/>
      <c r="N156" s="266"/>
      <c r="O156" s="266"/>
      <c r="P156" s="266"/>
      <c r="Q156" s="266"/>
      <c r="R156" s="266"/>
      <c r="S156" s="266"/>
      <c r="T156" s="384"/>
      <c r="U156" s="266"/>
    </row>
    <row r="157" spans="1:21">
      <c r="A157" s="266"/>
      <c r="B157" s="63"/>
      <c r="C157" s="266"/>
      <c r="D157" s="266"/>
      <c r="E157" s="266"/>
      <c r="F157" s="266"/>
      <c r="G157" s="63"/>
      <c r="H157" s="63"/>
      <c r="I157" s="63"/>
      <c r="J157" s="266"/>
      <c r="K157" s="266"/>
      <c r="L157" s="266"/>
      <c r="M157" s="266"/>
      <c r="N157" s="266"/>
      <c r="O157" s="266"/>
      <c r="P157" s="266"/>
      <c r="Q157" s="266"/>
      <c r="R157" s="266"/>
      <c r="S157" s="266"/>
      <c r="T157" s="384"/>
      <c r="U157" s="266"/>
    </row>
    <row r="158" spans="1:21">
      <c r="A158" s="266"/>
      <c r="B158" s="63"/>
      <c r="C158" s="266"/>
      <c r="D158" s="266"/>
      <c r="E158" s="266"/>
      <c r="F158" s="266"/>
      <c r="G158" s="63"/>
      <c r="H158" s="63"/>
      <c r="I158" s="63"/>
      <c r="J158" s="266"/>
      <c r="K158" s="266"/>
      <c r="L158" s="266"/>
      <c r="M158" s="266"/>
      <c r="N158" s="266"/>
      <c r="O158" s="266"/>
      <c r="P158" s="266"/>
      <c r="Q158" s="266"/>
      <c r="R158" s="266"/>
      <c r="S158" s="266"/>
      <c r="T158" s="384"/>
      <c r="U158" s="266"/>
    </row>
    <row r="159" spans="1:21">
      <c r="A159" s="266"/>
      <c r="B159" s="63"/>
      <c r="C159" s="266"/>
      <c r="D159" s="266"/>
      <c r="E159" s="266"/>
      <c r="F159" s="266"/>
      <c r="G159" s="63"/>
      <c r="H159" s="63"/>
      <c r="I159" s="63"/>
      <c r="J159" s="266"/>
      <c r="K159" s="266"/>
      <c r="L159" s="266"/>
      <c r="M159" s="266"/>
      <c r="N159" s="266"/>
      <c r="O159" s="266"/>
      <c r="P159" s="266"/>
      <c r="Q159" s="266"/>
      <c r="R159" s="266"/>
      <c r="S159" s="266"/>
      <c r="T159" s="384"/>
      <c r="U159" s="266"/>
    </row>
    <row r="160" spans="1:21">
      <c r="A160" s="266"/>
      <c r="B160" s="63"/>
      <c r="C160" s="266"/>
      <c r="D160" s="266"/>
      <c r="E160" s="266"/>
      <c r="F160" s="266"/>
      <c r="G160" s="63"/>
      <c r="H160" s="63"/>
      <c r="I160" s="63"/>
      <c r="J160" s="266"/>
      <c r="K160" s="266"/>
      <c r="L160" s="266"/>
      <c r="M160" s="266"/>
      <c r="N160" s="266"/>
      <c r="O160" s="266"/>
      <c r="P160" s="266"/>
      <c r="Q160" s="266"/>
      <c r="R160" s="266"/>
      <c r="S160" s="266"/>
      <c r="T160" s="384"/>
      <c r="U160" s="266"/>
    </row>
    <row r="161" spans="1:21">
      <c r="A161" s="266"/>
      <c r="B161" s="63"/>
      <c r="C161" s="266"/>
      <c r="D161" s="266"/>
      <c r="E161" s="266"/>
      <c r="F161" s="266"/>
      <c r="G161" s="63"/>
      <c r="H161" s="63"/>
      <c r="I161" s="63"/>
      <c r="J161" s="266"/>
      <c r="K161" s="266"/>
      <c r="L161" s="266"/>
      <c r="M161" s="266"/>
      <c r="N161" s="266"/>
      <c r="O161" s="266"/>
      <c r="P161" s="266"/>
      <c r="Q161" s="266"/>
      <c r="R161" s="266"/>
      <c r="S161" s="266"/>
      <c r="T161" s="384"/>
      <c r="U161" s="266"/>
    </row>
    <row r="162" spans="1:21">
      <c r="A162" s="266"/>
      <c r="B162" s="63"/>
      <c r="C162" s="266"/>
      <c r="D162" s="266"/>
      <c r="E162" s="266"/>
      <c r="F162" s="266"/>
      <c r="G162" s="63"/>
      <c r="H162" s="63"/>
      <c r="I162" s="63"/>
      <c r="J162" s="266"/>
      <c r="K162" s="266"/>
      <c r="L162" s="266"/>
      <c r="M162" s="266"/>
      <c r="N162" s="266"/>
      <c r="O162" s="266"/>
      <c r="P162" s="266"/>
      <c r="Q162" s="266"/>
      <c r="R162" s="266"/>
      <c r="S162" s="266"/>
      <c r="T162" s="384"/>
      <c r="U162" s="266"/>
    </row>
    <row r="163" spans="1:21">
      <c r="A163" s="266"/>
      <c r="B163" s="63"/>
      <c r="C163" s="266"/>
      <c r="D163" s="266"/>
      <c r="E163" s="266"/>
      <c r="F163" s="266"/>
      <c r="G163" s="63"/>
      <c r="H163" s="63"/>
      <c r="I163" s="63"/>
      <c r="J163" s="266"/>
      <c r="K163" s="266"/>
      <c r="L163" s="266"/>
      <c r="M163" s="266"/>
      <c r="N163" s="266"/>
      <c r="O163" s="266"/>
      <c r="P163" s="266"/>
      <c r="Q163" s="266"/>
      <c r="R163" s="266"/>
      <c r="S163" s="266"/>
      <c r="T163" s="384"/>
      <c r="U163" s="266"/>
    </row>
    <row r="164" spans="1:21">
      <c r="A164" s="266"/>
      <c r="B164" s="63"/>
      <c r="C164" s="266"/>
      <c r="D164" s="266"/>
      <c r="E164" s="266"/>
      <c r="F164" s="266"/>
      <c r="G164" s="63"/>
      <c r="H164" s="63"/>
      <c r="I164" s="63"/>
      <c r="J164" s="266"/>
      <c r="K164" s="266"/>
      <c r="L164" s="266"/>
      <c r="M164" s="266"/>
      <c r="N164" s="266"/>
      <c r="O164" s="266"/>
      <c r="P164" s="266"/>
      <c r="Q164" s="266"/>
      <c r="R164" s="266"/>
      <c r="S164" s="266"/>
      <c r="T164" s="384"/>
      <c r="U164" s="266"/>
    </row>
    <row r="165" spans="1:21">
      <c r="A165" s="266"/>
      <c r="B165" s="63"/>
      <c r="C165" s="266"/>
      <c r="D165" s="266"/>
      <c r="E165" s="266"/>
      <c r="F165" s="266"/>
      <c r="G165" s="63"/>
      <c r="H165" s="63"/>
      <c r="I165" s="63"/>
      <c r="J165" s="266"/>
      <c r="K165" s="266"/>
      <c r="L165" s="266"/>
      <c r="M165" s="266"/>
      <c r="N165" s="266"/>
      <c r="O165" s="266"/>
      <c r="P165" s="266"/>
      <c r="Q165" s="266"/>
      <c r="R165" s="266"/>
      <c r="S165" s="266"/>
      <c r="T165" s="384"/>
      <c r="U165" s="266"/>
    </row>
    <row r="166" spans="1:21">
      <c r="A166" s="266"/>
      <c r="B166" s="63"/>
      <c r="C166" s="266"/>
      <c r="D166" s="266"/>
      <c r="E166" s="266"/>
      <c r="F166" s="266"/>
      <c r="G166" s="63"/>
      <c r="H166" s="63"/>
      <c r="I166" s="63"/>
      <c r="J166" s="266"/>
      <c r="K166" s="266"/>
      <c r="L166" s="266"/>
      <c r="M166" s="266"/>
      <c r="N166" s="266"/>
      <c r="O166" s="266"/>
      <c r="P166" s="266"/>
      <c r="Q166" s="266"/>
      <c r="R166" s="266"/>
      <c r="S166" s="266"/>
      <c r="T166" s="384"/>
      <c r="U166" s="266"/>
    </row>
    <row r="167" spans="1:21">
      <c r="A167" s="266"/>
      <c r="B167" s="63"/>
      <c r="C167" s="266"/>
      <c r="D167" s="266"/>
      <c r="E167" s="266"/>
      <c r="F167" s="266"/>
      <c r="G167" s="63"/>
      <c r="H167" s="63"/>
      <c r="I167" s="63"/>
      <c r="J167" s="266"/>
      <c r="K167" s="266"/>
      <c r="L167" s="266"/>
      <c r="M167" s="266"/>
      <c r="N167" s="266"/>
      <c r="O167" s="266"/>
      <c r="P167" s="266"/>
      <c r="Q167" s="266"/>
      <c r="R167" s="266"/>
      <c r="S167" s="266"/>
      <c r="T167" s="384"/>
      <c r="U167" s="266"/>
    </row>
    <row r="168" spans="1:21">
      <c r="A168" s="266"/>
      <c r="B168" s="63"/>
      <c r="C168" s="266"/>
      <c r="D168" s="266"/>
      <c r="E168" s="266"/>
      <c r="F168" s="266"/>
      <c r="G168" s="63"/>
      <c r="H168" s="63"/>
      <c r="I168" s="63"/>
      <c r="J168" s="266"/>
      <c r="K168" s="266"/>
      <c r="L168" s="266"/>
      <c r="M168" s="266"/>
      <c r="N168" s="266"/>
      <c r="O168" s="266"/>
      <c r="P168" s="266"/>
      <c r="Q168" s="266"/>
      <c r="R168" s="266"/>
      <c r="S168" s="266"/>
      <c r="T168" s="384"/>
      <c r="U168" s="266"/>
    </row>
    <row r="169" spans="1:21">
      <c r="A169" s="266"/>
      <c r="B169" s="63"/>
      <c r="C169" s="266"/>
      <c r="D169" s="266"/>
      <c r="E169" s="266"/>
      <c r="F169" s="266"/>
      <c r="G169" s="63"/>
      <c r="H169" s="63"/>
      <c r="I169" s="63"/>
      <c r="J169" s="266"/>
      <c r="K169" s="266"/>
      <c r="L169" s="266"/>
      <c r="M169" s="266"/>
      <c r="N169" s="266"/>
      <c r="O169" s="266"/>
      <c r="P169" s="266"/>
      <c r="Q169" s="266"/>
      <c r="R169" s="266"/>
      <c r="S169" s="266"/>
      <c r="T169" s="384"/>
      <c r="U169" s="266"/>
    </row>
    <row r="170" spans="1:21">
      <c r="A170" s="266"/>
      <c r="B170" s="63"/>
      <c r="C170" s="266"/>
      <c r="D170" s="266"/>
      <c r="E170" s="266"/>
      <c r="F170" s="266"/>
      <c r="G170" s="63"/>
      <c r="H170" s="63"/>
      <c r="I170" s="63"/>
      <c r="J170" s="266"/>
      <c r="K170" s="266"/>
      <c r="L170" s="266"/>
      <c r="M170" s="266"/>
      <c r="N170" s="266"/>
      <c r="O170" s="266"/>
      <c r="P170" s="266"/>
      <c r="Q170" s="266"/>
      <c r="R170" s="266"/>
      <c r="S170" s="266"/>
      <c r="T170" s="384"/>
      <c r="U170" s="266"/>
    </row>
    <row r="171" spans="1:21">
      <c r="A171" s="266"/>
      <c r="B171" s="63"/>
      <c r="C171" s="266"/>
      <c r="D171" s="266"/>
      <c r="E171" s="266"/>
      <c r="F171" s="266"/>
      <c r="G171" s="63"/>
      <c r="H171" s="63"/>
      <c r="I171" s="63"/>
      <c r="J171" s="266"/>
      <c r="K171" s="266"/>
      <c r="L171" s="266"/>
      <c r="M171" s="266"/>
      <c r="N171" s="266"/>
      <c r="O171" s="266"/>
      <c r="P171" s="266"/>
      <c r="Q171" s="266"/>
      <c r="R171" s="266"/>
      <c r="S171" s="266"/>
      <c r="T171" s="384"/>
      <c r="U171" s="266"/>
    </row>
    <row r="172" spans="1:21">
      <c r="A172" s="266"/>
      <c r="B172" s="63"/>
      <c r="C172" s="266"/>
      <c r="D172" s="266"/>
      <c r="E172" s="266"/>
      <c r="F172" s="266"/>
      <c r="G172" s="63"/>
      <c r="H172" s="63"/>
      <c r="I172" s="63"/>
      <c r="J172" s="266"/>
      <c r="K172" s="266"/>
      <c r="L172" s="266"/>
      <c r="M172" s="266"/>
      <c r="N172" s="266"/>
      <c r="O172" s="266"/>
      <c r="P172" s="266"/>
      <c r="Q172" s="266"/>
      <c r="R172" s="266"/>
      <c r="S172" s="266"/>
      <c r="T172" s="384"/>
      <c r="U172" s="266"/>
    </row>
    <row r="173" spans="1:21">
      <c r="A173" s="266"/>
      <c r="B173" s="63"/>
      <c r="C173" s="266"/>
      <c r="D173" s="266"/>
      <c r="E173" s="266"/>
      <c r="F173" s="266"/>
      <c r="G173" s="63"/>
      <c r="H173" s="63"/>
      <c r="I173" s="63"/>
      <c r="J173" s="266"/>
      <c r="K173" s="266"/>
      <c r="L173" s="266"/>
      <c r="M173" s="266"/>
      <c r="N173" s="266"/>
      <c r="O173" s="266"/>
      <c r="P173" s="266"/>
      <c r="Q173" s="266"/>
      <c r="R173" s="266"/>
      <c r="S173" s="266"/>
      <c r="T173" s="384"/>
      <c r="U173" s="266"/>
    </row>
    <row r="174" spans="1:21">
      <c r="A174" s="266"/>
      <c r="B174" s="63"/>
      <c r="C174" s="266"/>
      <c r="D174" s="266"/>
      <c r="E174" s="266"/>
      <c r="F174" s="266"/>
      <c r="G174" s="63"/>
      <c r="H174" s="63"/>
      <c r="I174" s="63"/>
      <c r="J174" s="266"/>
      <c r="K174" s="266"/>
      <c r="L174" s="266"/>
      <c r="M174" s="266"/>
      <c r="N174" s="266"/>
      <c r="O174" s="266"/>
      <c r="P174" s="266"/>
      <c r="Q174" s="266"/>
      <c r="R174" s="266"/>
      <c r="S174" s="266"/>
      <c r="T174" s="384"/>
      <c r="U174" s="266"/>
    </row>
    <row r="175" spans="1:21">
      <c r="A175" s="266"/>
      <c r="B175" s="63"/>
      <c r="C175" s="266"/>
      <c r="D175" s="266"/>
      <c r="E175" s="266"/>
      <c r="F175" s="266"/>
      <c r="G175" s="63"/>
      <c r="H175" s="63"/>
      <c r="I175" s="63"/>
      <c r="J175" s="266"/>
      <c r="K175" s="266"/>
      <c r="L175" s="266"/>
      <c r="M175" s="266"/>
      <c r="N175" s="266"/>
      <c r="O175" s="266"/>
      <c r="P175" s="266"/>
      <c r="Q175" s="266"/>
      <c r="R175" s="266"/>
      <c r="S175" s="266"/>
      <c r="T175" s="384"/>
      <c r="U175" s="266"/>
    </row>
    <row r="176" spans="1:21">
      <c r="A176" s="266"/>
      <c r="B176" s="63"/>
      <c r="C176" s="266"/>
      <c r="D176" s="266"/>
      <c r="E176" s="266"/>
      <c r="F176" s="266"/>
      <c r="G176" s="63"/>
      <c r="H176" s="63"/>
      <c r="I176" s="63"/>
      <c r="J176" s="266"/>
      <c r="K176" s="266"/>
      <c r="L176" s="266"/>
      <c r="M176" s="266"/>
      <c r="N176" s="266"/>
      <c r="O176" s="266"/>
      <c r="P176" s="266"/>
      <c r="Q176" s="266"/>
      <c r="R176" s="266"/>
      <c r="S176" s="266"/>
      <c r="T176" s="384"/>
      <c r="U176" s="266"/>
    </row>
    <row r="177" spans="1:21">
      <c r="A177" s="266"/>
      <c r="B177" s="63"/>
      <c r="C177" s="266"/>
      <c r="D177" s="266"/>
      <c r="E177" s="266"/>
      <c r="F177" s="266"/>
      <c r="G177" s="63"/>
      <c r="H177" s="63"/>
      <c r="I177" s="63"/>
      <c r="J177" s="266"/>
      <c r="K177" s="266"/>
      <c r="L177" s="266"/>
      <c r="M177" s="266"/>
      <c r="N177" s="266"/>
      <c r="O177" s="266"/>
      <c r="P177" s="266"/>
      <c r="Q177" s="266"/>
      <c r="R177" s="266"/>
      <c r="S177" s="266"/>
      <c r="T177" s="384"/>
      <c r="U177" s="266"/>
    </row>
    <row r="178" spans="1:21">
      <c r="A178" s="266"/>
      <c r="B178" s="63"/>
      <c r="C178" s="266"/>
      <c r="D178" s="266"/>
      <c r="E178" s="266"/>
      <c r="F178" s="266"/>
      <c r="G178" s="63"/>
      <c r="H178" s="63"/>
      <c r="I178" s="63"/>
      <c r="J178" s="266"/>
      <c r="K178" s="266"/>
      <c r="L178" s="266"/>
      <c r="M178" s="266"/>
      <c r="N178" s="266"/>
      <c r="O178" s="266"/>
      <c r="P178" s="266"/>
      <c r="Q178" s="266"/>
      <c r="R178" s="266"/>
      <c r="S178" s="266"/>
      <c r="T178" s="384"/>
      <c r="U178" s="266"/>
    </row>
    <row r="179" spans="1:21">
      <c r="A179" s="266"/>
      <c r="B179" s="63"/>
      <c r="C179" s="266"/>
      <c r="D179" s="266"/>
      <c r="E179" s="266"/>
      <c r="F179" s="266"/>
      <c r="G179" s="63"/>
      <c r="H179" s="63"/>
      <c r="I179" s="63"/>
      <c r="J179" s="266"/>
      <c r="K179" s="266"/>
      <c r="L179" s="266"/>
      <c r="M179" s="266"/>
      <c r="N179" s="266"/>
      <c r="O179" s="266"/>
      <c r="P179" s="266"/>
      <c r="Q179" s="266"/>
      <c r="R179" s="266"/>
      <c r="S179" s="266"/>
      <c r="T179" s="384"/>
      <c r="U179" s="266"/>
    </row>
  </sheetData>
  <dataConsolidate/>
  <mergeCells count="26">
    <mergeCell ref="A45:A48"/>
    <mergeCell ref="A49:A50"/>
    <mergeCell ref="A51:A52"/>
    <mergeCell ref="A53:A54"/>
    <mergeCell ref="A55:A56"/>
    <mergeCell ref="A4:A5"/>
    <mergeCell ref="A6:A8"/>
    <mergeCell ref="V7:W7"/>
    <mergeCell ref="X42:AC42"/>
    <mergeCell ref="A9:A13"/>
    <mergeCell ref="V9:W13"/>
    <mergeCell ref="A15:A20"/>
    <mergeCell ref="A21:A24"/>
    <mergeCell ref="A26:A27"/>
    <mergeCell ref="V26:V27"/>
    <mergeCell ref="W26:W27"/>
    <mergeCell ref="A28:A32"/>
    <mergeCell ref="A33:A35"/>
    <mergeCell ref="A36:A37"/>
    <mergeCell ref="A39:A40"/>
    <mergeCell ref="A41:A43"/>
    <mergeCell ref="AF55:AK55"/>
    <mergeCell ref="X62:AC62"/>
    <mergeCell ref="C1:K1"/>
    <mergeCell ref="M1:U1"/>
    <mergeCell ref="V3:W3"/>
  </mergeCells>
  <conditionalFormatting sqref="T3:T56">
    <cfRule type="cellIs" dxfId="43" priority="9" operator="lessThan">
      <formula>0</formula>
    </cfRule>
  </conditionalFormatting>
  <conditionalFormatting sqref="U3:U56">
    <cfRule type="containsText" dxfId="42" priority="8" operator="containsText" text="Yes">
      <formula>NOT(ISERROR(SEARCH("Yes",U3)))</formula>
    </cfRule>
  </conditionalFormatting>
  <conditionalFormatting sqref="S3:S56">
    <cfRule type="expression" dxfId="41" priority="7">
      <formula>(S3&lt;O3)</formula>
    </cfRule>
  </conditionalFormatting>
  <conditionalFormatting sqref="Y44:AD55">
    <cfRule type="cellIs" dxfId="40" priority="6" operator="greaterThan">
      <formula>0</formula>
    </cfRule>
  </conditionalFormatting>
  <conditionalFormatting sqref="AH72:AL72">
    <cfRule type="cellIs" dxfId="39" priority="5" operator="greaterThan">
      <formula>0</formula>
    </cfRule>
  </conditionalFormatting>
  <conditionalFormatting sqref="AG57:AL68">
    <cfRule type="cellIs" dxfId="38" priority="4" operator="greaterThan">
      <formula>0</formula>
    </cfRule>
  </conditionalFormatting>
  <conditionalFormatting sqref="AD64:AD75">
    <cfRule type="cellIs" dxfId="37" priority="3" operator="greaterThan">
      <formula>0</formula>
    </cfRule>
  </conditionalFormatting>
  <conditionalFormatting sqref="Z64:AC75">
    <cfRule type="cellIs" dxfId="36" priority="2" operator="greaterThan">
      <formula>0</formula>
    </cfRule>
  </conditionalFormatting>
  <conditionalFormatting sqref="Y64:Y75">
    <cfRule type="cellIs" dxfId="35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9"/>
  <sheetViews>
    <sheetView topLeftCell="W34" zoomScaleNormal="100" workbookViewId="0">
      <selection activeCell="AL80" sqref="AL80"/>
    </sheetView>
  </sheetViews>
  <sheetFormatPr defaultColWidth="9" defaultRowHeight="12.75"/>
  <cols>
    <col min="1" max="1" width="13.42578125" style="5" customWidth="1"/>
    <col min="2" max="2" width="22.7109375" style="62" customWidth="1"/>
    <col min="3" max="3" width="26.7109375" style="58" customWidth="1"/>
    <col min="4" max="4" width="16.85546875" style="58" customWidth="1"/>
    <col min="5" max="5" width="19.42578125" style="58" customWidth="1"/>
    <col min="6" max="6" width="16.7109375" style="61" customWidth="1"/>
    <col min="7" max="9" width="23.7109375" style="60" customWidth="1"/>
    <col min="10" max="11" width="16.140625" style="58" customWidth="1"/>
    <col min="12" max="12" width="28.85546875" style="58" customWidth="1"/>
    <col min="13" max="13" width="17.7109375" style="58" customWidth="1"/>
    <col min="14" max="14" width="16.140625" style="58" customWidth="1"/>
    <col min="15" max="16" width="17.7109375" style="58" customWidth="1"/>
    <col min="17" max="17" width="21.28515625" style="58" customWidth="1"/>
    <col min="18" max="18" width="23.28515625" style="58" customWidth="1"/>
    <col min="19" max="19" width="17.5703125" style="61" customWidth="1"/>
    <col min="20" max="20" width="33.85546875" style="10" customWidth="1"/>
    <col min="21" max="21" width="27" style="58" customWidth="1"/>
    <col min="22" max="22" width="23" style="57" customWidth="1"/>
    <col min="23" max="23" width="22.85546875" style="5" customWidth="1"/>
    <col min="24" max="24" width="23.7109375" style="5" customWidth="1"/>
    <col min="25" max="25" width="21.5703125" style="5" customWidth="1"/>
    <col min="26" max="26" width="26" style="5" customWidth="1"/>
    <col min="27" max="27" width="16.42578125" style="5" customWidth="1"/>
    <col min="28" max="16384" width="9" style="5"/>
  </cols>
  <sheetData>
    <row r="1" spans="1:36" ht="14.25" customHeight="1">
      <c r="A1" s="184"/>
      <c r="B1" s="185"/>
      <c r="C1" s="572" t="s">
        <v>450</v>
      </c>
      <c r="D1" s="573"/>
      <c r="E1" s="573"/>
      <c r="F1" s="573"/>
      <c r="G1" s="573"/>
      <c r="H1" s="573"/>
      <c r="I1" s="573"/>
      <c r="J1" s="573"/>
      <c r="K1" s="574"/>
      <c r="L1" s="373"/>
      <c r="M1" s="570" t="s">
        <v>449</v>
      </c>
      <c r="N1" s="571"/>
      <c r="O1" s="571"/>
      <c r="P1" s="571"/>
      <c r="Q1" s="571"/>
      <c r="R1" s="571"/>
      <c r="S1" s="571"/>
      <c r="T1" s="571"/>
      <c r="U1" s="623"/>
    </row>
    <row r="2" spans="1:36" ht="13.5" thickBot="1">
      <c r="A2" s="184" t="s">
        <v>448</v>
      </c>
      <c r="B2" s="183" t="s">
        <v>447</v>
      </c>
      <c r="C2" s="182" t="s">
        <v>446</v>
      </c>
      <c r="D2" s="181" t="s">
        <v>34</v>
      </c>
      <c r="E2" s="181" t="s">
        <v>463</v>
      </c>
      <c r="F2" s="181" t="s">
        <v>445</v>
      </c>
      <c r="G2" s="181" t="s">
        <v>456</v>
      </c>
      <c r="H2" s="181" t="s">
        <v>457</v>
      </c>
      <c r="I2" s="181" t="s">
        <v>464</v>
      </c>
      <c r="J2" s="181" t="s">
        <v>33</v>
      </c>
      <c r="K2" s="180" t="s">
        <v>442</v>
      </c>
      <c r="L2" s="231" t="s">
        <v>455</v>
      </c>
      <c r="M2" s="179" t="s">
        <v>444</v>
      </c>
      <c r="N2" s="179" t="s">
        <v>34</v>
      </c>
      <c r="O2" s="179" t="s">
        <v>41</v>
      </c>
      <c r="P2" s="178" t="s">
        <v>443</v>
      </c>
      <c r="Q2" s="177" t="s">
        <v>456</v>
      </c>
      <c r="R2" s="250" t="s">
        <v>458</v>
      </c>
      <c r="S2" s="177" t="s">
        <v>33</v>
      </c>
      <c r="T2" s="179" t="s">
        <v>442</v>
      </c>
      <c r="U2" s="222" t="s">
        <v>454</v>
      </c>
      <c r="V2" s="382" t="s">
        <v>438</v>
      </c>
      <c r="W2" s="382" t="s">
        <v>453</v>
      </c>
    </row>
    <row r="3" spans="1:36" ht="13.5" thickBot="1">
      <c r="A3" s="151" t="s">
        <v>436</v>
      </c>
      <c r="B3" s="172" t="s">
        <v>435</v>
      </c>
      <c r="C3" s="171" t="s">
        <v>434</v>
      </c>
      <c r="D3" s="170">
        <v>386.9</v>
      </c>
      <c r="E3" s="82">
        <f>IF(D3&lt;135,300, IF(AND(D3&gt;135,D3&lt;288),250, IF(AND(D3&gt;288,D3&lt;537),200,IF(AND(D3&gt;537,D3&lt;1096),150,100))))</f>
        <v>200</v>
      </c>
      <c r="F3" s="170">
        <v>131.95400000000001</v>
      </c>
      <c r="G3" s="82">
        <v>2.5</v>
      </c>
      <c r="H3" s="82">
        <f>G3*F3</f>
        <v>329.88499999999999</v>
      </c>
      <c r="I3" s="81">
        <f>CEILING(H3/(0.84*E3),1)</f>
        <v>2</v>
      </c>
      <c r="J3" s="269">
        <f t="shared" ref="J3:J13" si="0">E3*I3</f>
        <v>400</v>
      </c>
      <c r="K3" s="81">
        <f t="shared" ref="K3:K56" si="1">J3-H3</f>
        <v>70.115000000000009</v>
      </c>
      <c r="L3" s="82">
        <f>H3/J3 * 100</f>
        <v>82.471249999999998</v>
      </c>
      <c r="M3" s="168" t="s">
        <v>433</v>
      </c>
      <c r="N3" s="168">
        <v>598.85</v>
      </c>
      <c r="O3" s="168">
        <f>IF(N3&lt;135,300, IF(AND(N3&gt;135,N3&lt;288),250, IF(AND(N3&gt;288,N3&lt;537),200,IF(AND(N3&gt;537,N3&lt;1096),150,100))))</f>
        <v>150</v>
      </c>
      <c r="P3" s="168">
        <f>F3</f>
        <v>131.95400000000001</v>
      </c>
      <c r="Q3" s="79">
        <v>2.5</v>
      </c>
      <c r="R3" s="79">
        <f>P3*Q3</f>
        <v>329.88499999999999</v>
      </c>
      <c r="S3" s="168">
        <f t="shared" ref="S3:S13" si="2">O3*I3</f>
        <v>300</v>
      </c>
      <c r="T3" s="228">
        <f t="shared" ref="T3:T13" si="3">S3-R3</f>
        <v>-29.884999999999991</v>
      </c>
      <c r="U3" s="216" t="str">
        <f t="shared" ref="U3:U13" si="4">IF(T3&gt;=0,"No","Yes")</f>
        <v>Yes</v>
      </c>
      <c r="V3" s="643" t="s">
        <v>510</v>
      </c>
      <c r="W3" s="631"/>
    </row>
    <row r="4" spans="1:36" ht="13.5" thickBot="1">
      <c r="A4" s="575" t="s">
        <v>44</v>
      </c>
      <c r="B4" s="165" t="s">
        <v>3</v>
      </c>
      <c r="C4" s="164" t="s">
        <v>44</v>
      </c>
      <c r="D4" s="163">
        <v>424.31</v>
      </c>
      <c r="E4" s="243">
        <f t="shared" ref="E4:E56" si="5">IF(D4&lt;135,300, IF(AND(D4&gt;135,D4&lt;288),250, IF(AND(D4&gt;288,D4&lt;537),200,IF(AND(D4&gt;537,D4&lt;1096),150,100))))</f>
        <v>200</v>
      </c>
      <c r="F4" s="163">
        <v>79.758499999999998</v>
      </c>
      <c r="G4" s="82">
        <v>2.5</v>
      </c>
      <c r="H4" s="82">
        <f t="shared" ref="H4:H56" si="6">G4*F4</f>
        <v>199.39625000000001</v>
      </c>
      <c r="I4" s="81">
        <f t="shared" ref="I4:I56" si="7">CEILING(H4/(0.84*E4),1)</f>
        <v>2</v>
      </c>
      <c r="J4" s="270">
        <f t="shared" si="0"/>
        <v>400</v>
      </c>
      <c r="K4" s="81">
        <f t="shared" si="1"/>
        <v>200.60374999999999</v>
      </c>
      <c r="L4" s="82">
        <f t="shared" ref="L4:L56" si="8">H4/J4 * 100</f>
        <v>49.849062500000002</v>
      </c>
      <c r="M4" s="161" t="s">
        <v>432</v>
      </c>
      <c r="N4" s="162">
        <v>561.44000000000005</v>
      </c>
      <c r="O4" s="168">
        <f t="shared" ref="O4:O56" si="9">IF(N4&lt;135,300, IF(AND(N4&gt;135,N4&lt;288),250, IF(AND(N4&gt;288,N4&lt;537),200,IF(AND(N4&gt;537,N4&lt;1096),150,100))))</f>
        <v>150</v>
      </c>
      <c r="P4" s="168">
        <f t="shared" ref="P4:P13" si="10">F4</f>
        <v>79.758499999999998</v>
      </c>
      <c r="Q4" s="79">
        <v>2.5</v>
      </c>
      <c r="R4" s="251">
        <f t="shared" ref="R4:R56" si="11">P4*Q4</f>
        <v>199.39625000000001</v>
      </c>
      <c r="S4" s="168">
        <f t="shared" si="2"/>
        <v>300</v>
      </c>
      <c r="T4" s="228">
        <f t="shared" si="3"/>
        <v>100.60374999999999</v>
      </c>
      <c r="U4" s="216" t="str">
        <f t="shared" si="4"/>
        <v>No</v>
      </c>
    </row>
    <row r="5" spans="1:36" ht="14.25" customHeight="1" thickBot="1">
      <c r="A5" s="564"/>
      <c r="B5" s="62" t="s">
        <v>25</v>
      </c>
      <c r="C5" s="111" t="s">
        <v>65</v>
      </c>
      <c r="D5" s="92">
        <v>645.40499999999997</v>
      </c>
      <c r="E5" s="245">
        <f t="shared" si="5"/>
        <v>150</v>
      </c>
      <c r="F5" s="92">
        <v>101.52370000000001</v>
      </c>
      <c r="G5" s="82">
        <v>2.5</v>
      </c>
      <c r="H5" s="92">
        <f t="shared" si="6"/>
        <v>253.80925000000002</v>
      </c>
      <c r="I5" s="81">
        <f t="shared" si="7"/>
        <v>3</v>
      </c>
      <c r="J5" s="274">
        <f t="shared" si="0"/>
        <v>450</v>
      </c>
      <c r="K5" s="81">
        <f t="shared" si="1"/>
        <v>196.19074999999998</v>
      </c>
      <c r="L5" s="82">
        <f t="shared" si="8"/>
        <v>56.402055555555563</v>
      </c>
      <c r="M5" s="88" t="s">
        <v>427</v>
      </c>
      <c r="N5" s="90">
        <v>691.82</v>
      </c>
      <c r="O5" s="168">
        <f t="shared" si="9"/>
        <v>150</v>
      </c>
      <c r="P5" s="168">
        <f t="shared" si="10"/>
        <v>101.52370000000001</v>
      </c>
      <c r="Q5" s="79">
        <v>2.5</v>
      </c>
      <c r="R5" s="252">
        <f t="shared" si="11"/>
        <v>253.80925000000002</v>
      </c>
      <c r="S5" s="168">
        <f t="shared" si="2"/>
        <v>450</v>
      </c>
      <c r="T5" s="228">
        <f t="shared" si="3"/>
        <v>196.19074999999998</v>
      </c>
      <c r="U5" s="216" t="str">
        <f t="shared" si="4"/>
        <v>No</v>
      </c>
    </row>
    <row r="6" spans="1:36" ht="13.5" thickBot="1">
      <c r="A6" s="562" t="s">
        <v>431</v>
      </c>
      <c r="B6" s="84" t="s">
        <v>430</v>
      </c>
      <c r="C6" s="83" t="s">
        <v>390</v>
      </c>
      <c r="D6" s="82">
        <v>774.56</v>
      </c>
      <c r="E6" s="243">
        <f t="shared" si="5"/>
        <v>150</v>
      </c>
      <c r="F6" s="82">
        <v>593.39</v>
      </c>
      <c r="G6" s="82">
        <v>2.5</v>
      </c>
      <c r="H6" s="82">
        <f t="shared" si="6"/>
        <v>1483.4749999999999</v>
      </c>
      <c r="I6" s="81">
        <f t="shared" si="7"/>
        <v>12</v>
      </c>
      <c r="J6" s="270">
        <f t="shared" si="0"/>
        <v>1800</v>
      </c>
      <c r="K6" s="81">
        <f t="shared" si="1"/>
        <v>316.52500000000009</v>
      </c>
      <c r="L6" s="82">
        <f t="shared" si="8"/>
        <v>82.415277777777774</v>
      </c>
      <c r="M6" s="98" t="s">
        <v>429</v>
      </c>
      <c r="N6" s="80">
        <v>778.62</v>
      </c>
      <c r="O6" s="168">
        <f t="shared" si="9"/>
        <v>150</v>
      </c>
      <c r="P6" s="168">
        <f t="shared" si="10"/>
        <v>593.39</v>
      </c>
      <c r="Q6" s="79">
        <v>2.5</v>
      </c>
      <c r="R6" s="251">
        <f t="shared" si="11"/>
        <v>1483.4749999999999</v>
      </c>
      <c r="S6" s="168">
        <f t="shared" si="2"/>
        <v>1800</v>
      </c>
      <c r="T6" s="228">
        <f t="shared" si="3"/>
        <v>316.52500000000009</v>
      </c>
      <c r="U6" s="216" t="str">
        <f t="shared" si="4"/>
        <v>No</v>
      </c>
    </row>
    <row r="7" spans="1:36" ht="14.25" customHeight="1" thickBot="1">
      <c r="A7" s="564"/>
      <c r="B7" s="94" t="s">
        <v>4</v>
      </c>
      <c r="C7" s="93" t="s">
        <v>45</v>
      </c>
      <c r="D7" s="105">
        <v>221.095</v>
      </c>
      <c r="E7" s="245">
        <f t="shared" si="5"/>
        <v>250</v>
      </c>
      <c r="F7" s="105">
        <v>165.54</v>
      </c>
      <c r="G7" s="82">
        <v>2.5</v>
      </c>
      <c r="H7" s="92">
        <f t="shared" si="6"/>
        <v>413.84999999999997</v>
      </c>
      <c r="I7" s="81">
        <f t="shared" si="7"/>
        <v>2</v>
      </c>
      <c r="J7" s="274">
        <f t="shared" si="0"/>
        <v>500</v>
      </c>
      <c r="K7" s="81">
        <f t="shared" si="1"/>
        <v>86.150000000000034</v>
      </c>
      <c r="L7" s="82">
        <f t="shared" si="8"/>
        <v>82.769999999999982</v>
      </c>
      <c r="M7" s="99" t="s">
        <v>428</v>
      </c>
      <c r="N7" s="104">
        <v>904.18</v>
      </c>
      <c r="O7" s="168">
        <f t="shared" si="9"/>
        <v>150</v>
      </c>
      <c r="P7" s="168">
        <f t="shared" si="10"/>
        <v>165.54</v>
      </c>
      <c r="Q7" s="79">
        <v>2.5</v>
      </c>
      <c r="R7" s="252">
        <f t="shared" si="11"/>
        <v>413.84999999999997</v>
      </c>
      <c r="S7" s="168">
        <f t="shared" si="2"/>
        <v>300</v>
      </c>
      <c r="T7" s="228">
        <f t="shared" si="3"/>
        <v>-113.84999999999997</v>
      </c>
      <c r="U7" s="216" t="str">
        <f t="shared" si="4"/>
        <v>Yes</v>
      </c>
      <c r="V7" s="643" t="s">
        <v>351</v>
      </c>
      <c r="W7" s="631"/>
    </row>
    <row r="8" spans="1:36" ht="14.25" customHeight="1" thickBot="1">
      <c r="A8" s="564"/>
      <c r="B8" s="94" t="s">
        <v>25</v>
      </c>
      <c r="C8" s="93" t="s">
        <v>65</v>
      </c>
      <c r="D8" s="92">
        <v>645.40499999999997</v>
      </c>
      <c r="E8" s="245">
        <f t="shared" si="5"/>
        <v>150</v>
      </c>
      <c r="F8" s="92">
        <v>101.52370000000001</v>
      </c>
      <c r="G8" s="82">
        <v>2.5</v>
      </c>
      <c r="H8" s="92">
        <f t="shared" si="6"/>
        <v>253.80925000000002</v>
      </c>
      <c r="I8" s="81">
        <f t="shared" si="7"/>
        <v>3</v>
      </c>
      <c r="J8" s="274">
        <f t="shared" si="0"/>
        <v>450</v>
      </c>
      <c r="K8" s="81">
        <f t="shared" si="1"/>
        <v>196.19074999999998</v>
      </c>
      <c r="L8" s="82">
        <f t="shared" si="8"/>
        <v>56.402055555555563</v>
      </c>
      <c r="M8" s="88" t="s">
        <v>427</v>
      </c>
      <c r="N8" s="90">
        <v>691.82</v>
      </c>
      <c r="O8" s="168">
        <f t="shared" si="9"/>
        <v>150</v>
      </c>
      <c r="P8" s="168">
        <f t="shared" si="10"/>
        <v>101.52370000000001</v>
      </c>
      <c r="Q8" s="79">
        <v>2.5</v>
      </c>
      <c r="R8" s="252">
        <f t="shared" si="11"/>
        <v>253.80925000000002</v>
      </c>
      <c r="S8" s="168">
        <f t="shared" si="2"/>
        <v>450</v>
      </c>
      <c r="T8" s="228">
        <f t="shared" si="3"/>
        <v>196.19074999999998</v>
      </c>
      <c r="U8" s="216" t="str">
        <f t="shared" si="4"/>
        <v>No</v>
      </c>
    </row>
    <row r="9" spans="1:36" ht="15" customHeight="1" thickBot="1">
      <c r="A9" s="562" t="s">
        <v>46</v>
      </c>
      <c r="B9" s="84" t="s">
        <v>5</v>
      </c>
      <c r="C9" s="83" t="s">
        <v>46</v>
      </c>
      <c r="D9" s="82">
        <v>87.444999999999993</v>
      </c>
      <c r="E9" s="243">
        <f t="shared" si="5"/>
        <v>300</v>
      </c>
      <c r="F9" s="82">
        <v>330.03719999999998</v>
      </c>
      <c r="G9" s="82">
        <v>2.5</v>
      </c>
      <c r="H9" s="82">
        <f t="shared" si="6"/>
        <v>825.09299999999996</v>
      </c>
      <c r="I9" s="81">
        <f t="shared" si="7"/>
        <v>4</v>
      </c>
      <c r="J9" s="270">
        <f t="shared" si="0"/>
        <v>1200</v>
      </c>
      <c r="K9" s="81">
        <f t="shared" si="1"/>
        <v>374.90700000000004</v>
      </c>
      <c r="L9" s="82">
        <f t="shared" si="8"/>
        <v>68.757750000000001</v>
      </c>
      <c r="M9" s="98" t="s">
        <v>426</v>
      </c>
      <c r="N9" s="80">
        <v>243.73500000000001</v>
      </c>
      <c r="O9" s="168">
        <f t="shared" si="9"/>
        <v>250</v>
      </c>
      <c r="P9" s="168">
        <f t="shared" si="10"/>
        <v>330.03719999999998</v>
      </c>
      <c r="Q9" s="79">
        <v>2.5</v>
      </c>
      <c r="R9" s="251">
        <f t="shared" si="11"/>
        <v>825.09299999999996</v>
      </c>
      <c r="S9" s="168">
        <f t="shared" si="2"/>
        <v>1000</v>
      </c>
      <c r="T9" s="228">
        <f t="shared" si="3"/>
        <v>174.90700000000004</v>
      </c>
      <c r="U9" s="216" t="str">
        <f t="shared" si="4"/>
        <v>No</v>
      </c>
      <c r="V9" s="644" t="s">
        <v>351</v>
      </c>
      <c r="W9" s="633"/>
    </row>
    <row r="10" spans="1:36" ht="14.25" customHeight="1" thickBot="1">
      <c r="A10" s="564"/>
      <c r="B10" s="94" t="s">
        <v>7</v>
      </c>
      <c r="C10" s="93" t="s">
        <v>48</v>
      </c>
      <c r="D10" s="105">
        <v>457.755</v>
      </c>
      <c r="E10" s="245">
        <f t="shared" si="5"/>
        <v>200</v>
      </c>
      <c r="F10" s="105">
        <v>200.11</v>
      </c>
      <c r="G10" s="82">
        <v>2.5</v>
      </c>
      <c r="H10" s="92">
        <f t="shared" si="6"/>
        <v>500.27500000000003</v>
      </c>
      <c r="I10" s="81">
        <f t="shared" si="7"/>
        <v>3</v>
      </c>
      <c r="J10" s="274">
        <f t="shared" si="0"/>
        <v>600</v>
      </c>
      <c r="K10" s="81">
        <f t="shared" si="1"/>
        <v>99.724999999999966</v>
      </c>
      <c r="L10" s="82">
        <f t="shared" si="8"/>
        <v>83.379166666666677</v>
      </c>
      <c r="M10" s="99" t="s">
        <v>425</v>
      </c>
      <c r="N10" s="104">
        <v>614.06500000000005</v>
      </c>
      <c r="O10" s="168">
        <f t="shared" si="9"/>
        <v>150</v>
      </c>
      <c r="P10" s="168">
        <f t="shared" si="10"/>
        <v>200.11</v>
      </c>
      <c r="Q10" s="79">
        <v>2.5</v>
      </c>
      <c r="R10" s="252">
        <f t="shared" si="11"/>
        <v>500.27500000000003</v>
      </c>
      <c r="S10" s="168">
        <f t="shared" si="2"/>
        <v>450</v>
      </c>
      <c r="T10" s="228">
        <f t="shared" si="3"/>
        <v>-50.275000000000034</v>
      </c>
      <c r="U10" s="216" t="str">
        <f t="shared" si="4"/>
        <v>Yes</v>
      </c>
      <c r="V10" s="645"/>
      <c r="W10" s="635"/>
    </row>
    <row r="11" spans="1:36" ht="14.25" customHeight="1" thickBot="1">
      <c r="A11" s="564"/>
      <c r="B11" s="94" t="s">
        <v>8</v>
      </c>
      <c r="C11" s="93" t="s">
        <v>74</v>
      </c>
      <c r="D11" s="105">
        <v>632.29</v>
      </c>
      <c r="E11" s="245">
        <f t="shared" si="5"/>
        <v>150</v>
      </c>
      <c r="F11" s="105">
        <v>416.14780000000002</v>
      </c>
      <c r="G11" s="82">
        <v>2.5</v>
      </c>
      <c r="H11" s="92">
        <f t="shared" si="6"/>
        <v>1040.3695</v>
      </c>
      <c r="I11" s="81">
        <f t="shared" si="7"/>
        <v>9</v>
      </c>
      <c r="J11" s="274">
        <f t="shared" si="0"/>
        <v>1350</v>
      </c>
      <c r="K11" s="81">
        <f t="shared" si="1"/>
        <v>309.63049999999998</v>
      </c>
      <c r="L11" s="82">
        <f t="shared" si="8"/>
        <v>77.064407407407415</v>
      </c>
      <c r="M11" s="99" t="s">
        <v>424</v>
      </c>
      <c r="N11" s="104">
        <v>692.19500000000005</v>
      </c>
      <c r="O11" s="168">
        <f t="shared" si="9"/>
        <v>150</v>
      </c>
      <c r="P11" s="168">
        <f t="shared" si="10"/>
        <v>416.14780000000002</v>
      </c>
      <c r="Q11" s="79">
        <v>2.5</v>
      </c>
      <c r="R11" s="252">
        <f t="shared" si="11"/>
        <v>1040.3695</v>
      </c>
      <c r="S11" s="168">
        <f t="shared" si="2"/>
        <v>1350</v>
      </c>
      <c r="T11" s="228">
        <f t="shared" si="3"/>
        <v>309.63049999999998</v>
      </c>
      <c r="U11" s="216" t="str">
        <f t="shared" si="4"/>
        <v>No</v>
      </c>
      <c r="V11" s="645"/>
      <c r="W11" s="635"/>
      <c r="AF11" s="470"/>
      <c r="AG11" s="469"/>
      <c r="AH11" s="469"/>
      <c r="AI11" s="470"/>
      <c r="AJ11" s="470"/>
    </row>
    <row r="12" spans="1:36" ht="14.25" customHeight="1" thickBot="1">
      <c r="A12" s="564"/>
      <c r="B12" s="94" t="s">
        <v>12</v>
      </c>
      <c r="C12" s="93" t="s">
        <v>52</v>
      </c>
      <c r="D12" s="105">
        <v>428.91</v>
      </c>
      <c r="E12" s="245">
        <f t="shared" si="5"/>
        <v>200</v>
      </c>
      <c r="F12" s="105">
        <v>320.77999999999997</v>
      </c>
      <c r="G12" s="82">
        <v>2.5</v>
      </c>
      <c r="H12" s="92">
        <f t="shared" si="6"/>
        <v>801.94999999999993</v>
      </c>
      <c r="I12" s="81">
        <f t="shared" si="7"/>
        <v>5</v>
      </c>
      <c r="J12" s="274">
        <f t="shared" si="0"/>
        <v>1000</v>
      </c>
      <c r="K12" s="81">
        <f t="shared" si="1"/>
        <v>198.05000000000007</v>
      </c>
      <c r="L12" s="82">
        <f t="shared" si="8"/>
        <v>80.194999999999993</v>
      </c>
      <c r="M12" s="99" t="s">
        <v>418</v>
      </c>
      <c r="N12" s="104">
        <v>440.09</v>
      </c>
      <c r="O12" s="168">
        <f t="shared" si="9"/>
        <v>200</v>
      </c>
      <c r="P12" s="168">
        <f t="shared" si="10"/>
        <v>320.77999999999997</v>
      </c>
      <c r="Q12" s="79">
        <v>2.5</v>
      </c>
      <c r="R12" s="252">
        <f t="shared" si="11"/>
        <v>801.94999999999993</v>
      </c>
      <c r="S12" s="168">
        <f t="shared" si="2"/>
        <v>1000</v>
      </c>
      <c r="T12" s="228">
        <f t="shared" si="3"/>
        <v>198.05000000000007</v>
      </c>
      <c r="U12" s="216" t="str">
        <f t="shared" si="4"/>
        <v>No</v>
      </c>
      <c r="V12" s="645"/>
      <c r="W12" s="635"/>
      <c r="AF12" s="470"/>
      <c r="AG12" s="470"/>
      <c r="AH12" s="470"/>
      <c r="AI12" s="470"/>
      <c r="AJ12" s="470"/>
    </row>
    <row r="13" spans="1:36" ht="14.25" customHeight="1" thickBot="1">
      <c r="A13" s="564"/>
      <c r="B13" s="94" t="s">
        <v>394</v>
      </c>
      <c r="C13" s="93" t="s">
        <v>63</v>
      </c>
      <c r="D13" s="92">
        <v>530.30999999999995</v>
      </c>
      <c r="E13" s="244">
        <f t="shared" si="5"/>
        <v>200</v>
      </c>
      <c r="F13" s="92">
        <v>22.35</v>
      </c>
      <c r="G13" s="82">
        <v>2.5</v>
      </c>
      <c r="H13" s="72">
        <f t="shared" si="6"/>
        <v>55.875</v>
      </c>
      <c r="I13" s="81">
        <f t="shared" si="7"/>
        <v>1</v>
      </c>
      <c r="J13" s="272">
        <f t="shared" si="0"/>
        <v>200</v>
      </c>
      <c r="K13" s="81">
        <f t="shared" si="1"/>
        <v>144.125</v>
      </c>
      <c r="L13" s="82">
        <f t="shared" si="8"/>
        <v>27.9375</v>
      </c>
      <c r="M13" s="88" t="s">
        <v>416</v>
      </c>
      <c r="N13" s="90">
        <v>541.49</v>
      </c>
      <c r="O13" s="168">
        <f t="shared" si="9"/>
        <v>150</v>
      </c>
      <c r="P13" s="168">
        <f t="shared" si="10"/>
        <v>22.35</v>
      </c>
      <c r="Q13" s="79">
        <v>2.5</v>
      </c>
      <c r="R13" s="253">
        <f t="shared" si="11"/>
        <v>55.875</v>
      </c>
      <c r="S13" s="168">
        <f t="shared" si="2"/>
        <v>150</v>
      </c>
      <c r="T13" s="228">
        <f t="shared" si="3"/>
        <v>94.125</v>
      </c>
      <c r="U13" s="216" t="str">
        <f t="shared" si="4"/>
        <v>No</v>
      </c>
      <c r="V13" s="646"/>
      <c r="W13" s="637"/>
      <c r="AF13" s="470"/>
      <c r="AG13" s="470"/>
      <c r="AH13" s="470"/>
      <c r="AI13" s="470"/>
      <c r="AJ13" s="470"/>
    </row>
    <row r="14" spans="1:36" ht="13.5" thickBot="1">
      <c r="A14" s="372" t="s">
        <v>424</v>
      </c>
      <c r="B14" s="84" t="s">
        <v>351</v>
      </c>
      <c r="C14" s="150"/>
      <c r="D14" s="82"/>
      <c r="E14" s="92">
        <f t="shared" si="5"/>
        <v>300</v>
      </c>
      <c r="F14" s="82"/>
      <c r="G14" s="82">
        <v>2.5</v>
      </c>
      <c r="H14" s="92">
        <f t="shared" si="6"/>
        <v>0</v>
      </c>
      <c r="I14" s="81">
        <f t="shared" si="7"/>
        <v>0</v>
      </c>
      <c r="J14" s="268"/>
      <c r="K14" s="81">
        <f t="shared" si="1"/>
        <v>0</v>
      </c>
      <c r="L14" s="82"/>
      <c r="M14" s="80"/>
      <c r="N14" s="80"/>
      <c r="O14" s="168">
        <f t="shared" si="9"/>
        <v>300</v>
      </c>
      <c r="P14" s="80"/>
      <c r="Q14" s="79">
        <v>2.5</v>
      </c>
      <c r="R14" s="89">
        <f t="shared" si="11"/>
        <v>0</v>
      </c>
      <c r="S14" s="80"/>
      <c r="T14" s="191"/>
      <c r="U14" s="80"/>
      <c r="V14" s="223"/>
      <c r="AF14" s="470"/>
      <c r="AG14" s="470"/>
      <c r="AH14" s="470"/>
      <c r="AI14" s="470"/>
      <c r="AJ14" s="470"/>
    </row>
    <row r="15" spans="1:36" ht="13.5" thickBot="1">
      <c r="A15" s="562" t="s">
        <v>49</v>
      </c>
      <c r="B15" s="84" t="s">
        <v>423</v>
      </c>
      <c r="C15" s="83" t="s">
        <v>47</v>
      </c>
      <c r="D15" s="82">
        <v>341.36500000000001</v>
      </c>
      <c r="E15" s="243">
        <f t="shared" si="5"/>
        <v>200</v>
      </c>
      <c r="F15" s="82">
        <v>414.50749999999999</v>
      </c>
      <c r="G15" s="82">
        <v>2.5</v>
      </c>
      <c r="H15" s="82">
        <f t="shared" si="6"/>
        <v>1036.26875</v>
      </c>
      <c r="I15" s="81">
        <f t="shared" si="7"/>
        <v>7</v>
      </c>
      <c r="J15" s="270">
        <f t="shared" ref="J15:J24" si="12">I15*E15</f>
        <v>1400</v>
      </c>
      <c r="K15" s="81">
        <f t="shared" si="1"/>
        <v>363.73125000000005</v>
      </c>
      <c r="L15" s="82">
        <f t="shared" si="8"/>
        <v>74.019196428571419</v>
      </c>
      <c r="M15" s="98" t="s">
        <v>422</v>
      </c>
      <c r="N15" s="80">
        <v>527.53499999999997</v>
      </c>
      <c r="O15" s="168">
        <f t="shared" si="9"/>
        <v>200</v>
      </c>
      <c r="P15" s="80">
        <f>F15</f>
        <v>414.50749999999999</v>
      </c>
      <c r="Q15" s="79">
        <v>2.5</v>
      </c>
      <c r="R15" s="251">
        <f t="shared" si="11"/>
        <v>1036.26875</v>
      </c>
      <c r="S15" s="80">
        <f t="shared" ref="S15:S24" si="13">O15*I15</f>
        <v>1400</v>
      </c>
      <c r="T15" s="188">
        <f t="shared" ref="T15:T24" si="14">S15-R15</f>
        <v>363.73125000000005</v>
      </c>
      <c r="U15" s="79" t="str">
        <f t="shared" ref="U15:U24" si="15">IF(T15&gt;=0,"No","Yes")</f>
        <v>No</v>
      </c>
      <c r="V15" s="223"/>
      <c r="AF15" s="470"/>
      <c r="AG15" s="470"/>
      <c r="AH15" s="470"/>
      <c r="AI15" s="470"/>
      <c r="AJ15" s="470"/>
    </row>
    <row r="16" spans="1:36" ht="14.25" customHeight="1" thickBot="1">
      <c r="A16" s="564"/>
      <c r="B16" s="94" t="s">
        <v>9</v>
      </c>
      <c r="C16" s="93" t="s">
        <v>421</v>
      </c>
      <c r="D16" s="105">
        <v>72.555000000000007</v>
      </c>
      <c r="E16" s="245">
        <f t="shared" si="5"/>
        <v>300</v>
      </c>
      <c r="F16" s="105">
        <v>249.06020000000001</v>
      </c>
      <c r="G16" s="82">
        <v>2.5</v>
      </c>
      <c r="H16" s="92">
        <f t="shared" si="6"/>
        <v>622.65049999999997</v>
      </c>
      <c r="I16" s="81">
        <f t="shared" si="7"/>
        <v>3</v>
      </c>
      <c r="J16" s="274">
        <f t="shared" si="12"/>
        <v>900</v>
      </c>
      <c r="K16" s="81">
        <f t="shared" si="1"/>
        <v>277.34950000000003</v>
      </c>
      <c r="L16" s="82">
        <f t="shared" si="8"/>
        <v>69.183388888888885</v>
      </c>
      <c r="M16" s="99" t="s">
        <v>420</v>
      </c>
      <c r="N16" s="104">
        <v>258.625</v>
      </c>
      <c r="O16" s="168">
        <f t="shared" si="9"/>
        <v>250</v>
      </c>
      <c r="P16" s="80">
        <f t="shared" ref="P16:P24" si="16">F16</f>
        <v>249.06020000000001</v>
      </c>
      <c r="Q16" s="79">
        <v>2.5</v>
      </c>
      <c r="R16" s="252">
        <f t="shared" si="11"/>
        <v>622.65049999999997</v>
      </c>
      <c r="S16" s="80">
        <f t="shared" si="13"/>
        <v>750</v>
      </c>
      <c r="T16" s="188">
        <f t="shared" si="14"/>
        <v>127.34950000000003</v>
      </c>
      <c r="U16" s="79" t="str">
        <f t="shared" si="15"/>
        <v>No</v>
      </c>
      <c r="V16" s="223"/>
      <c r="AG16" s="384"/>
      <c r="AH16" s="384"/>
    </row>
    <row r="17" spans="1:34" ht="14.25" customHeight="1" thickBot="1">
      <c r="A17" s="564"/>
      <c r="B17" s="94" t="s">
        <v>10</v>
      </c>
      <c r="C17" s="93" t="s">
        <v>384</v>
      </c>
      <c r="D17" s="105">
        <v>894.93</v>
      </c>
      <c r="E17" s="245">
        <f t="shared" si="5"/>
        <v>150</v>
      </c>
      <c r="F17" s="105">
        <v>185.4342</v>
      </c>
      <c r="G17" s="82">
        <v>2.5</v>
      </c>
      <c r="H17" s="92">
        <f t="shared" si="6"/>
        <v>463.58550000000002</v>
      </c>
      <c r="I17" s="81">
        <f t="shared" si="7"/>
        <v>4</v>
      </c>
      <c r="J17" s="274">
        <f t="shared" si="12"/>
        <v>600</v>
      </c>
      <c r="K17" s="81">
        <f t="shared" si="1"/>
        <v>136.41449999999998</v>
      </c>
      <c r="L17" s="82">
        <f t="shared" si="8"/>
        <v>77.264250000000004</v>
      </c>
      <c r="M17" s="99" t="s">
        <v>383</v>
      </c>
      <c r="N17" s="104">
        <v>975.03499999999997</v>
      </c>
      <c r="O17" s="168">
        <f t="shared" si="9"/>
        <v>150</v>
      </c>
      <c r="P17" s="80">
        <f t="shared" si="16"/>
        <v>185.4342</v>
      </c>
      <c r="Q17" s="79">
        <v>2.5</v>
      </c>
      <c r="R17" s="252">
        <f t="shared" si="11"/>
        <v>463.58550000000002</v>
      </c>
      <c r="S17" s="80">
        <f t="shared" si="13"/>
        <v>600</v>
      </c>
      <c r="T17" s="188">
        <f t="shared" si="14"/>
        <v>136.41449999999998</v>
      </c>
      <c r="U17" s="79" t="str">
        <f t="shared" si="15"/>
        <v>No</v>
      </c>
      <c r="V17" s="223"/>
      <c r="AG17" s="384"/>
      <c r="AH17" s="384"/>
    </row>
    <row r="18" spans="1:34" ht="14.25" customHeight="1" thickBot="1">
      <c r="A18" s="564"/>
      <c r="B18" s="94" t="s">
        <v>11</v>
      </c>
      <c r="C18" s="93" t="s">
        <v>377</v>
      </c>
      <c r="D18" s="105">
        <v>839.23</v>
      </c>
      <c r="E18" s="245">
        <f t="shared" si="5"/>
        <v>150</v>
      </c>
      <c r="F18" s="105">
        <v>213.84829999999999</v>
      </c>
      <c r="G18" s="82">
        <v>2.5</v>
      </c>
      <c r="H18" s="92">
        <f t="shared" si="6"/>
        <v>534.62075000000004</v>
      </c>
      <c r="I18" s="81">
        <f t="shared" si="7"/>
        <v>5</v>
      </c>
      <c r="J18" s="274">
        <f t="shared" si="12"/>
        <v>750</v>
      </c>
      <c r="K18" s="81">
        <f t="shared" si="1"/>
        <v>215.37924999999996</v>
      </c>
      <c r="L18" s="82">
        <f t="shared" si="8"/>
        <v>71.282766666666674</v>
      </c>
      <c r="M18" s="99" t="s">
        <v>419</v>
      </c>
      <c r="N18" s="104">
        <v>1025.3</v>
      </c>
      <c r="O18" s="168">
        <f t="shared" si="9"/>
        <v>150</v>
      </c>
      <c r="P18" s="80">
        <f t="shared" si="16"/>
        <v>213.84829999999999</v>
      </c>
      <c r="Q18" s="79">
        <v>2.5</v>
      </c>
      <c r="R18" s="252">
        <f t="shared" si="11"/>
        <v>534.62075000000004</v>
      </c>
      <c r="S18" s="80">
        <f t="shared" si="13"/>
        <v>750</v>
      </c>
      <c r="T18" s="188">
        <f t="shared" si="14"/>
        <v>215.37924999999996</v>
      </c>
      <c r="U18" s="79" t="str">
        <f t="shared" si="15"/>
        <v>No</v>
      </c>
      <c r="V18" s="223"/>
      <c r="AG18" s="384"/>
      <c r="AH18" s="384"/>
    </row>
    <row r="19" spans="1:34" ht="14.25" customHeight="1" thickBot="1">
      <c r="A19" s="564"/>
      <c r="B19" s="94" t="s">
        <v>12</v>
      </c>
      <c r="C19" s="93" t="s">
        <v>52</v>
      </c>
      <c r="D19" s="105">
        <v>428.91</v>
      </c>
      <c r="E19" s="245">
        <f t="shared" si="5"/>
        <v>200</v>
      </c>
      <c r="F19" s="105">
        <v>320.7817</v>
      </c>
      <c r="G19" s="82">
        <v>2.5</v>
      </c>
      <c r="H19" s="92">
        <f t="shared" si="6"/>
        <v>801.95425</v>
      </c>
      <c r="I19" s="81">
        <f t="shared" si="7"/>
        <v>5</v>
      </c>
      <c r="J19" s="274">
        <f t="shared" si="12"/>
        <v>1000</v>
      </c>
      <c r="K19" s="81">
        <f t="shared" si="1"/>
        <v>198.04575</v>
      </c>
      <c r="L19" s="82">
        <f t="shared" si="8"/>
        <v>80.195425</v>
      </c>
      <c r="M19" s="99" t="s">
        <v>418</v>
      </c>
      <c r="N19" s="104">
        <v>440.09</v>
      </c>
      <c r="O19" s="168">
        <f t="shared" si="9"/>
        <v>200</v>
      </c>
      <c r="P19" s="80">
        <f t="shared" si="16"/>
        <v>320.7817</v>
      </c>
      <c r="Q19" s="79">
        <v>2.5</v>
      </c>
      <c r="R19" s="252">
        <f t="shared" si="11"/>
        <v>801.95425</v>
      </c>
      <c r="S19" s="80">
        <f t="shared" si="13"/>
        <v>1000</v>
      </c>
      <c r="T19" s="188">
        <f t="shared" si="14"/>
        <v>198.04575</v>
      </c>
      <c r="U19" s="79" t="str">
        <f t="shared" si="15"/>
        <v>No</v>
      </c>
      <c r="V19" s="223"/>
      <c r="AG19" s="384"/>
      <c r="AH19" s="384"/>
    </row>
    <row r="20" spans="1:34" ht="14.25" customHeight="1" thickBot="1">
      <c r="A20" s="564"/>
      <c r="B20" s="94" t="s">
        <v>417</v>
      </c>
      <c r="C20" s="93" t="s">
        <v>409</v>
      </c>
      <c r="D20" s="92">
        <v>530.30999999999995</v>
      </c>
      <c r="E20" s="245">
        <f t="shared" si="5"/>
        <v>200</v>
      </c>
      <c r="F20" s="92">
        <v>22.35</v>
      </c>
      <c r="G20" s="82">
        <v>2.5</v>
      </c>
      <c r="H20" s="92">
        <f t="shared" si="6"/>
        <v>55.875</v>
      </c>
      <c r="I20" s="81">
        <f t="shared" si="7"/>
        <v>1</v>
      </c>
      <c r="J20" s="274">
        <f t="shared" si="12"/>
        <v>200</v>
      </c>
      <c r="K20" s="81">
        <f t="shared" si="1"/>
        <v>144.125</v>
      </c>
      <c r="L20" s="82">
        <f t="shared" si="8"/>
        <v>27.9375</v>
      </c>
      <c r="M20" s="88" t="s">
        <v>416</v>
      </c>
      <c r="N20" s="90">
        <v>541.49</v>
      </c>
      <c r="O20" s="168">
        <f t="shared" si="9"/>
        <v>150</v>
      </c>
      <c r="P20" s="80">
        <f t="shared" si="16"/>
        <v>22.35</v>
      </c>
      <c r="Q20" s="79">
        <v>2.5</v>
      </c>
      <c r="R20" s="252">
        <f t="shared" si="11"/>
        <v>55.875</v>
      </c>
      <c r="S20" s="80">
        <f t="shared" si="13"/>
        <v>150</v>
      </c>
      <c r="T20" s="188">
        <f t="shared" si="14"/>
        <v>94.125</v>
      </c>
      <c r="U20" s="79" t="str">
        <f t="shared" si="15"/>
        <v>No</v>
      </c>
      <c r="V20" s="223"/>
      <c r="AG20" s="384"/>
      <c r="AH20" s="384"/>
    </row>
    <row r="21" spans="1:34" ht="13.5" thickBot="1">
      <c r="A21" s="562" t="s">
        <v>411</v>
      </c>
      <c r="B21" s="84" t="s">
        <v>7</v>
      </c>
      <c r="C21" s="83" t="s">
        <v>48</v>
      </c>
      <c r="D21" s="82">
        <v>457.755</v>
      </c>
      <c r="E21" s="243">
        <f t="shared" si="5"/>
        <v>200</v>
      </c>
      <c r="F21" s="82">
        <v>200.1122</v>
      </c>
      <c r="G21" s="82">
        <v>2.5</v>
      </c>
      <c r="H21" s="82">
        <f t="shared" si="6"/>
        <v>500.28050000000002</v>
      </c>
      <c r="I21" s="81">
        <f t="shared" si="7"/>
        <v>3</v>
      </c>
      <c r="J21" s="270">
        <f t="shared" si="12"/>
        <v>600</v>
      </c>
      <c r="K21" s="81">
        <f t="shared" si="1"/>
        <v>99.719499999999982</v>
      </c>
      <c r="L21" s="82">
        <f t="shared" si="8"/>
        <v>83.380083333333332</v>
      </c>
      <c r="M21" s="98" t="s">
        <v>414</v>
      </c>
      <c r="N21" s="80">
        <v>733.18499999999995</v>
      </c>
      <c r="O21" s="168">
        <f t="shared" si="9"/>
        <v>150</v>
      </c>
      <c r="P21" s="80">
        <f t="shared" si="16"/>
        <v>200.1122</v>
      </c>
      <c r="Q21" s="79">
        <v>2.5</v>
      </c>
      <c r="R21" s="251">
        <f t="shared" si="11"/>
        <v>500.28050000000002</v>
      </c>
      <c r="S21" s="80">
        <f t="shared" si="13"/>
        <v>450</v>
      </c>
      <c r="T21" s="188">
        <f t="shared" si="14"/>
        <v>-50.280500000000018</v>
      </c>
      <c r="U21" s="79" t="str">
        <f t="shared" si="15"/>
        <v>Yes</v>
      </c>
      <c r="V21" s="223"/>
      <c r="AG21" s="384"/>
      <c r="AH21" s="384"/>
    </row>
    <row r="22" spans="1:34" ht="14.25" customHeight="1" thickBot="1">
      <c r="A22" s="564"/>
      <c r="B22" s="94" t="s">
        <v>413</v>
      </c>
      <c r="C22" s="93" t="s">
        <v>74</v>
      </c>
      <c r="D22" s="105">
        <v>632.29</v>
      </c>
      <c r="E22" s="245">
        <f t="shared" si="5"/>
        <v>150</v>
      </c>
      <c r="F22" s="105">
        <v>416.14780000000002</v>
      </c>
      <c r="G22" s="82">
        <v>2.5</v>
      </c>
      <c r="H22" s="92">
        <f t="shared" si="6"/>
        <v>1040.3695</v>
      </c>
      <c r="I22" s="81">
        <f t="shared" si="7"/>
        <v>9</v>
      </c>
      <c r="J22" s="274">
        <f t="shared" si="12"/>
        <v>1350</v>
      </c>
      <c r="K22" s="81">
        <f t="shared" si="1"/>
        <v>309.63049999999998</v>
      </c>
      <c r="L22" s="82">
        <f t="shared" si="8"/>
        <v>77.064407407407415</v>
      </c>
      <c r="M22" s="99" t="s">
        <v>361</v>
      </c>
      <c r="N22" s="104">
        <v>692.19500000000005</v>
      </c>
      <c r="O22" s="168">
        <f t="shared" si="9"/>
        <v>150</v>
      </c>
      <c r="P22" s="80">
        <f t="shared" si="16"/>
        <v>416.14780000000002</v>
      </c>
      <c r="Q22" s="79">
        <v>2.5</v>
      </c>
      <c r="R22" s="252">
        <f t="shared" si="11"/>
        <v>1040.3695</v>
      </c>
      <c r="S22" s="80">
        <f t="shared" si="13"/>
        <v>1350</v>
      </c>
      <c r="T22" s="188">
        <f t="shared" si="14"/>
        <v>309.63049999999998</v>
      </c>
      <c r="U22" s="79" t="str">
        <f t="shared" si="15"/>
        <v>No</v>
      </c>
      <c r="V22" s="223"/>
      <c r="AG22" s="384"/>
      <c r="AH22" s="384"/>
    </row>
    <row r="23" spans="1:34" ht="14.25" customHeight="1" thickBot="1">
      <c r="A23" s="564"/>
      <c r="B23" s="94" t="s">
        <v>412</v>
      </c>
      <c r="C23" s="93" t="s">
        <v>411</v>
      </c>
      <c r="D23" s="105">
        <v>370.31</v>
      </c>
      <c r="E23" s="245">
        <f t="shared" si="5"/>
        <v>200</v>
      </c>
      <c r="F23" s="105">
        <v>24.103000000000002</v>
      </c>
      <c r="G23" s="82">
        <v>2.5</v>
      </c>
      <c r="H23" s="92">
        <f t="shared" si="6"/>
        <v>60.257500000000007</v>
      </c>
      <c r="I23" s="81">
        <f t="shared" si="7"/>
        <v>1</v>
      </c>
      <c r="J23" s="274">
        <f t="shared" si="12"/>
        <v>200</v>
      </c>
      <c r="K23" s="81">
        <f t="shared" si="1"/>
        <v>139.74250000000001</v>
      </c>
      <c r="L23" s="82">
        <f t="shared" si="8"/>
        <v>30.128750000000004</v>
      </c>
      <c r="M23" s="99" t="s">
        <v>410</v>
      </c>
      <c r="N23" s="104">
        <v>820.63</v>
      </c>
      <c r="O23" s="168">
        <f t="shared" si="9"/>
        <v>150</v>
      </c>
      <c r="P23" s="80">
        <f t="shared" si="16"/>
        <v>24.103000000000002</v>
      </c>
      <c r="Q23" s="79">
        <v>2.5</v>
      </c>
      <c r="R23" s="252">
        <f t="shared" si="11"/>
        <v>60.257500000000007</v>
      </c>
      <c r="S23" s="80">
        <f t="shared" si="13"/>
        <v>150</v>
      </c>
      <c r="T23" s="188">
        <f t="shared" si="14"/>
        <v>89.742499999999993</v>
      </c>
      <c r="U23" s="79" t="str">
        <f t="shared" si="15"/>
        <v>No</v>
      </c>
      <c r="V23" s="223"/>
      <c r="AG23" s="384"/>
      <c r="AH23" s="384"/>
    </row>
    <row r="24" spans="1:34" ht="14.25" customHeight="1" thickBot="1">
      <c r="A24" s="564"/>
      <c r="B24" s="94" t="s">
        <v>394</v>
      </c>
      <c r="C24" s="93" t="s">
        <v>409</v>
      </c>
      <c r="D24" s="92">
        <v>530.30999999999995</v>
      </c>
      <c r="E24" s="244">
        <f t="shared" si="5"/>
        <v>200</v>
      </c>
      <c r="F24" s="92">
        <v>22.35</v>
      </c>
      <c r="G24" s="82">
        <v>2.5</v>
      </c>
      <c r="H24" s="72">
        <f t="shared" si="6"/>
        <v>55.875</v>
      </c>
      <c r="I24" s="81">
        <f t="shared" si="7"/>
        <v>1</v>
      </c>
      <c r="J24" s="272">
        <f t="shared" si="12"/>
        <v>200</v>
      </c>
      <c r="K24" s="81">
        <f t="shared" si="1"/>
        <v>144.125</v>
      </c>
      <c r="L24" s="82">
        <f t="shared" si="8"/>
        <v>27.9375</v>
      </c>
      <c r="M24" s="88" t="s">
        <v>408</v>
      </c>
      <c r="N24" s="90">
        <v>660.63</v>
      </c>
      <c r="O24" s="168">
        <f t="shared" si="9"/>
        <v>150</v>
      </c>
      <c r="P24" s="80">
        <f t="shared" si="16"/>
        <v>22.35</v>
      </c>
      <c r="Q24" s="79">
        <v>2.5</v>
      </c>
      <c r="R24" s="253">
        <f t="shared" si="11"/>
        <v>55.875</v>
      </c>
      <c r="S24" s="80">
        <f t="shared" si="13"/>
        <v>150</v>
      </c>
      <c r="T24" s="188">
        <f t="shared" si="14"/>
        <v>94.125</v>
      </c>
      <c r="U24" s="79" t="str">
        <f t="shared" si="15"/>
        <v>No</v>
      </c>
      <c r="AG24" s="384"/>
      <c r="AH24" s="384"/>
    </row>
    <row r="25" spans="1:34" ht="13.5" thickBot="1">
      <c r="A25" s="151" t="s">
        <v>407</v>
      </c>
      <c r="B25" s="84" t="s">
        <v>406</v>
      </c>
      <c r="C25" s="150"/>
      <c r="D25" s="82"/>
      <c r="E25" s="92">
        <f t="shared" si="5"/>
        <v>300</v>
      </c>
      <c r="F25" s="82"/>
      <c r="G25" s="82">
        <v>2.5</v>
      </c>
      <c r="H25" s="92">
        <f t="shared" si="6"/>
        <v>0</v>
      </c>
      <c r="I25" s="81">
        <f t="shared" si="7"/>
        <v>0</v>
      </c>
      <c r="J25" s="268"/>
      <c r="K25" s="81">
        <f t="shared" si="1"/>
        <v>0</v>
      </c>
      <c r="L25" s="82"/>
      <c r="M25" s="80"/>
      <c r="N25" s="80"/>
      <c r="O25" s="168">
        <f t="shared" si="9"/>
        <v>300</v>
      </c>
      <c r="P25" s="80"/>
      <c r="Q25" s="79">
        <v>2.5</v>
      </c>
      <c r="R25" s="89">
        <f t="shared" si="11"/>
        <v>0</v>
      </c>
      <c r="S25" s="80"/>
      <c r="T25" s="191"/>
      <c r="U25" s="79"/>
      <c r="V25" s="382" t="s">
        <v>438</v>
      </c>
      <c r="W25" s="382" t="s">
        <v>453</v>
      </c>
      <c r="AG25" s="384"/>
      <c r="AH25" s="384"/>
    </row>
    <row r="26" spans="1:34" ht="15" customHeight="1" thickBot="1">
      <c r="A26" s="575" t="s">
        <v>405</v>
      </c>
      <c r="B26" s="148" t="s">
        <v>14</v>
      </c>
      <c r="C26" s="83" t="s">
        <v>404</v>
      </c>
      <c r="D26" s="82">
        <v>391.72</v>
      </c>
      <c r="E26" s="243">
        <f t="shared" si="5"/>
        <v>200</v>
      </c>
      <c r="F26" s="82">
        <v>664.51419999999996</v>
      </c>
      <c r="G26" s="82">
        <v>2.5</v>
      </c>
      <c r="H26" s="82">
        <f t="shared" si="6"/>
        <v>1661.2855</v>
      </c>
      <c r="I26" s="81">
        <f t="shared" si="7"/>
        <v>10</v>
      </c>
      <c r="J26" s="270">
        <f t="shared" ref="J26:J56" si="17">I26*E26</f>
        <v>2000</v>
      </c>
      <c r="K26" s="81">
        <f t="shared" si="1"/>
        <v>338.71450000000004</v>
      </c>
      <c r="L26" s="82">
        <f t="shared" si="8"/>
        <v>83.064274999999995</v>
      </c>
      <c r="M26" s="98" t="s">
        <v>403</v>
      </c>
      <c r="N26" s="80">
        <v>799.22</v>
      </c>
      <c r="O26" s="168">
        <f t="shared" si="9"/>
        <v>150</v>
      </c>
      <c r="P26" s="80">
        <f>F26</f>
        <v>664.51419999999996</v>
      </c>
      <c r="Q26" s="79">
        <v>2.5</v>
      </c>
      <c r="R26" s="80">
        <f t="shared" si="11"/>
        <v>1661.2855</v>
      </c>
      <c r="S26" s="247">
        <f t="shared" ref="S26:S56" si="18">O26*I26</f>
        <v>1500</v>
      </c>
      <c r="T26" s="191">
        <f t="shared" ref="T26:T56" si="19">S26-R26</f>
        <v>-161.28549999999996</v>
      </c>
      <c r="U26" s="306" t="str">
        <f t="shared" ref="U26:U57" si="20">IF(T26&gt;=0,"No","Yes")</f>
        <v>Yes</v>
      </c>
      <c r="V26" s="647" t="s">
        <v>351</v>
      </c>
      <c r="W26" s="627" t="s">
        <v>351</v>
      </c>
      <c r="Y26" s="380" t="s">
        <v>452</v>
      </c>
      <c r="Z26" s="381"/>
      <c r="AA26" s="383"/>
      <c r="AG26" s="384"/>
      <c r="AH26" s="384"/>
    </row>
    <row r="27" spans="1:34" ht="14.25" customHeight="1" thickBot="1">
      <c r="A27" s="576"/>
      <c r="B27" s="74" t="s">
        <v>360</v>
      </c>
      <c r="C27" s="73" t="s">
        <v>55</v>
      </c>
      <c r="D27" s="146">
        <v>566.26</v>
      </c>
      <c r="E27" s="245">
        <f t="shared" si="5"/>
        <v>150</v>
      </c>
      <c r="F27" s="146">
        <v>424.66829999999999</v>
      </c>
      <c r="G27" s="82">
        <v>2.5</v>
      </c>
      <c r="H27" s="92">
        <f t="shared" si="6"/>
        <v>1061.67075</v>
      </c>
      <c r="I27" s="81">
        <f t="shared" si="7"/>
        <v>9</v>
      </c>
      <c r="J27" s="274">
        <f t="shared" si="17"/>
        <v>1350</v>
      </c>
      <c r="K27" s="81">
        <f t="shared" si="1"/>
        <v>288.32925</v>
      </c>
      <c r="L27" s="82">
        <f t="shared" si="8"/>
        <v>78.642277777777778</v>
      </c>
      <c r="M27" s="246" t="s">
        <v>402</v>
      </c>
      <c r="N27" s="145">
        <v>973.76</v>
      </c>
      <c r="O27" s="168">
        <f t="shared" si="9"/>
        <v>150</v>
      </c>
      <c r="P27" s="80">
        <f t="shared" ref="P27:P56" si="21">F27</f>
        <v>424.66829999999999</v>
      </c>
      <c r="Q27" s="79">
        <v>2.5</v>
      </c>
      <c r="R27" s="90">
        <f t="shared" si="11"/>
        <v>1061.67075</v>
      </c>
      <c r="S27" s="249">
        <f t="shared" si="18"/>
        <v>1350</v>
      </c>
      <c r="T27" s="305">
        <f t="shared" si="19"/>
        <v>288.32925</v>
      </c>
      <c r="U27" s="307" t="str">
        <f t="shared" si="20"/>
        <v>No</v>
      </c>
      <c r="V27" s="648"/>
      <c r="W27" s="629"/>
      <c r="Y27" s="87"/>
      <c r="Z27" s="266"/>
      <c r="AA27" s="97"/>
      <c r="AG27" s="384"/>
      <c r="AH27" s="384"/>
    </row>
    <row r="28" spans="1:34" ht="15" customHeight="1" thickBot="1">
      <c r="A28" s="564" t="s">
        <v>401</v>
      </c>
      <c r="B28" s="62" t="s">
        <v>6</v>
      </c>
      <c r="C28" s="111" t="s">
        <v>47</v>
      </c>
      <c r="D28" s="92">
        <v>341.46499999999997</v>
      </c>
      <c r="E28" s="243">
        <f t="shared" si="5"/>
        <v>200</v>
      </c>
      <c r="F28" s="92">
        <v>414.50749999999999</v>
      </c>
      <c r="G28" s="82">
        <v>2.5</v>
      </c>
      <c r="H28" s="82">
        <f t="shared" si="6"/>
        <v>1036.26875</v>
      </c>
      <c r="I28" s="81">
        <f t="shared" si="7"/>
        <v>7</v>
      </c>
      <c r="J28" s="270">
        <f t="shared" si="17"/>
        <v>1400</v>
      </c>
      <c r="K28" s="81">
        <f t="shared" si="1"/>
        <v>363.73125000000005</v>
      </c>
      <c r="L28" s="82">
        <f t="shared" si="8"/>
        <v>74.019196428571419</v>
      </c>
      <c r="M28" s="88" t="s">
        <v>400</v>
      </c>
      <c r="N28" s="90">
        <v>849.47500000000002</v>
      </c>
      <c r="O28" s="168">
        <f t="shared" si="9"/>
        <v>150</v>
      </c>
      <c r="P28" s="80">
        <f t="shared" si="21"/>
        <v>414.50749999999999</v>
      </c>
      <c r="Q28" s="79">
        <v>2.5</v>
      </c>
      <c r="R28" s="80">
        <f t="shared" si="11"/>
        <v>1036.26875</v>
      </c>
      <c r="S28" s="248">
        <f t="shared" si="18"/>
        <v>1050</v>
      </c>
      <c r="T28" s="302">
        <f t="shared" si="19"/>
        <v>13.731250000000045</v>
      </c>
      <c r="U28" s="308" t="str">
        <f t="shared" si="20"/>
        <v>No</v>
      </c>
      <c r="V28" s="374"/>
      <c r="W28" s="377"/>
      <c r="Y28" s="256" t="s">
        <v>388</v>
      </c>
      <c r="Z28" s="184" t="s">
        <v>387</v>
      </c>
      <c r="AA28" s="257" t="s">
        <v>386</v>
      </c>
      <c r="AG28" s="384"/>
      <c r="AH28" s="384"/>
    </row>
    <row r="29" spans="1:34" ht="14.25" customHeight="1" thickBot="1">
      <c r="A29" s="564"/>
      <c r="B29" s="62" t="s">
        <v>399</v>
      </c>
      <c r="C29" s="111" t="s">
        <v>384</v>
      </c>
      <c r="D29" s="92">
        <v>894.93</v>
      </c>
      <c r="E29" s="245">
        <f t="shared" si="5"/>
        <v>150</v>
      </c>
      <c r="F29" s="92">
        <v>185.4342</v>
      </c>
      <c r="G29" s="82">
        <v>2.5</v>
      </c>
      <c r="H29" s="92">
        <f t="shared" si="6"/>
        <v>463.58550000000002</v>
      </c>
      <c r="I29" s="81">
        <f t="shared" si="7"/>
        <v>4</v>
      </c>
      <c r="J29" s="274">
        <f t="shared" si="17"/>
        <v>600</v>
      </c>
      <c r="K29" s="81">
        <f t="shared" si="1"/>
        <v>136.41449999999998</v>
      </c>
      <c r="L29" s="82">
        <f t="shared" si="8"/>
        <v>77.264250000000004</v>
      </c>
      <c r="M29" s="88" t="s">
        <v>383</v>
      </c>
      <c r="N29" s="90">
        <v>975.03499999999997</v>
      </c>
      <c r="O29" s="168">
        <f t="shared" si="9"/>
        <v>150</v>
      </c>
      <c r="P29" s="80">
        <f t="shared" si="21"/>
        <v>185.4342</v>
      </c>
      <c r="Q29" s="79">
        <v>2.5</v>
      </c>
      <c r="R29" s="90">
        <f t="shared" si="11"/>
        <v>463.58550000000002</v>
      </c>
      <c r="S29" s="248">
        <f t="shared" si="18"/>
        <v>600</v>
      </c>
      <c r="T29" s="302">
        <f t="shared" si="19"/>
        <v>136.41449999999998</v>
      </c>
      <c r="U29" s="308" t="str">
        <f t="shared" si="20"/>
        <v>No</v>
      </c>
      <c r="V29" s="376" t="s">
        <v>351</v>
      </c>
      <c r="W29" s="378" t="s">
        <v>351</v>
      </c>
      <c r="Y29" s="126" t="s">
        <v>19</v>
      </c>
      <c r="Z29" s="125">
        <v>220</v>
      </c>
      <c r="AA29" s="97"/>
      <c r="AG29" s="384"/>
      <c r="AH29" s="384"/>
    </row>
    <row r="30" spans="1:34" ht="14.25" customHeight="1" thickBot="1">
      <c r="A30" s="564"/>
      <c r="B30" s="94" t="s">
        <v>398</v>
      </c>
      <c r="C30" s="93" t="s">
        <v>377</v>
      </c>
      <c r="D30" s="105">
        <v>839.23</v>
      </c>
      <c r="E30" s="245">
        <f t="shared" si="5"/>
        <v>150</v>
      </c>
      <c r="F30" s="105">
        <v>213.84829999999999</v>
      </c>
      <c r="G30" s="82">
        <v>2.5</v>
      </c>
      <c r="H30" s="92">
        <f t="shared" si="6"/>
        <v>534.62075000000004</v>
      </c>
      <c r="I30" s="81">
        <f t="shared" si="7"/>
        <v>5</v>
      </c>
      <c r="J30" s="274">
        <f t="shared" si="17"/>
        <v>750</v>
      </c>
      <c r="K30" s="81">
        <f t="shared" si="1"/>
        <v>215.37924999999996</v>
      </c>
      <c r="L30" s="82">
        <f t="shared" si="8"/>
        <v>71.282766666666674</v>
      </c>
      <c r="M30" s="99" t="s">
        <v>397</v>
      </c>
      <c r="N30" s="104">
        <v>1347.24</v>
      </c>
      <c r="O30" s="168">
        <f t="shared" si="9"/>
        <v>100</v>
      </c>
      <c r="P30" s="80">
        <f t="shared" si="21"/>
        <v>213.84829999999999</v>
      </c>
      <c r="Q30" s="79">
        <v>2.5</v>
      </c>
      <c r="R30" s="90">
        <f t="shared" si="11"/>
        <v>534.62075000000004</v>
      </c>
      <c r="S30" s="248">
        <f t="shared" si="18"/>
        <v>500</v>
      </c>
      <c r="T30" s="302">
        <f t="shared" si="19"/>
        <v>-34.620750000000044</v>
      </c>
      <c r="U30" s="308" t="str">
        <f t="shared" si="20"/>
        <v>Yes</v>
      </c>
      <c r="V30" s="376"/>
      <c r="W30" s="378"/>
      <c r="Y30" s="126"/>
      <c r="Z30" s="125"/>
      <c r="AA30" s="97"/>
      <c r="AG30" s="384"/>
      <c r="AH30" s="384"/>
    </row>
    <row r="31" spans="1:34" ht="14.25" customHeight="1" thickBot="1">
      <c r="A31" s="564"/>
      <c r="B31" s="94" t="s">
        <v>396</v>
      </c>
      <c r="C31" s="93" t="s">
        <v>52</v>
      </c>
      <c r="D31" s="92">
        <v>428.91</v>
      </c>
      <c r="E31" s="245">
        <f t="shared" si="5"/>
        <v>200</v>
      </c>
      <c r="F31" s="92">
        <v>320.7817</v>
      </c>
      <c r="G31" s="82">
        <v>2.5</v>
      </c>
      <c r="H31" s="92">
        <f t="shared" si="6"/>
        <v>801.95425</v>
      </c>
      <c r="I31" s="81">
        <f t="shared" si="7"/>
        <v>5</v>
      </c>
      <c r="J31" s="274">
        <f t="shared" si="17"/>
        <v>1000</v>
      </c>
      <c r="K31" s="81">
        <f t="shared" si="1"/>
        <v>198.04575</v>
      </c>
      <c r="L31" s="82">
        <f t="shared" si="8"/>
        <v>80.195425</v>
      </c>
      <c r="M31" s="88" t="s">
        <v>395</v>
      </c>
      <c r="N31" s="90">
        <v>762.03</v>
      </c>
      <c r="O31" s="168">
        <f t="shared" si="9"/>
        <v>150</v>
      </c>
      <c r="P31" s="80">
        <f t="shared" si="21"/>
        <v>320.7817</v>
      </c>
      <c r="Q31" s="79">
        <v>2.5</v>
      </c>
      <c r="R31" s="90">
        <f t="shared" si="11"/>
        <v>801.95425</v>
      </c>
      <c r="S31" s="248">
        <f t="shared" si="18"/>
        <v>750</v>
      </c>
      <c r="T31" s="302">
        <f t="shared" si="19"/>
        <v>-51.954250000000002</v>
      </c>
      <c r="U31" s="308" t="str">
        <f t="shared" si="20"/>
        <v>Yes</v>
      </c>
      <c r="V31" s="376"/>
      <c r="W31" s="378"/>
      <c r="Y31" s="126"/>
      <c r="Z31" s="125"/>
      <c r="AA31" s="97"/>
    </row>
    <row r="32" spans="1:34" ht="14.25" customHeight="1" thickBot="1">
      <c r="A32" s="564"/>
      <c r="B32" s="94" t="s">
        <v>393</v>
      </c>
      <c r="C32" s="93" t="s">
        <v>56</v>
      </c>
      <c r="D32" s="92">
        <v>268.91000000000003</v>
      </c>
      <c r="E32" s="245">
        <f t="shared" si="5"/>
        <v>250</v>
      </c>
      <c r="F32" s="92">
        <v>277.57420000000002</v>
      </c>
      <c r="G32" s="82">
        <v>2.5</v>
      </c>
      <c r="H32" s="92">
        <f t="shared" si="6"/>
        <v>693.93550000000005</v>
      </c>
      <c r="I32" s="81">
        <f t="shared" si="7"/>
        <v>4</v>
      </c>
      <c r="J32" s="274">
        <f t="shared" si="17"/>
        <v>1000</v>
      </c>
      <c r="K32" s="81">
        <f t="shared" si="1"/>
        <v>306.06449999999995</v>
      </c>
      <c r="L32" s="82">
        <f t="shared" si="8"/>
        <v>69.393550000000005</v>
      </c>
      <c r="M32" s="88" t="s">
        <v>392</v>
      </c>
      <c r="N32" s="90">
        <v>922.03</v>
      </c>
      <c r="O32" s="168">
        <f t="shared" si="9"/>
        <v>150</v>
      </c>
      <c r="P32" s="80">
        <f t="shared" si="21"/>
        <v>277.57420000000002</v>
      </c>
      <c r="Q32" s="79">
        <v>2.5</v>
      </c>
      <c r="R32" s="90">
        <f t="shared" si="11"/>
        <v>693.93550000000005</v>
      </c>
      <c r="S32" s="249">
        <f t="shared" si="18"/>
        <v>600</v>
      </c>
      <c r="T32" s="305">
        <f t="shared" si="19"/>
        <v>-93.935500000000047</v>
      </c>
      <c r="U32" s="307" t="str">
        <f t="shared" si="20"/>
        <v>Yes</v>
      </c>
      <c r="V32" s="375"/>
      <c r="W32" s="379"/>
      <c r="Y32" s="87" t="s">
        <v>28</v>
      </c>
      <c r="Z32" s="266">
        <v>110</v>
      </c>
      <c r="AA32" s="97"/>
    </row>
    <row r="33" spans="1:38" ht="13.5" thickBot="1">
      <c r="A33" s="562" t="s">
        <v>380</v>
      </c>
      <c r="B33" s="84" t="s">
        <v>391</v>
      </c>
      <c r="C33" s="83" t="s">
        <v>390</v>
      </c>
      <c r="D33" s="82">
        <v>774.56</v>
      </c>
      <c r="E33" s="243">
        <f t="shared" si="5"/>
        <v>150</v>
      </c>
      <c r="F33" s="82">
        <v>593.39</v>
      </c>
      <c r="G33" s="82">
        <v>2.5</v>
      </c>
      <c r="H33" s="82">
        <f t="shared" si="6"/>
        <v>1483.4749999999999</v>
      </c>
      <c r="I33" s="81">
        <f t="shared" si="7"/>
        <v>12</v>
      </c>
      <c r="J33" s="270">
        <f t="shared" si="17"/>
        <v>1800</v>
      </c>
      <c r="K33" s="81">
        <f t="shared" si="1"/>
        <v>316.52500000000009</v>
      </c>
      <c r="L33" s="82">
        <f t="shared" si="8"/>
        <v>82.415277777777774</v>
      </c>
      <c r="M33" s="98" t="s">
        <v>389</v>
      </c>
      <c r="N33" s="80">
        <v>778.62</v>
      </c>
      <c r="O33" s="168">
        <f t="shared" si="9"/>
        <v>150</v>
      </c>
      <c r="P33" s="80">
        <f t="shared" si="21"/>
        <v>593.39</v>
      </c>
      <c r="Q33" s="79">
        <v>2.5</v>
      </c>
      <c r="R33" s="251">
        <f t="shared" si="11"/>
        <v>1483.4749999999999</v>
      </c>
      <c r="S33" s="90">
        <f t="shared" si="18"/>
        <v>1800</v>
      </c>
      <c r="T33" s="302">
        <f t="shared" si="19"/>
        <v>316.52500000000009</v>
      </c>
      <c r="U33" s="303" t="str">
        <f t="shared" si="20"/>
        <v>No</v>
      </c>
      <c r="V33" s="213"/>
      <c r="W33" s="213"/>
      <c r="Y33" s="258"/>
      <c r="Z33" s="214"/>
      <c r="AA33" s="86"/>
    </row>
    <row r="34" spans="1:38" ht="14.25" customHeight="1" thickBot="1">
      <c r="A34" s="564"/>
      <c r="B34" s="94" t="s">
        <v>385</v>
      </c>
      <c r="C34" s="93" t="s">
        <v>384</v>
      </c>
      <c r="D34" s="105">
        <v>894.93</v>
      </c>
      <c r="E34" s="245">
        <f t="shared" si="5"/>
        <v>150</v>
      </c>
      <c r="F34" s="105">
        <v>185.4342</v>
      </c>
      <c r="G34" s="82">
        <v>2.5</v>
      </c>
      <c r="H34" s="92">
        <f t="shared" si="6"/>
        <v>463.58550000000002</v>
      </c>
      <c r="I34" s="81">
        <f t="shared" si="7"/>
        <v>4</v>
      </c>
      <c r="J34" s="274">
        <f t="shared" si="17"/>
        <v>600</v>
      </c>
      <c r="K34" s="81">
        <f t="shared" si="1"/>
        <v>136.41449999999998</v>
      </c>
      <c r="L34" s="82">
        <f t="shared" si="8"/>
        <v>77.264250000000004</v>
      </c>
      <c r="M34" s="99" t="s">
        <v>383</v>
      </c>
      <c r="N34" s="104">
        <v>975.03499999999997</v>
      </c>
      <c r="O34" s="168">
        <f t="shared" si="9"/>
        <v>150</v>
      </c>
      <c r="P34" s="80">
        <f t="shared" si="21"/>
        <v>185.4342</v>
      </c>
      <c r="Q34" s="79">
        <v>2.5</v>
      </c>
      <c r="R34" s="252">
        <f t="shared" si="11"/>
        <v>463.58550000000002</v>
      </c>
      <c r="S34" s="80">
        <f t="shared" si="18"/>
        <v>600</v>
      </c>
      <c r="T34" s="191">
        <f t="shared" si="19"/>
        <v>136.41449999999998</v>
      </c>
      <c r="U34" s="204" t="str">
        <f t="shared" si="20"/>
        <v>No</v>
      </c>
      <c r="V34" s="384"/>
      <c r="W34" s="384"/>
      <c r="Y34" s="153" t="s">
        <v>369</v>
      </c>
      <c r="Z34" s="227">
        <f>SUM(Z29:Z33)</f>
        <v>330</v>
      </c>
      <c r="AB34" s="57"/>
    </row>
    <row r="35" spans="1:38" ht="14.25" customHeight="1" thickBot="1">
      <c r="A35" s="564"/>
      <c r="B35" s="94" t="s">
        <v>381</v>
      </c>
      <c r="C35" s="93" t="s">
        <v>380</v>
      </c>
      <c r="D35" s="92">
        <v>553.46500000000003</v>
      </c>
      <c r="E35" s="245">
        <f t="shared" si="5"/>
        <v>150</v>
      </c>
      <c r="F35" s="92">
        <v>491.47570000000002</v>
      </c>
      <c r="G35" s="82">
        <v>2.5</v>
      </c>
      <c r="H35" s="92">
        <f t="shared" si="6"/>
        <v>1228.6892500000001</v>
      </c>
      <c r="I35" s="81">
        <f t="shared" si="7"/>
        <v>10</v>
      </c>
      <c r="J35" s="274">
        <f t="shared" si="17"/>
        <v>1500</v>
      </c>
      <c r="K35" s="81">
        <f t="shared" si="1"/>
        <v>271.31074999999987</v>
      </c>
      <c r="L35" s="82">
        <f t="shared" si="8"/>
        <v>81.912616666666665</v>
      </c>
      <c r="M35" s="88" t="s">
        <v>379</v>
      </c>
      <c r="N35" s="90">
        <v>660.12</v>
      </c>
      <c r="O35" s="168">
        <f t="shared" si="9"/>
        <v>150</v>
      </c>
      <c r="P35" s="80">
        <f t="shared" si="21"/>
        <v>491.47570000000002</v>
      </c>
      <c r="Q35" s="79">
        <v>2.5</v>
      </c>
      <c r="R35" s="252">
        <f t="shared" si="11"/>
        <v>1228.6892500000001</v>
      </c>
      <c r="S35" s="80">
        <f t="shared" si="18"/>
        <v>1500</v>
      </c>
      <c r="T35" s="191">
        <f t="shared" si="19"/>
        <v>271.31074999999987</v>
      </c>
      <c r="U35" s="204" t="str">
        <f t="shared" si="20"/>
        <v>No</v>
      </c>
      <c r="V35" s="384"/>
      <c r="W35" s="384"/>
      <c r="Y35" s="226" t="s">
        <v>365</v>
      </c>
      <c r="Z35" s="225">
        <f>Z34/J57</f>
        <v>7.1505958829902495E-3</v>
      </c>
    </row>
    <row r="36" spans="1:38" ht="13.5" thickBot="1">
      <c r="A36" s="562" t="s">
        <v>374</v>
      </c>
      <c r="B36" s="84" t="s">
        <v>378</v>
      </c>
      <c r="C36" s="83" t="s">
        <v>377</v>
      </c>
      <c r="D36" s="82">
        <v>839.23</v>
      </c>
      <c r="E36" s="243">
        <f t="shared" si="5"/>
        <v>150</v>
      </c>
      <c r="F36" s="82">
        <v>213.84829999999999</v>
      </c>
      <c r="G36" s="82">
        <v>2.5</v>
      </c>
      <c r="H36" s="82">
        <f t="shared" si="6"/>
        <v>534.62075000000004</v>
      </c>
      <c r="I36" s="81">
        <f t="shared" si="7"/>
        <v>5</v>
      </c>
      <c r="J36" s="270">
        <f t="shared" si="17"/>
        <v>750</v>
      </c>
      <c r="K36" s="81">
        <f t="shared" si="1"/>
        <v>215.37924999999996</v>
      </c>
      <c r="L36" s="82">
        <f t="shared" si="8"/>
        <v>71.282766666666674</v>
      </c>
      <c r="M36" s="98" t="s">
        <v>376</v>
      </c>
      <c r="N36" s="80">
        <v>844.89</v>
      </c>
      <c r="O36" s="168">
        <f t="shared" si="9"/>
        <v>150</v>
      </c>
      <c r="P36" s="80">
        <f t="shared" si="21"/>
        <v>213.84829999999999</v>
      </c>
      <c r="Q36" s="79">
        <v>2.5</v>
      </c>
      <c r="R36" s="251">
        <f t="shared" si="11"/>
        <v>534.62075000000004</v>
      </c>
      <c r="S36" s="80">
        <f t="shared" si="18"/>
        <v>750</v>
      </c>
      <c r="T36" s="191">
        <f t="shared" si="19"/>
        <v>215.37924999999996</v>
      </c>
      <c r="U36" s="204" t="str">
        <f t="shared" si="20"/>
        <v>No</v>
      </c>
      <c r="V36" s="384"/>
      <c r="W36" s="384"/>
      <c r="AA36" s="266"/>
    </row>
    <row r="37" spans="1:38" ht="14.25" customHeight="1" thickBot="1">
      <c r="A37" s="564"/>
      <c r="B37" s="94" t="s">
        <v>375</v>
      </c>
      <c r="C37" s="93" t="s">
        <v>374</v>
      </c>
      <c r="D37" s="92">
        <v>497.76499999999999</v>
      </c>
      <c r="E37" s="244">
        <f t="shared" si="5"/>
        <v>200</v>
      </c>
      <c r="F37" s="92">
        <v>1151.328</v>
      </c>
      <c r="G37" s="82">
        <v>2.5</v>
      </c>
      <c r="H37" s="72">
        <f t="shared" si="6"/>
        <v>2878.3199999999997</v>
      </c>
      <c r="I37" s="81">
        <f t="shared" si="7"/>
        <v>18</v>
      </c>
      <c r="J37" s="272">
        <f t="shared" si="17"/>
        <v>3600</v>
      </c>
      <c r="K37" s="81">
        <f t="shared" si="1"/>
        <v>721.68000000000029</v>
      </c>
      <c r="L37" s="82">
        <f t="shared" si="8"/>
        <v>79.953333333333319</v>
      </c>
      <c r="M37" s="88" t="s">
        <v>373</v>
      </c>
      <c r="N37" s="90">
        <v>503.42500000000001</v>
      </c>
      <c r="O37" s="168">
        <f t="shared" si="9"/>
        <v>200</v>
      </c>
      <c r="P37" s="80">
        <f t="shared" si="21"/>
        <v>1151.328</v>
      </c>
      <c r="Q37" s="79">
        <v>2.5</v>
      </c>
      <c r="R37" s="253">
        <f t="shared" si="11"/>
        <v>2878.3199999999997</v>
      </c>
      <c r="S37" s="80">
        <f t="shared" si="18"/>
        <v>3600</v>
      </c>
      <c r="T37" s="191">
        <f t="shared" si="19"/>
        <v>721.68000000000029</v>
      </c>
      <c r="U37" s="204" t="str">
        <f t="shared" si="20"/>
        <v>No</v>
      </c>
      <c r="V37" s="224"/>
      <c r="W37" s="224"/>
      <c r="AA37" s="266"/>
    </row>
    <row r="38" spans="1:38" ht="13.5" thickBot="1">
      <c r="A38" s="372" t="s">
        <v>371</v>
      </c>
      <c r="B38" s="84" t="s">
        <v>372</v>
      </c>
      <c r="C38" s="83" t="s">
        <v>371</v>
      </c>
      <c r="D38" s="82">
        <v>285.27999999999997</v>
      </c>
      <c r="E38" s="92">
        <f t="shared" si="5"/>
        <v>250</v>
      </c>
      <c r="F38" s="82">
        <v>779.52329999999995</v>
      </c>
      <c r="G38" s="82">
        <v>2.5</v>
      </c>
      <c r="H38" s="92">
        <f t="shared" si="6"/>
        <v>1948.8082499999998</v>
      </c>
      <c r="I38" s="81">
        <f t="shared" si="7"/>
        <v>10</v>
      </c>
      <c r="J38" s="242">
        <f t="shared" si="17"/>
        <v>2500</v>
      </c>
      <c r="K38" s="81">
        <f t="shared" si="1"/>
        <v>551.19175000000018</v>
      </c>
      <c r="L38" s="82">
        <f t="shared" si="8"/>
        <v>77.952329999999989</v>
      </c>
      <c r="M38" s="80" t="s">
        <v>370</v>
      </c>
      <c r="N38" s="80">
        <v>539.80499999999995</v>
      </c>
      <c r="O38" s="168">
        <f t="shared" si="9"/>
        <v>150</v>
      </c>
      <c r="P38" s="80">
        <f t="shared" si="21"/>
        <v>779.52329999999995</v>
      </c>
      <c r="Q38" s="79">
        <v>2.5</v>
      </c>
      <c r="R38" s="89">
        <f t="shared" si="11"/>
        <v>1948.8082499999998</v>
      </c>
      <c r="S38" s="80">
        <f t="shared" si="18"/>
        <v>1500</v>
      </c>
      <c r="T38" s="191">
        <f t="shared" si="19"/>
        <v>-448.80824999999982</v>
      </c>
      <c r="U38" s="204" t="str">
        <f t="shared" si="20"/>
        <v>Yes</v>
      </c>
      <c r="V38" s="206" t="s">
        <v>19</v>
      </c>
      <c r="W38" s="205">
        <v>220</v>
      </c>
    </row>
    <row r="39" spans="1:38" ht="13.5" thickBot="1">
      <c r="A39" s="562" t="s">
        <v>60</v>
      </c>
      <c r="B39" s="84" t="s">
        <v>368</v>
      </c>
      <c r="C39" s="83" t="s">
        <v>367</v>
      </c>
      <c r="D39" s="82">
        <v>239.47</v>
      </c>
      <c r="E39" s="243">
        <f t="shared" si="5"/>
        <v>250</v>
      </c>
      <c r="F39" s="82">
        <v>886.15449999999998</v>
      </c>
      <c r="G39" s="82">
        <v>2.5</v>
      </c>
      <c r="H39" s="82">
        <f t="shared" si="6"/>
        <v>2215.38625</v>
      </c>
      <c r="I39" s="81">
        <f t="shared" si="7"/>
        <v>11</v>
      </c>
      <c r="J39" s="270">
        <f t="shared" si="17"/>
        <v>2750</v>
      </c>
      <c r="K39" s="81">
        <f t="shared" si="1"/>
        <v>534.61374999999998</v>
      </c>
      <c r="L39" s="82">
        <f t="shared" si="8"/>
        <v>80.5595</v>
      </c>
      <c r="M39" s="98" t="s">
        <v>366</v>
      </c>
      <c r="N39" s="80">
        <v>585.61500000000001</v>
      </c>
      <c r="O39" s="168">
        <f t="shared" si="9"/>
        <v>150</v>
      </c>
      <c r="P39" s="80">
        <f t="shared" si="21"/>
        <v>886.15449999999998</v>
      </c>
      <c r="Q39" s="79">
        <v>2.5</v>
      </c>
      <c r="R39" s="251">
        <f t="shared" si="11"/>
        <v>2215.38625</v>
      </c>
      <c r="S39" s="80">
        <f t="shared" si="18"/>
        <v>1650</v>
      </c>
      <c r="T39" s="191">
        <f t="shared" si="19"/>
        <v>-565.38625000000002</v>
      </c>
      <c r="U39" s="204" t="str">
        <f t="shared" si="20"/>
        <v>Yes</v>
      </c>
      <c r="V39" s="203" t="s">
        <v>28</v>
      </c>
      <c r="W39" s="202">
        <v>110</v>
      </c>
    </row>
    <row r="40" spans="1:38" ht="14.25" customHeight="1" thickBot="1">
      <c r="A40" s="563"/>
      <c r="B40" s="74" t="s">
        <v>364</v>
      </c>
      <c r="C40" s="73" t="s">
        <v>61</v>
      </c>
      <c r="D40" s="72">
        <v>381.34</v>
      </c>
      <c r="E40" s="245">
        <f t="shared" si="5"/>
        <v>200</v>
      </c>
      <c r="F40" s="72">
        <v>233.80699999999999</v>
      </c>
      <c r="G40" s="82">
        <v>2.5</v>
      </c>
      <c r="H40" s="92">
        <f t="shared" si="6"/>
        <v>584.51749999999993</v>
      </c>
      <c r="I40" s="81">
        <f t="shared" si="7"/>
        <v>4</v>
      </c>
      <c r="J40" s="274">
        <f t="shared" si="17"/>
        <v>800</v>
      </c>
      <c r="K40" s="81">
        <f t="shared" si="1"/>
        <v>215.48250000000007</v>
      </c>
      <c r="L40" s="82">
        <f t="shared" si="8"/>
        <v>73.064687499999991</v>
      </c>
      <c r="M40" s="69" t="s">
        <v>328</v>
      </c>
      <c r="N40" s="70">
        <v>673.16499999999996</v>
      </c>
      <c r="O40" s="168">
        <f t="shared" si="9"/>
        <v>150</v>
      </c>
      <c r="P40" s="80">
        <f t="shared" si="21"/>
        <v>233.80699999999999</v>
      </c>
      <c r="Q40" s="79">
        <v>2.5</v>
      </c>
      <c r="R40" s="252">
        <f t="shared" si="11"/>
        <v>584.51749999999993</v>
      </c>
      <c r="S40" s="80">
        <f t="shared" si="18"/>
        <v>600</v>
      </c>
      <c r="T40" s="191">
        <f t="shared" si="19"/>
        <v>15.482500000000073</v>
      </c>
      <c r="U40" s="204" t="str">
        <f t="shared" si="20"/>
        <v>No</v>
      </c>
      <c r="V40" s="201"/>
      <c r="W40" s="200"/>
    </row>
    <row r="41" spans="1:38" ht="13.5" thickBot="1">
      <c r="A41" s="564" t="s">
        <v>363</v>
      </c>
      <c r="B41" s="62" t="s">
        <v>362</v>
      </c>
      <c r="C41" s="111" t="s">
        <v>74</v>
      </c>
      <c r="D41" s="92">
        <v>632.29499999999996</v>
      </c>
      <c r="E41" s="243">
        <f t="shared" si="5"/>
        <v>150</v>
      </c>
      <c r="F41" s="92">
        <v>416.14780000000002</v>
      </c>
      <c r="G41" s="82">
        <v>2.5</v>
      </c>
      <c r="H41" s="82">
        <f t="shared" si="6"/>
        <v>1040.3695</v>
      </c>
      <c r="I41" s="81">
        <f t="shared" si="7"/>
        <v>9</v>
      </c>
      <c r="J41" s="270">
        <f t="shared" si="17"/>
        <v>1350</v>
      </c>
      <c r="K41" s="81">
        <f t="shared" si="1"/>
        <v>309.63049999999998</v>
      </c>
      <c r="L41" s="82">
        <f t="shared" si="8"/>
        <v>77.064407407407415</v>
      </c>
      <c r="M41" s="88" t="s">
        <v>361</v>
      </c>
      <c r="N41" s="90">
        <v>692.19500000000005</v>
      </c>
      <c r="O41" s="168">
        <f t="shared" si="9"/>
        <v>150</v>
      </c>
      <c r="P41" s="80">
        <f t="shared" si="21"/>
        <v>416.14780000000002</v>
      </c>
      <c r="Q41" s="79">
        <v>2.5</v>
      </c>
      <c r="R41" s="251">
        <f t="shared" si="11"/>
        <v>1040.3695</v>
      </c>
      <c r="S41" s="80">
        <f t="shared" si="18"/>
        <v>1350</v>
      </c>
      <c r="T41" s="191">
        <f t="shared" si="19"/>
        <v>309.63049999999998</v>
      </c>
      <c r="U41" s="348" t="str">
        <f t="shared" si="20"/>
        <v>No</v>
      </c>
      <c r="V41" s="350"/>
      <c r="W41" s="351"/>
    </row>
    <row r="42" spans="1:38" ht="14.25" customHeight="1" thickBot="1">
      <c r="A42" s="564"/>
      <c r="B42" s="94" t="s">
        <v>360</v>
      </c>
      <c r="C42" s="93" t="s">
        <v>55</v>
      </c>
      <c r="D42" s="105">
        <v>566.26</v>
      </c>
      <c r="E42" s="245">
        <f t="shared" si="5"/>
        <v>150</v>
      </c>
      <c r="F42" s="105">
        <v>424.66829999999999</v>
      </c>
      <c r="G42" s="82">
        <v>2.5</v>
      </c>
      <c r="H42" s="92">
        <f t="shared" si="6"/>
        <v>1061.67075</v>
      </c>
      <c r="I42" s="81">
        <f t="shared" si="7"/>
        <v>9</v>
      </c>
      <c r="J42" s="274">
        <f t="shared" si="17"/>
        <v>1350</v>
      </c>
      <c r="K42" s="81">
        <f t="shared" si="1"/>
        <v>288.32925</v>
      </c>
      <c r="L42" s="82">
        <f t="shared" si="8"/>
        <v>78.642277777777778</v>
      </c>
      <c r="M42" s="99" t="s">
        <v>359</v>
      </c>
      <c r="N42" s="104">
        <v>1033.6600000000001</v>
      </c>
      <c r="O42" s="168">
        <f t="shared" si="9"/>
        <v>150</v>
      </c>
      <c r="P42" s="80">
        <f t="shared" si="21"/>
        <v>424.66829999999999</v>
      </c>
      <c r="Q42" s="79">
        <v>2.5</v>
      </c>
      <c r="R42" s="252">
        <f t="shared" si="11"/>
        <v>1061.67075</v>
      </c>
      <c r="S42" s="80">
        <f t="shared" si="18"/>
        <v>1350</v>
      </c>
      <c r="T42" s="191">
        <f t="shared" si="19"/>
        <v>288.32925</v>
      </c>
      <c r="U42" s="348" t="str">
        <f t="shared" si="20"/>
        <v>No</v>
      </c>
      <c r="V42" s="352" t="s">
        <v>351</v>
      </c>
      <c r="W42" s="353"/>
      <c r="X42" s="558" t="s">
        <v>598</v>
      </c>
      <c r="Y42" s="558"/>
      <c r="Z42" s="558"/>
      <c r="AA42" s="558"/>
      <c r="AB42" s="558"/>
      <c r="AC42" s="559"/>
      <c r="AD42" s="154"/>
      <c r="AI42" s="486"/>
      <c r="AJ42" s="486"/>
      <c r="AK42" s="486"/>
      <c r="AL42" s="486"/>
    </row>
    <row r="43" spans="1:38" ht="14.25" customHeight="1" thickBot="1">
      <c r="A43" s="564"/>
      <c r="B43" s="94" t="s">
        <v>358</v>
      </c>
      <c r="C43" s="93" t="s">
        <v>62</v>
      </c>
      <c r="D43" s="92">
        <v>174.54</v>
      </c>
      <c r="E43" s="244">
        <f t="shared" si="5"/>
        <v>250</v>
      </c>
      <c r="F43" s="92">
        <v>80.336669999999998</v>
      </c>
      <c r="G43" s="82">
        <v>2.5</v>
      </c>
      <c r="H43" s="72">
        <f t="shared" si="6"/>
        <v>200.84167500000001</v>
      </c>
      <c r="I43" s="81">
        <f t="shared" si="7"/>
        <v>1</v>
      </c>
      <c r="J43" s="272">
        <f t="shared" si="17"/>
        <v>250</v>
      </c>
      <c r="K43" s="81">
        <f t="shared" si="1"/>
        <v>49.158324999999991</v>
      </c>
      <c r="L43" s="82">
        <f t="shared" si="8"/>
        <v>80.336669999999998</v>
      </c>
      <c r="M43" s="88" t="s">
        <v>357</v>
      </c>
      <c r="N43" s="90">
        <v>811.21</v>
      </c>
      <c r="O43" s="168">
        <f t="shared" si="9"/>
        <v>150</v>
      </c>
      <c r="P43" s="80">
        <f t="shared" si="21"/>
        <v>80.336669999999998</v>
      </c>
      <c r="Q43" s="79">
        <v>2.5</v>
      </c>
      <c r="R43" s="253">
        <f t="shared" si="11"/>
        <v>200.84167500000001</v>
      </c>
      <c r="S43" s="80">
        <f t="shared" si="18"/>
        <v>150</v>
      </c>
      <c r="T43" s="191">
        <f t="shared" si="19"/>
        <v>-50.841675000000009</v>
      </c>
      <c r="U43" s="348" t="str">
        <f t="shared" si="20"/>
        <v>Yes</v>
      </c>
      <c r="V43" s="354"/>
      <c r="W43" s="355"/>
      <c r="X43" s="349" t="s">
        <v>491</v>
      </c>
      <c r="Y43" s="333" t="s">
        <v>493</v>
      </c>
      <c r="Z43" s="333" t="s">
        <v>494</v>
      </c>
      <c r="AA43" s="333" t="s">
        <v>495</v>
      </c>
      <c r="AB43" s="333" t="s">
        <v>496</v>
      </c>
      <c r="AC43" s="334" t="s">
        <v>562</v>
      </c>
      <c r="AD43" s="290" t="s">
        <v>415</v>
      </c>
      <c r="AI43" s="486"/>
      <c r="AJ43" s="486"/>
      <c r="AK43" s="486"/>
      <c r="AL43" s="491"/>
    </row>
    <row r="44" spans="1:38" ht="13.5" thickBot="1">
      <c r="A44" s="372" t="s">
        <v>355</v>
      </c>
      <c r="B44" s="84" t="s">
        <v>356</v>
      </c>
      <c r="C44" s="83" t="s">
        <v>355</v>
      </c>
      <c r="D44" s="82">
        <v>517.28</v>
      </c>
      <c r="E44" s="92">
        <f t="shared" si="5"/>
        <v>200</v>
      </c>
      <c r="F44" s="82">
        <v>67.241829999999993</v>
      </c>
      <c r="G44" s="82">
        <v>2.5</v>
      </c>
      <c r="H44" s="92">
        <f t="shared" si="6"/>
        <v>168.10457499999998</v>
      </c>
      <c r="I44" s="81">
        <f t="shared" si="7"/>
        <v>2</v>
      </c>
      <c r="J44" s="242">
        <f t="shared" si="17"/>
        <v>400</v>
      </c>
      <c r="K44" s="81">
        <f t="shared" si="1"/>
        <v>231.89542500000002</v>
      </c>
      <c r="L44" s="82">
        <f t="shared" si="8"/>
        <v>42.026143749999996</v>
      </c>
      <c r="M44" s="80" t="s">
        <v>354</v>
      </c>
      <c r="N44" s="80">
        <v>607.995</v>
      </c>
      <c r="O44" s="168">
        <f t="shared" si="9"/>
        <v>150</v>
      </c>
      <c r="P44" s="80">
        <f t="shared" si="21"/>
        <v>67.241829999999993</v>
      </c>
      <c r="Q44" s="79">
        <v>2.5</v>
      </c>
      <c r="R44" s="89">
        <f t="shared" si="11"/>
        <v>168.10457499999998</v>
      </c>
      <c r="S44" s="80">
        <f t="shared" si="18"/>
        <v>300</v>
      </c>
      <c r="T44" s="191">
        <f t="shared" si="19"/>
        <v>131.89542500000002</v>
      </c>
      <c r="U44" s="204" t="str">
        <f t="shared" si="20"/>
        <v>No</v>
      </c>
      <c r="V44" s="223"/>
      <c r="X44" s="59" t="s">
        <v>84</v>
      </c>
      <c r="Y44" s="335">
        <v>0</v>
      </c>
      <c r="Z44" s="335">
        <v>0</v>
      </c>
      <c r="AA44" s="336">
        <v>0</v>
      </c>
      <c r="AB44" s="336">
        <v>0</v>
      </c>
      <c r="AC44" s="337">
        <v>0</v>
      </c>
      <c r="AD44" s="338">
        <f>SUM(Y44:AC44)</f>
        <v>0</v>
      </c>
      <c r="AI44" s="486"/>
      <c r="AJ44" s="486"/>
      <c r="AK44" s="486"/>
      <c r="AL44" s="486"/>
    </row>
    <row r="45" spans="1:38" ht="13.5" thickBot="1">
      <c r="A45" s="562" t="s">
        <v>349</v>
      </c>
      <c r="B45" s="84" t="s">
        <v>353</v>
      </c>
      <c r="C45" s="83" t="s">
        <v>342</v>
      </c>
      <c r="D45" s="82">
        <v>592.98500000000001</v>
      </c>
      <c r="E45" s="243">
        <f t="shared" si="5"/>
        <v>150</v>
      </c>
      <c r="F45" s="82">
        <v>175.91919999999999</v>
      </c>
      <c r="G45" s="82">
        <v>2.5</v>
      </c>
      <c r="H45" s="82">
        <f t="shared" si="6"/>
        <v>439.798</v>
      </c>
      <c r="I45" s="81">
        <f t="shared" si="7"/>
        <v>4</v>
      </c>
      <c r="J45" s="270">
        <f t="shared" si="17"/>
        <v>600</v>
      </c>
      <c r="K45" s="81">
        <f t="shared" si="1"/>
        <v>160.202</v>
      </c>
      <c r="L45" s="82">
        <f t="shared" si="8"/>
        <v>73.299666666666667</v>
      </c>
      <c r="M45" s="98" t="s">
        <v>352</v>
      </c>
      <c r="N45" s="80">
        <v>1051.23</v>
      </c>
      <c r="O45" s="168">
        <f t="shared" si="9"/>
        <v>150</v>
      </c>
      <c r="P45" s="80">
        <f t="shared" si="21"/>
        <v>175.91919999999999</v>
      </c>
      <c r="Q45" s="79">
        <v>2.5</v>
      </c>
      <c r="R45" s="251">
        <f t="shared" si="11"/>
        <v>439.798</v>
      </c>
      <c r="S45" s="80">
        <f t="shared" si="18"/>
        <v>600</v>
      </c>
      <c r="T45" s="191">
        <f t="shared" si="19"/>
        <v>160.202</v>
      </c>
      <c r="U45" s="204" t="str">
        <f t="shared" si="20"/>
        <v>No</v>
      </c>
      <c r="V45" s="223"/>
      <c r="X45" s="59" t="s">
        <v>85</v>
      </c>
      <c r="Y45" s="335">
        <v>0</v>
      </c>
      <c r="Z45" s="335">
        <v>0</v>
      </c>
      <c r="AA45" s="335">
        <v>0</v>
      </c>
      <c r="AB45" s="335">
        <v>0</v>
      </c>
      <c r="AC45" s="337">
        <v>0</v>
      </c>
      <c r="AD45" s="59">
        <f t="shared" ref="AD45:AD55" si="22">SUM(Y45:AC45)</f>
        <v>0</v>
      </c>
      <c r="AI45" s="486"/>
      <c r="AJ45" s="486"/>
      <c r="AK45" s="486"/>
      <c r="AL45" s="486"/>
    </row>
    <row r="46" spans="1:38" ht="14.25" customHeight="1" thickBot="1">
      <c r="A46" s="564"/>
      <c r="B46" s="94" t="s">
        <v>350</v>
      </c>
      <c r="C46" s="93" t="s">
        <v>349</v>
      </c>
      <c r="D46" s="105">
        <v>374.84</v>
      </c>
      <c r="E46" s="245">
        <f t="shared" si="5"/>
        <v>200</v>
      </c>
      <c r="F46" s="105">
        <v>115.1143</v>
      </c>
      <c r="G46" s="82">
        <v>2.5</v>
      </c>
      <c r="H46" s="92">
        <f t="shared" si="6"/>
        <v>287.78575000000001</v>
      </c>
      <c r="I46" s="81">
        <f t="shared" si="7"/>
        <v>2</v>
      </c>
      <c r="J46" s="274">
        <f t="shared" si="17"/>
        <v>400</v>
      </c>
      <c r="K46" s="81">
        <f t="shared" si="1"/>
        <v>112.21424999999999</v>
      </c>
      <c r="L46" s="82">
        <f t="shared" si="8"/>
        <v>71.946437500000002</v>
      </c>
      <c r="M46" s="99" t="s">
        <v>348</v>
      </c>
      <c r="N46" s="104">
        <v>838.745</v>
      </c>
      <c r="O46" s="168">
        <f t="shared" si="9"/>
        <v>150</v>
      </c>
      <c r="P46" s="80">
        <f t="shared" si="21"/>
        <v>115.1143</v>
      </c>
      <c r="Q46" s="79">
        <v>2.5</v>
      </c>
      <c r="R46" s="252">
        <f t="shared" si="11"/>
        <v>287.78575000000001</v>
      </c>
      <c r="S46" s="80">
        <f t="shared" si="18"/>
        <v>300</v>
      </c>
      <c r="T46" s="191">
        <f t="shared" si="19"/>
        <v>12.214249999999993</v>
      </c>
      <c r="U46" s="204" t="str">
        <f t="shared" si="20"/>
        <v>No</v>
      </c>
      <c r="V46" s="223"/>
      <c r="X46" s="59" t="s">
        <v>86</v>
      </c>
      <c r="Y46" s="335">
        <v>0</v>
      </c>
      <c r="Z46" s="335">
        <v>0</v>
      </c>
      <c r="AA46" s="335">
        <v>0</v>
      </c>
      <c r="AB46" s="335">
        <v>0</v>
      </c>
      <c r="AC46" s="337">
        <v>0</v>
      </c>
      <c r="AD46" s="59">
        <f t="shared" si="22"/>
        <v>0</v>
      </c>
      <c r="AF46" s="481" t="s">
        <v>498</v>
      </c>
      <c r="AG46" s="481" t="s">
        <v>499</v>
      </c>
      <c r="AH46" s="340" t="s">
        <v>500</v>
      </c>
      <c r="AI46" s="486"/>
      <c r="AJ46" s="486"/>
    </row>
    <row r="47" spans="1:38" ht="14.25" customHeight="1" thickBot="1">
      <c r="A47" s="564"/>
      <c r="B47" s="94" t="s">
        <v>347</v>
      </c>
      <c r="C47" s="93" t="s">
        <v>335</v>
      </c>
      <c r="D47" s="105">
        <v>675.17499999999995</v>
      </c>
      <c r="E47" s="245">
        <f t="shared" si="5"/>
        <v>150</v>
      </c>
      <c r="F47" s="105">
        <v>87.5685</v>
      </c>
      <c r="G47" s="82">
        <v>2.5</v>
      </c>
      <c r="H47" s="92">
        <f t="shared" si="6"/>
        <v>218.92124999999999</v>
      </c>
      <c r="I47" s="81">
        <f t="shared" si="7"/>
        <v>2</v>
      </c>
      <c r="J47" s="274">
        <f t="shared" si="17"/>
        <v>300</v>
      </c>
      <c r="K47" s="81">
        <f t="shared" si="1"/>
        <v>81.078750000000014</v>
      </c>
      <c r="L47" s="82">
        <f t="shared" si="8"/>
        <v>72.973749999999995</v>
      </c>
      <c r="M47" s="99" t="s">
        <v>346</v>
      </c>
      <c r="N47" s="104">
        <v>792.93499999999995</v>
      </c>
      <c r="O47" s="168">
        <f t="shared" si="9"/>
        <v>150</v>
      </c>
      <c r="P47" s="80">
        <f t="shared" si="21"/>
        <v>87.5685</v>
      </c>
      <c r="Q47" s="79">
        <v>2.5</v>
      </c>
      <c r="R47" s="252">
        <f t="shared" si="11"/>
        <v>218.92124999999999</v>
      </c>
      <c r="S47" s="80">
        <f t="shared" si="18"/>
        <v>300</v>
      </c>
      <c r="T47" s="191">
        <f t="shared" si="19"/>
        <v>81.078750000000014</v>
      </c>
      <c r="U47" s="204" t="str">
        <f t="shared" si="20"/>
        <v>No</v>
      </c>
      <c r="V47" s="223"/>
      <c r="X47" s="59" t="s">
        <v>87</v>
      </c>
      <c r="Y47" s="335">
        <v>1</v>
      </c>
      <c r="Z47" s="335">
        <v>1</v>
      </c>
      <c r="AA47" s="335">
        <v>0</v>
      </c>
      <c r="AB47" s="335">
        <v>0</v>
      </c>
      <c r="AC47" s="337">
        <v>0</v>
      </c>
      <c r="AD47" s="59">
        <f t="shared" si="22"/>
        <v>2</v>
      </c>
      <c r="AF47" s="60" t="s">
        <v>493</v>
      </c>
      <c r="AG47" s="60">
        <v>100</v>
      </c>
      <c r="AH47" s="492">
        <v>15</v>
      </c>
      <c r="AI47" s="486"/>
      <c r="AJ47" s="486"/>
    </row>
    <row r="48" spans="1:38" ht="14.25" customHeight="1" thickBot="1">
      <c r="A48" s="564"/>
      <c r="B48" s="94" t="s">
        <v>339</v>
      </c>
      <c r="C48" s="93" t="s">
        <v>338</v>
      </c>
      <c r="D48" s="92">
        <v>768.38499999999999</v>
      </c>
      <c r="E48" s="245">
        <f t="shared" si="5"/>
        <v>150</v>
      </c>
      <c r="F48" s="92">
        <v>46.164000000000001</v>
      </c>
      <c r="G48" s="82">
        <v>2.5</v>
      </c>
      <c r="H48" s="92">
        <f t="shared" si="6"/>
        <v>115.41</v>
      </c>
      <c r="I48" s="81">
        <f t="shared" si="7"/>
        <v>1</v>
      </c>
      <c r="J48" s="274">
        <f t="shared" si="17"/>
        <v>150</v>
      </c>
      <c r="K48" s="81">
        <f t="shared" si="1"/>
        <v>34.590000000000003</v>
      </c>
      <c r="L48" s="82">
        <f t="shared" si="8"/>
        <v>76.94</v>
      </c>
      <c r="M48" s="88" t="s">
        <v>345</v>
      </c>
      <c r="N48" s="90">
        <v>934.80499999999995</v>
      </c>
      <c r="O48" s="168">
        <f t="shared" si="9"/>
        <v>150</v>
      </c>
      <c r="P48" s="80">
        <f t="shared" si="21"/>
        <v>46.164000000000001</v>
      </c>
      <c r="Q48" s="79">
        <v>2.5</v>
      </c>
      <c r="R48" s="252">
        <f t="shared" si="11"/>
        <v>115.41</v>
      </c>
      <c r="S48" s="80">
        <f t="shared" si="18"/>
        <v>150</v>
      </c>
      <c r="T48" s="191">
        <f t="shared" si="19"/>
        <v>34.590000000000003</v>
      </c>
      <c r="U48" s="204" t="str">
        <f t="shared" si="20"/>
        <v>No</v>
      </c>
      <c r="V48" s="223"/>
      <c r="X48" s="59" t="s">
        <v>88</v>
      </c>
      <c r="Y48" s="335">
        <v>0</v>
      </c>
      <c r="Z48" s="335">
        <v>0</v>
      </c>
      <c r="AA48" s="335">
        <v>0</v>
      </c>
      <c r="AB48" s="335">
        <v>0</v>
      </c>
      <c r="AC48" s="337">
        <v>0</v>
      </c>
      <c r="AD48" s="59">
        <f t="shared" si="22"/>
        <v>0</v>
      </c>
      <c r="AE48" s="384"/>
      <c r="AF48" s="341" t="s">
        <v>494</v>
      </c>
      <c r="AG48" s="341">
        <v>150</v>
      </c>
      <c r="AH48" s="493">
        <v>16.3689</v>
      </c>
      <c r="AI48" s="486"/>
      <c r="AJ48" s="486"/>
      <c r="AL48" s="486"/>
    </row>
    <row r="49" spans="1:38" ht="13.5" thickBot="1">
      <c r="A49" s="562" t="s">
        <v>344</v>
      </c>
      <c r="B49" s="84" t="s">
        <v>343</v>
      </c>
      <c r="C49" s="83" t="s">
        <v>342</v>
      </c>
      <c r="D49" s="82">
        <v>592.98500000000001</v>
      </c>
      <c r="E49" s="243">
        <f t="shared" si="5"/>
        <v>150</v>
      </c>
      <c r="F49" s="82">
        <v>175.91919999999999</v>
      </c>
      <c r="G49" s="82">
        <v>2.5</v>
      </c>
      <c r="H49" s="82">
        <f t="shared" si="6"/>
        <v>439.798</v>
      </c>
      <c r="I49" s="81">
        <f t="shared" si="7"/>
        <v>4</v>
      </c>
      <c r="J49" s="270">
        <f t="shared" si="17"/>
        <v>600</v>
      </c>
      <c r="K49" s="81">
        <f t="shared" si="1"/>
        <v>160.202</v>
      </c>
      <c r="L49" s="82">
        <f t="shared" si="8"/>
        <v>73.299666666666667</v>
      </c>
      <c r="M49" s="98" t="s">
        <v>341</v>
      </c>
      <c r="N49" s="80">
        <v>992.44500000000005</v>
      </c>
      <c r="O49" s="168">
        <f t="shared" si="9"/>
        <v>150</v>
      </c>
      <c r="P49" s="80">
        <f t="shared" si="21"/>
        <v>175.91919999999999</v>
      </c>
      <c r="Q49" s="79">
        <v>2.5</v>
      </c>
      <c r="R49" s="251">
        <f t="shared" si="11"/>
        <v>439.798</v>
      </c>
      <c r="S49" s="80">
        <f t="shared" si="18"/>
        <v>600</v>
      </c>
      <c r="T49" s="191">
        <f t="shared" si="19"/>
        <v>160.202</v>
      </c>
      <c r="U49" s="204" t="str">
        <f t="shared" si="20"/>
        <v>No</v>
      </c>
      <c r="V49" s="223"/>
      <c r="X49" s="59" t="s">
        <v>89</v>
      </c>
      <c r="Y49" s="335">
        <v>0</v>
      </c>
      <c r="Z49" s="335">
        <v>0</v>
      </c>
      <c r="AA49" s="335">
        <v>0</v>
      </c>
      <c r="AB49" s="335">
        <v>0</v>
      </c>
      <c r="AC49" s="337">
        <v>0</v>
      </c>
      <c r="AD49" s="59">
        <f t="shared" si="22"/>
        <v>0</v>
      </c>
      <c r="AE49" s="382"/>
      <c r="AF49" s="341" t="s">
        <v>495</v>
      </c>
      <c r="AG49" s="341">
        <v>200</v>
      </c>
      <c r="AH49" s="493">
        <v>16.746700000000001</v>
      </c>
      <c r="AI49" s="486"/>
      <c r="AJ49" s="486"/>
      <c r="AL49" s="486"/>
    </row>
    <row r="50" spans="1:38" ht="14.25" customHeight="1" thickBot="1">
      <c r="A50" s="564"/>
      <c r="B50" s="94" t="s">
        <v>339</v>
      </c>
      <c r="C50" s="93" t="s">
        <v>338</v>
      </c>
      <c r="D50" s="92">
        <v>768.38499999999999</v>
      </c>
      <c r="E50" s="245">
        <f t="shared" si="5"/>
        <v>150</v>
      </c>
      <c r="F50" s="92">
        <v>46.164000000000001</v>
      </c>
      <c r="G50" s="82">
        <v>2.5</v>
      </c>
      <c r="H50" s="92">
        <f t="shared" si="6"/>
        <v>115.41</v>
      </c>
      <c r="I50" s="81">
        <f t="shared" si="7"/>
        <v>1</v>
      </c>
      <c r="J50" s="274">
        <f t="shared" si="17"/>
        <v>150</v>
      </c>
      <c r="K50" s="81">
        <f t="shared" si="1"/>
        <v>34.590000000000003</v>
      </c>
      <c r="L50" s="82">
        <f t="shared" si="8"/>
        <v>76.94</v>
      </c>
      <c r="M50" s="88" t="s">
        <v>337</v>
      </c>
      <c r="N50" s="90">
        <v>817.04499999999996</v>
      </c>
      <c r="O50" s="168">
        <f t="shared" si="9"/>
        <v>150</v>
      </c>
      <c r="P50" s="80">
        <f t="shared" si="21"/>
        <v>46.164000000000001</v>
      </c>
      <c r="Q50" s="79">
        <v>2.5</v>
      </c>
      <c r="R50" s="252">
        <f t="shared" si="11"/>
        <v>115.41</v>
      </c>
      <c r="S50" s="80">
        <f t="shared" si="18"/>
        <v>150</v>
      </c>
      <c r="T50" s="191">
        <f t="shared" si="19"/>
        <v>34.590000000000003</v>
      </c>
      <c r="U50" s="204" t="str">
        <f t="shared" si="20"/>
        <v>No</v>
      </c>
      <c r="V50" s="223"/>
      <c r="X50" s="59" t="s">
        <v>90</v>
      </c>
      <c r="Y50" s="335">
        <v>0</v>
      </c>
      <c r="Z50" s="335">
        <v>0</v>
      </c>
      <c r="AA50" s="335">
        <v>0</v>
      </c>
      <c r="AB50" s="335">
        <v>0</v>
      </c>
      <c r="AC50" s="337">
        <v>0</v>
      </c>
      <c r="AD50" s="59">
        <f t="shared" si="22"/>
        <v>0</v>
      </c>
      <c r="AE50" s="382"/>
      <c r="AF50" s="341" t="s">
        <v>496</v>
      </c>
      <c r="AG50" s="341">
        <v>250</v>
      </c>
      <c r="AH50" s="493">
        <v>16.886600000000001</v>
      </c>
      <c r="AI50" s="486"/>
      <c r="AJ50" s="486"/>
      <c r="AL50" s="486"/>
    </row>
    <row r="51" spans="1:38" ht="13.5" thickBot="1">
      <c r="A51" s="562" t="s">
        <v>340</v>
      </c>
      <c r="B51" s="84" t="s">
        <v>339</v>
      </c>
      <c r="C51" s="83" t="s">
        <v>338</v>
      </c>
      <c r="D51" s="82">
        <v>768.38499999999999</v>
      </c>
      <c r="E51" s="243">
        <f t="shared" si="5"/>
        <v>150</v>
      </c>
      <c r="F51" s="82">
        <v>46.164000000000001</v>
      </c>
      <c r="G51" s="82">
        <v>2.5</v>
      </c>
      <c r="H51" s="82">
        <f t="shared" si="6"/>
        <v>115.41</v>
      </c>
      <c r="I51" s="81">
        <f t="shared" si="7"/>
        <v>1</v>
      </c>
      <c r="J51" s="270">
        <f t="shared" si="17"/>
        <v>150</v>
      </c>
      <c r="K51" s="81">
        <f t="shared" si="1"/>
        <v>34.590000000000003</v>
      </c>
      <c r="L51" s="82">
        <f t="shared" si="8"/>
        <v>76.94</v>
      </c>
      <c r="M51" s="98" t="s">
        <v>337</v>
      </c>
      <c r="N51" s="80">
        <v>817.04499999999996</v>
      </c>
      <c r="O51" s="168">
        <f t="shared" si="9"/>
        <v>150</v>
      </c>
      <c r="P51" s="80">
        <f t="shared" si="21"/>
        <v>46.164000000000001</v>
      </c>
      <c r="Q51" s="79">
        <v>2.5</v>
      </c>
      <c r="R51" s="251">
        <f t="shared" si="11"/>
        <v>115.41</v>
      </c>
      <c r="S51" s="80">
        <f t="shared" si="18"/>
        <v>150</v>
      </c>
      <c r="T51" s="191">
        <f t="shared" si="19"/>
        <v>34.590000000000003</v>
      </c>
      <c r="U51" s="204" t="str">
        <f t="shared" si="20"/>
        <v>No</v>
      </c>
      <c r="V51" s="223"/>
      <c r="X51" s="59" t="s">
        <v>91</v>
      </c>
      <c r="Y51" s="335">
        <v>0</v>
      </c>
      <c r="Z51" s="335">
        <v>1</v>
      </c>
      <c r="AA51" s="337">
        <v>0</v>
      </c>
      <c r="AB51" s="337">
        <v>0</v>
      </c>
      <c r="AC51" s="337">
        <v>0</v>
      </c>
      <c r="AD51" s="59">
        <f t="shared" si="22"/>
        <v>1</v>
      </c>
      <c r="AE51" s="384"/>
      <c r="AF51" s="342" t="s">
        <v>562</v>
      </c>
      <c r="AG51" s="342">
        <v>300</v>
      </c>
      <c r="AH51" s="494">
        <v>17</v>
      </c>
      <c r="AI51" s="486"/>
      <c r="AJ51" s="486"/>
      <c r="AL51" s="486"/>
    </row>
    <row r="52" spans="1:38" ht="14.25" customHeight="1" thickBot="1">
      <c r="A52" s="564"/>
      <c r="B52" s="94" t="s">
        <v>30</v>
      </c>
      <c r="C52" s="93" t="s">
        <v>326</v>
      </c>
      <c r="D52" s="92">
        <v>317.27</v>
      </c>
      <c r="E52" s="245">
        <f t="shared" si="5"/>
        <v>200</v>
      </c>
      <c r="F52" s="92">
        <v>136.87530000000001</v>
      </c>
      <c r="G52" s="82">
        <v>2.5</v>
      </c>
      <c r="H52" s="92">
        <f t="shared" si="6"/>
        <v>342.18825000000004</v>
      </c>
      <c r="I52" s="81">
        <f t="shared" si="7"/>
        <v>3</v>
      </c>
      <c r="J52" s="274">
        <f t="shared" si="17"/>
        <v>600</v>
      </c>
      <c r="K52" s="81">
        <f t="shared" si="1"/>
        <v>257.81174999999996</v>
      </c>
      <c r="L52" s="82">
        <f t="shared" si="8"/>
        <v>57.031375000000004</v>
      </c>
      <c r="M52" s="88" t="s">
        <v>325</v>
      </c>
      <c r="N52" s="90">
        <v>518.48</v>
      </c>
      <c r="O52" s="168">
        <f t="shared" si="9"/>
        <v>200</v>
      </c>
      <c r="P52" s="80">
        <f t="shared" si="21"/>
        <v>136.87530000000001</v>
      </c>
      <c r="Q52" s="79">
        <v>2.5</v>
      </c>
      <c r="R52" s="252">
        <f t="shared" si="11"/>
        <v>342.18825000000004</v>
      </c>
      <c r="S52" s="80">
        <f t="shared" si="18"/>
        <v>600</v>
      </c>
      <c r="T52" s="191">
        <f t="shared" si="19"/>
        <v>257.81174999999996</v>
      </c>
      <c r="U52" s="204" t="str">
        <f t="shared" si="20"/>
        <v>No</v>
      </c>
      <c r="V52" s="223"/>
      <c r="X52" s="59" t="s">
        <v>92</v>
      </c>
      <c r="Y52" s="337">
        <v>0</v>
      </c>
      <c r="Z52" s="337">
        <v>0</v>
      </c>
      <c r="AA52" s="337">
        <v>0</v>
      </c>
      <c r="AB52" s="337">
        <v>0</v>
      </c>
      <c r="AC52" s="337">
        <v>0</v>
      </c>
      <c r="AD52" s="59">
        <f t="shared" si="22"/>
        <v>0</v>
      </c>
      <c r="AE52" s="384"/>
      <c r="AF52" s="486"/>
      <c r="AG52" s="486"/>
      <c r="AI52" s="486"/>
      <c r="AJ52" s="486"/>
      <c r="AL52" s="486"/>
    </row>
    <row r="53" spans="1:38" ht="13.5" thickBot="1">
      <c r="A53" s="562" t="s">
        <v>336</v>
      </c>
      <c r="B53" s="84" t="s">
        <v>28</v>
      </c>
      <c r="C53" s="83" t="s">
        <v>335</v>
      </c>
      <c r="D53" s="82">
        <v>675.17499999999995</v>
      </c>
      <c r="E53" s="243">
        <f t="shared" si="5"/>
        <v>150</v>
      </c>
      <c r="F53" s="82">
        <v>87.5685</v>
      </c>
      <c r="G53" s="82">
        <v>2.5</v>
      </c>
      <c r="H53" s="82">
        <f t="shared" si="6"/>
        <v>218.92124999999999</v>
      </c>
      <c r="I53" s="81">
        <f t="shared" si="7"/>
        <v>2</v>
      </c>
      <c r="J53" s="270">
        <f t="shared" si="17"/>
        <v>300</v>
      </c>
      <c r="K53" s="81">
        <f t="shared" si="1"/>
        <v>81.078750000000014</v>
      </c>
      <c r="L53" s="82">
        <f t="shared" si="8"/>
        <v>72.973749999999995</v>
      </c>
      <c r="M53" s="98" t="s">
        <v>334</v>
      </c>
      <c r="N53" s="80">
        <v>792.93499999999995</v>
      </c>
      <c r="O53" s="168">
        <f t="shared" si="9"/>
        <v>150</v>
      </c>
      <c r="P53" s="80">
        <f t="shared" si="21"/>
        <v>87.5685</v>
      </c>
      <c r="Q53" s="79">
        <v>2.5</v>
      </c>
      <c r="R53" s="251">
        <f t="shared" si="11"/>
        <v>218.92124999999999</v>
      </c>
      <c r="S53" s="80">
        <f t="shared" si="18"/>
        <v>300</v>
      </c>
      <c r="T53" s="191">
        <f t="shared" si="19"/>
        <v>81.078750000000014</v>
      </c>
      <c r="U53" s="204" t="str">
        <f t="shared" si="20"/>
        <v>No</v>
      </c>
      <c r="V53" s="223"/>
      <c r="X53" s="59" t="s">
        <v>93</v>
      </c>
      <c r="Y53" s="337">
        <v>1</v>
      </c>
      <c r="Z53" s="335">
        <v>1</v>
      </c>
      <c r="AA53" s="337">
        <v>0</v>
      </c>
      <c r="AB53" s="337">
        <v>0</v>
      </c>
      <c r="AC53" s="337">
        <v>0</v>
      </c>
      <c r="AD53" s="59">
        <f t="shared" si="22"/>
        <v>2</v>
      </c>
      <c r="AE53" s="384"/>
      <c r="AF53" s="486"/>
      <c r="AG53" s="486"/>
      <c r="AI53" s="486"/>
      <c r="AJ53" s="486"/>
      <c r="AK53" s="495"/>
      <c r="AL53" s="486"/>
    </row>
    <row r="54" spans="1:38" ht="13.5" thickBot="1">
      <c r="A54" s="564"/>
      <c r="B54" s="94" t="s">
        <v>333</v>
      </c>
      <c r="C54" s="93" t="s">
        <v>332</v>
      </c>
      <c r="D54" s="92">
        <v>300.33499999999998</v>
      </c>
      <c r="E54" s="244">
        <f t="shared" si="5"/>
        <v>200</v>
      </c>
      <c r="F54" s="92">
        <v>33.29833</v>
      </c>
      <c r="G54" s="82">
        <v>2.5</v>
      </c>
      <c r="H54" s="92">
        <f t="shared" si="6"/>
        <v>83.245824999999996</v>
      </c>
      <c r="I54" s="81">
        <f t="shared" si="7"/>
        <v>1</v>
      </c>
      <c r="J54" s="272">
        <f t="shared" si="17"/>
        <v>200</v>
      </c>
      <c r="K54" s="81">
        <f t="shared" si="1"/>
        <v>116.754175</v>
      </c>
      <c r="L54" s="82">
        <f t="shared" si="8"/>
        <v>41.622912499999998</v>
      </c>
      <c r="M54" s="88" t="s">
        <v>331</v>
      </c>
      <c r="N54" s="90">
        <v>524.75</v>
      </c>
      <c r="O54" s="168">
        <f t="shared" si="9"/>
        <v>200</v>
      </c>
      <c r="P54" s="80">
        <f t="shared" si="21"/>
        <v>33.29833</v>
      </c>
      <c r="Q54" s="79">
        <v>2.5</v>
      </c>
      <c r="R54" s="252">
        <f t="shared" si="11"/>
        <v>83.245824999999996</v>
      </c>
      <c r="S54" s="80">
        <f t="shared" si="18"/>
        <v>200</v>
      </c>
      <c r="T54" s="191">
        <f t="shared" si="19"/>
        <v>116.754175</v>
      </c>
      <c r="U54" s="204" t="str">
        <f t="shared" si="20"/>
        <v>No</v>
      </c>
      <c r="V54" s="223"/>
      <c r="X54" s="59" t="s">
        <v>94</v>
      </c>
      <c r="Y54" s="337">
        <v>0</v>
      </c>
      <c r="Z54" s="335">
        <v>1</v>
      </c>
      <c r="AA54" s="337">
        <v>0</v>
      </c>
      <c r="AB54" s="337">
        <v>0</v>
      </c>
      <c r="AC54" s="337">
        <v>0</v>
      </c>
      <c r="AD54" s="59">
        <f t="shared" si="22"/>
        <v>1</v>
      </c>
      <c r="AE54" s="18"/>
      <c r="AF54" s="18"/>
      <c r="AG54" s="486"/>
      <c r="AI54" s="486"/>
      <c r="AJ54" s="486"/>
      <c r="AL54" s="486"/>
    </row>
    <row r="55" spans="1:38" ht="13.5" thickBot="1">
      <c r="A55" s="562" t="s">
        <v>330</v>
      </c>
      <c r="B55" s="84" t="s">
        <v>329</v>
      </c>
      <c r="C55" s="83" t="s">
        <v>61</v>
      </c>
      <c r="D55" s="82">
        <v>381.34</v>
      </c>
      <c r="E55" s="243">
        <f t="shared" si="5"/>
        <v>200</v>
      </c>
      <c r="F55" s="82">
        <v>233.80699999999999</v>
      </c>
      <c r="G55" s="82">
        <v>2.5</v>
      </c>
      <c r="H55" s="82">
        <f t="shared" si="6"/>
        <v>584.51749999999993</v>
      </c>
      <c r="I55" s="81">
        <f t="shared" si="7"/>
        <v>4</v>
      </c>
      <c r="J55" s="270">
        <f t="shared" si="17"/>
        <v>800</v>
      </c>
      <c r="K55" s="81">
        <f t="shared" si="1"/>
        <v>215.48250000000007</v>
      </c>
      <c r="L55" s="82">
        <f t="shared" si="8"/>
        <v>73.064687499999991</v>
      </c>
      <c r="M55" s="98" t="s">
        <v>328</v>
      </c>
      <c r="N55" s="80">
        <v>673.16499999999996</v>
      </c>
      <c r="O55" s="168">
        <f t="shared" si="9"/>
        <v>150</v>
      </c>
      <c r="P55" s="80">
        <f t="shared" si="21"/>
        <v>233.80699999999999</v>
      </c>
      <c r="Q55" s="79">
        <v>2.5</v>
      </c>
      <c r="R55" s="251">
        <f t="shared" si="11"/>
        <v>584.51749999999993</v>
      </c>
      <c r="S55" s="80">
        <f t="shared" si="18"/>
        <v>600</v>
      </c>
      <c r="T55" s="191">
        <f t="shared" si="19"/>
        <v>15.482500000000073</v>
      </c>
      <c r="U55" s="204" t="str">
        <f t="shared" si="20"/>
        <v>No</v>
      </c>
      <c r="V55" s="223"/>
      <c r="X55" s="343" t="s">
        <v>492</v>
      </c>
      <c r="Y55" s="344">
        <v>0</v>
      </c>
      <c r="Z55" s="344">
        <v>0</v>
      </c>
      <c r="AA55" s="344">
        <v>0</v>
      </c>
      <c r="AB55" s="344">
        <v>0</v>
      </c>
      <c r="AC55" s="344">
        <v>0</v>
      </c>
      <c r="AD55" s="343">
        <f t="shared" si="22"/>
        <v>0</v>
      </c>
      <c r="AE55" s="384"/>
      <c r="AF55" s="557" t="s">
        <v>600</v>
      </c>
      <c r="AG55" s="558"/>
      <c r="AH55" s="558"/>
      <c r="AI55" s="558"/>
      <c r="AJ55" s="558"/>
      <c r="AK55" s="559"/>
      <c r="AL55" s="154"/>
    </row>
    <row r="56" spans="1:38" ht="14.25" customHeight="1" thickBot="1">
      <c r="A56" s="563"/>
      <c r="B56" s="74" t="s">
        <v>30</v>
      </c>
      <c r="C56" s="73" t="s">
        <v>326</v>
      </c>
      <c r="D56" s="72">
        <v>317.27</v>
      </c>
      <c r="E56" s="244">
        <f t="shared" si="5"/>
        <v>200</v>
      </c>
      <c r="F56" s="72">
        <v>136.87530000000001</v>
      </c>
      <c r="G56" s="82">
        <v>2.5</v>
      </c>
      <c r="H56" s="72">
        <f t="shared" si="6"/>
        <v>342.18825000000004</v>
      </c>
      <c r="I56" s="81">
        <f t="shared" si="7"/>
        <v>3</v>
      </c>
      <c r="J56" s="272">
        <f t="shared" si="17"/>
        <v>600</v>
      </c>
      <c r="K56" s="81">
        <f t="shared" si="1"/>
        <v>257.81174999999996</v>
      </c>
      <c r="L56" s="82">
        <f t="shared" si="8"/>
        <v>57.031375000000004</v>
      </c>
      <c r="M56" s="69" t="s">
        <v>325</v>
      </c>
      <c r="N56" s="70">
        <v>518.48</v>
      </c>
      <c r="O56" s="168">
        <f t="shared" si="9"/>
        <v>200</v>
      </c>
      <c r="P56" s="80">
        <f t="shared" si="21"/>
        <v>136.87530000000001</v>
      </c>
      <c r="Q56" s="79">
        <v>2.5</v>
      </c>
      <c r="R56" s="253">
        <f t="shared" si="11"/>
        <v>342.18825000000004</v>
      </c>
      <c r="S56" s="80">
        <f t="shared" si="18"/>
        <v>600</v>
      </c>
      <c r="T56" s="191">
        <f t="shared" si="19"/>
        <v>257.81174999999996</v>
      </c>
      <c r="U56" s="204" t="str">
        <f t="shared" si="20"/>
        <v>No</v>
      </c>
      <c r="V56" s="223"/>
      <c r="X56" s="290" t="s">
        <v>501</v>
      </c>
      <c r="Y56" s="345">
        <f t="shared" ref="Y56:AD56" si="23">SUM(Y44:Y55)</f>
        <v>2</v>
      </c>
      <c r="Z56" s="345">
        <f t="shared" si="23"/>
        <v>4</v>
      </c>
      <c r="AA56" s="345">
        <f t="shared" si="23"/>
        <v>0</v>
      </c>
      <c r="AB56" s="345">
        <f t="shared" si="23"/>
        <v>0</v>
      </c>
      <c r="AC56" s="345">
        <f t="shared" si="23"/>
        <v>0</v>
      </c>
      <c r="AD56" s="346">
        <f t="shared" si="23"/>
        <v>6</v>
      </c>
      <c r="AE56" s="384"/>
      <c r="AF56" s="331" t="s">
        <v>491</v>
      </c>
      <c r="AG56" s="333" t="s">
        <v>493</v>
      </c>
      <c r="AH56" s="333" t="s">
        <v>494</v>
      </c>
      <c r="AI56" s="333" t="s">
        <v>495</v>
      </c>
      <c r="AJ56" s="333" t="s">
        <v>496</v>
      </c>
      <c r="AK56" s="334" t="s">
        <v>562</v>
      </c>
      <c r="AL56" s="290" t="s">
        <v>415</v>
      </c>
    </row>
    <row r="57" spans="1:38">
      <c r="A57" s="266"/>
      <c r="B57" s="63"/>
      <c r="C57" s="266"/>
      <c r="D57" s="266"/>
      <c r="E57" s="266"/>
      <c r="F57" s="63"/>
      <c r="G57" s="63"/>
      <c r="H57" s="63"/>
      <c r="I57" s="266" t="s">
        <v>415</v>
      </c>
      <c r="J57" s="266">
        <f>SUM(J3:J56)</f>
        <v>46150</v>
      </c>
      <c r="K57" s="266"/>
      <c r="L57" s="266"/>
      <c r="M57" s="266"/>
      <c r="N57" s="266"/>
      <c r="O57" s="266"/>
      <c r="P57" s="266"/>
      <c r="Q57" s="266"/>
      <c r="R57" s="266"/>
      <c r="S57" s="266"/>
      <c r="T57" s="58"/>
      <c r="U57" s="266" t="str">
        <f t="shared" si="20"/>
        <v>No</v>
      </c>
      <c r="X57" s="290" t="s">
        <v>500</v>
      </c>
      <c r="Y57" s="347">
        <f>PRODUCT(Y56*AH47)</f>
        <v>30</v>
      </c>
      <c r="Z57" s="489">
        <f>PRODUCT(Z56*AH48)</f>
        <v>65.4756</v>
      </c>
      <c r="AA57" s="489">
        <f>PRODUCT(AA56*AH49)</f>
        <v>0</v>
      </c>
      <c r="AB57" s="489">
        <f>PRODUCT(AB56*AH50)</f>
        <v>0</v>
      </c>
      <c r="AC57" s="489">
        <f>PRODUCT(AC56*AH51)</f>
        <v>0</v>
      </c>
      <c r="AD57" s="490">
        <f>SUM(Y57:AC57)</f>
        <v>95.4756</v>
      </c>
      <c r="AE57" s="384"/>
      <c r="AF57" s="59" t="s">
        <v>84</v>
      </c>
      <c r="AG57" s="337">
        <f>Y44+Y64</f>
        <v>0</v>
      </c>
      <c r="AH57" s="337">
        <f t="shared" ref="AH57:AK68" si="24">Z44+Z64</f>
        <v>12</v>
      </c>
      <c r="AI57" s="337">
        <f t="shared" si="24"/>
        <v>4</v>
      </c>
      <c r="AJ57" s="337">
        <f t="shared" si="24"/>
        <v>2</v>
      </c>
      <c r="AK57" s="337">
        <f t="shared" si="24"/>
        <v>0</v>
      </c>
      <c r="AL57" s="338">
        <f>SUM(AG57:AK57)</f>
        <v>18</v>
      </c>
    </row>
    <row r="58" spans="1:38">
      <c r="A58" s="266"/>
      <c r="B58" s="63"/>
      <c r="C58" s="266"/>
      <c r="D58" s="266"/>
      <c r="E58" s="266"/>
      <c r="F58" s="266"/>
      <c r="G58" s="63"/>
      <c r="H58" s="63"/>
      <c r="I58" s="63"/>
      <c r="J58" s="266"/>
      <c r="K58" s="266"/>
      <c r="L58" s="266"/>
      <c r="M58" s="266"/>
      <c r="N58" s="266"/>
      <c r="O58" s="266"/>
      <c r="P58" s="266"/>
      <c r="Q58" s="266"/>
      <c r="R58" s="266"/>
      <c r="S58" s="266"/>
      <c r="T58" s="384"/>
      <c r="U58" s="384"/>
      <c r="X58" s="290" t="s">
        <v>499</v>
      </c>
      <c r="Y58" s="347">
        <f>Y56*AG47</f>
        <v>200</v>
      </c>
      <c r="Z58" s="347">
        <f>Z56*AG48</f>
        <v>600</v>
      </c>
      <c r="AA58" s="347">
        <f>AA56*AG49</f>
        <v>0</v>
      </c>
      <c r="AB58" s="347">
        <f>AB56*AG50</f>
        <v>0</v>
      </c>
      <c r="AC58" s="347">
        <f>AC56*AG51</f>
        <v>0</v>
      </c>
      <c r="AD58" s="290">
        <f>SUM(Y58:AC58)</f>
        <v>800</v>
      </c>
      <c r="AE58" s="384"/>
      <c r="AF58" s="59" t="s">
        <v>85</v>
      </c>
      <c r="AG58" s="337">
        <f t="shared" ref="AG58:AG68" si="25">Y45+Y65</f>
        <v>0</v>
      </c>
      <c r="AH58" s="337">
        <f t="shared" si="24"/>
        <v>18</v>
      </c>
      <c r="AI58" s="337">
        <f t="shared" si="24"/>
        <v>10</v>
      </c>
      <c r="AJ58" s="337">
        <f t="shared" si="24"/>
        <v>0</v>
      </c>
      <c r="AK58" s="337">
        <f t="shared" si="24"/>
        <v>7</v>
      </c>
      <c r="AL58" s="59">
        <f t="shared" ref="AL58:AL68" si="26">SUM(AG58:AK58)</f>
        <v>35</v>
      </c>
    </row>
    <row r="59" spans="1:38">
      <c r="A59" s="266"/>
      <c r="B59" s="63"/>
      <c r="C59" s="266"/>
      <c r="D59" s="266"/>
      <c r="E59" s="266"/>
      <c r="F59" s="266"/>
      <c r="G59" s="63"/>
      <c r="H59" s="63"/>
      <c r="I59" s="63"/>
      <c r="J59" s="266"/>
      <c r="K59" s="266"/>
      <c r="L59" s="266"/>
      <c r="M59" s="266"/>
      <c r="N59" s="266"/>
      <c r="O59" s="266"/>
      <c r="P59" s="266"/>
      <c r="Q59" s="266"/>
      <c r="R59" s="266"/>
      <c r="S59" s="266"/>
      <c r="T59" s="384"/>
      <c r="U59" s="266"/>
      <c r="AF59" s="59" t="s">
        <v>86</v>
      </c>
      <c r="AG59" s="337">
        <f t="shared" si="25"/>
        <v>0</v>
      </c>
      <c r="AH59" s="337">
        <f t="shared" si="24"/>
        <v>0</v>
      </c>
      <c r="AI59" s="337">
        <f t="shared" si="24"/>
        <v>6</v>
      </c>
      <c r="AJ59" s="337">
        <f t="shared" si="24"/>
        <v>0</v>
      </c>
      <c r="AK59" s="337">
        <f t="shared" si="24"/>
        <v>4</v>
      </c>
      <c r="AL59" s="59">
        <f t="shared" si="26"/>
        <v>10</v>
      </c>
    </row>
    <row r="60" spans="1:38">
      <c r="A60" s="266"/>
      <c r="B60" s="63"/>
      <c r="C60" s="266"/>
      <c r="D60" s="266"/>
      <c r="E60" s="266"/>
      <c r="F60" s="266"/>
      <c r="G60" s="63"/>
      <c r="H60" s="63"/>
      <c r="I60" s="63"/>
      <c r="J60" s="266"/>
      <c r="K60" s="266"/>
      <c r="L60" s="266"/>
      <c r="M60" s="266"/>
      <c r="N60" s="266"/>
      <c r="O60" s="266"/>
      <c r="P60" s="266"/>
      <c r="Q60" s="266"/>
      <c r="R60" s="266"/>
      <c r="S60" s="266"/>
      <c r="T60" s="384"/>
      <c r="U60" s="266"/>
      <c r="AF60" s="59" t="s">
        <v>87</v>
      </c>
      <c r="AG60" s="337">
        <f t="shared" si="25"/>
        <v>1</v>
      </c>
      <c r="AH60" s="337">
        <f t="shared" si="24"/>
        <v>32</v>
      </c>
      <c r="AI60" s="337">
        <f t="shared" si="24"/>
        <v>44</v>
      </c>
      <c r="AJ60" s="337">
        <f t="shared" si="24"/>
        <v>25</v>
      </c>
      <c r="AK60" s="337">
        <f t="shared" si="24"/>
        <v>0</v>
      </c>
      <c r="AL60" s="59">
        <f t="shared" si="26"/>
        <v>102</v>
      </c>
    </row>
    <row r="61" spans="1:38">
      <c r="A61" s="266"/>
      <c r="B61" s="63"/>
      <c r="C61" s="266"/>
      <c r="D61" s="266"/>
      <c r="E61" s="266"/>
      <c r="F61" s="266"/>
      <c r="G61" s="63"/>
      <c r="H61" s="63"/>
      <c r="I61" s="63"/>
      <c r="J61" s="266"/>
      <c r="K61" s="266"/>
      <c r="L61" s="266"/>
      <c r="M61" s="266"/>
      <c r="N61" s="266"/>
      <c r="O61" s="266"/>
      <c r="P61" s="266"/>
      <c r="Q61" s="266"/>
      <c r="R61" s="266"/>
      <c r="S61" s="266"/>
      <c r="T61" s="384"/>
      <c r="U61" s="266"/>
      <c r="AF61" s="59" t="s">
        <v>88</v>
      </c>
      <c r="AG61" s="337">
        <f t="shared" si="25"/>
        <v>0</v>
      </c>
      <c r="AH61" s="337">
        <f t="shared" si="24"/>
        <v>0</v>
      </c>
      <c r="AI61" s="337">
        <f t="shared" si="24"/>
        <v>19</v>
      </c>
      <c r="AJ61" s="337">
        <f t="shared" si="24"/>
        <v>1</v>
      </c>
      <c r="AK61" s="337">
        <f t="shared" si="24"/>
        <v>0</v>
      </c>
      <c r="AL61" s="59">
        <f t="shared" si="26"/>
        <v>20</v>
      </c>
    </row>
    <row r="62" spans="1:38">
      <c r="A62" s="266"/>
      <c r="B62" s="64"/>
      <c r="C62" s="266"/>
      <c r="D62" s="266"/>
      <c r="E62" s="266"/>
      <c r="F62" s="266"/>
      <c r="G62" s="63"/>
      <c r="H62" s="63"/>
      <c r="I62" s="63"/>
      <c r="J62" s="266"/>
      <c r="K62" s="266"/>
      <c r="L62" s="266"/>
      <c r="M62" s="266"/>
      <c r="N62" s="266"/>
      <c r="O62" s="266"/>
      <c r="P62" s="266"/>
      <c r="Q62" s="266"/>
      <c r="R62" s="266"/>
      <c r="S62" s="266"/>
      <c r="T62" s="384"/>
      <c r="U62" s="266"/>
      <c r="X62" s="557" t="s">
        <v>599</v>
      </c>
      <c r="Y62" s="558"/>
      <c r="Z62" s="558"/>
      <c r="AA62" s="558"/>
      <c r="AB62" s="558"/>
      <c r="AC62" s="559"/>
      <c r="AD62" s="154"/>
      <c r="AF62" s="59" t="s">
        <v>89</v>
      </c>
      <c r="AG62" s="337">
        <f t="shared" si="25"/>
        <v>0</v>
      </c>
      <c r="AH62" s="337">
        <f t="shared" si="24"/>
        <v>21</v>
      </c>
      <c r="AI62" s="337">
        <f t="shared" si="24"/>
        <v>2</v>
      </c>
      <c r="AJ62" s="337">
        <f t="shared" si="24"/>
        <v>1</v>
      </c>
      <c r="AK62" s="337">
        <f t="shared" si="24"/>
        <v>0</v>
      </c>
      <c r="AL62" s="59">
        <f t="shared" si="26"/>
        <v>24</v>
      </c>
    </row>
    <row r="63" spans="1:38">
      <c r="A63" s="266"/>
      <c r="B63" s="64"/>
      <c r="C63" s="266"/>
      <c r="D63" s="266"/>
      <c r="E63" s="266"/>
      <c r="F63" s="266"/>
      <c r="G63" s="63"/>
      <c r="H63" s="63"/>
      <c r="I63" s="63"/>
      <c r="J63" s="266"/>
      <c r="K63" s="266"/>
      <c r="L63" s="266"/>
      <c r="M63" s="266"/>
      <c r="N63" s="266"/>
      <c r="O63" s="266"/>
      <c r="P63" s="266"/>
      <c r="Q63" s="266"/>
      <c r="R63" s="266"/>
      <c r="S63" s="266"/>
      <c r="T63" s="384"/>
      <c r="U63" s="266"/>
      <c r="X63" s="331" t="s">
        <v>491</v>
      </c>
      <c r="Y63" s="333" t="s">
        <v>493</v>
      </c>
      <c r="Z63" s="333" t="s">
        <v>494</v>
      </c>
      <c r="AA63" s="333" t="s">
        <v>495</v>
      </c>
      <c r="AB63" s="333" t="s">
        <v>496</v>
      </c>
      <c r="AC63" s="334" t="s">
        <v>562</v>
      </c>
      <c r="AD63" s="290" t="s">
        <v>415</v>
      </c>
      <c r="AF63" s="59" t="s">
        <v>90</v>
      </c>
      <c r="AG63" s="337">
        <f t="shared" si="25"/>
        <v>0</v>
      </c>
      <c r="AH63" s="337">
        <f t="shared" si="24"/>
        <v>0</v>
      </c>
      <c r="AI63" s="337">
        <f t="shared" si="24"/>
        <v>1</v>
      </c>
      <c r="AJ63" s="337">
        <f t="shared" si="24"/>
        <v>4</v>
      </c>
      <c r="AK63" s="337">
        <f t="shared" si="24"/>
        <v>3</v>
      </c>
      <c r="AL63" s="59">
        <f t="shared" si="26"/>
        <v>8</v>
      </c>
    </row>
    <row r="64" spans="1:38">
      <c r="A64" s="266"/>
      <c r="B64" s="64"/>
      <c r="C64" s="266"/>
      <c r="D64" s="266"/>
      <c r="E64" s="266"/>
      <c r="F64" s="266"/>
      <c r="G64" s="63"/>
      <c r="H64" s="63"/>
      <c r="I64" s="63"/>
      <c r="J64" s="266"/>
      <c r="K64" s="266"/>
      <c r="L64" s="266"/>
      <c r="M64" s="266"/>
      <c r="N64" s="266"/>
      <c r="O64" s="266"/>
      <c r="P64" s="266"/>
      <c r="Q64" s="266"/>
      <c r="R64" s="266"/>
      <c r="S64" s="266"/>
      <c r="T64" s="384"/>
      <c r="U64" s="266"/>
      <c r="X64" s="59" t="s">
        <v>84</v>
      </c>
      <c r="Y64" s="337">
        <v>0</v>
      </c>
      <c r="Z64" s="337">
        <f>12</f>
        <v>12</v>
      </c>
      <c r="AA64" s="487">
        <f>2+2</f>
        <v>4</v>
      </c>
      <c r="AB64" s="487">
        <f>2</f>
        <v>2</v>
      </c>
      <c r="AC64" s="337">
        <v>0</v>
      </c>
      <c r="AD64" s="338">
        <f>SUM(Y64:AC64)</f>
        <v>18</v>
      </c>
      <c r="AF64" s="59" t="s">
        <v>91</v>
      </c>
      <c r="AG64" s="337">
        <f t="shared" si="25"/>
        <v>0</v>
      </c>
      <c r="AH64" s="337">
        <f t="shared" si="24"/>
        <v>25</v>
      </c>
      <c r="AI64" s="337">
        <f t="shared" si="24"/>
        <v>4</v>
      </c>
      <c r="AJ64" s="337">
        <f t="shared" si="24"/>
        <v>2</v>
      </c>
      <c r="AK64" s="337">
        <f t="shared" si="24"/>
        <v>0</v>
      </c>
      <c r="AL64" s="59">
        <f t="shared" si="26"/>
        <v>31</v>
      </c>
    </row>
    <row r="65" spans="1:38">
      <c r="A65" s="266"/>
      <c r="B65" s="63"/>
      <c r="C65" s="266"/>
      <c r="D65" s="266"/>
      <c r="E65" s="266"/>
      <c r="N65" s="266"/>
      <c r="O65" s="266"/>
      <c r="P65" s="266"/>
      <c r="Q65" s="266"/>
      <c r="S65" s="266"/>
      <c r="T65" s="384"/>
      <c r="U65" s="266"/>
      <c r="X65" s="59" t="s">
        <v>85</v>
      </c>
      <c r="Y65" s="337">
        <v>0</v>
      </c>
      <c r="Z65" s="337">
        <f>9+4+5</f>
        <v>18</v>
      </c>
      <c r="AA65" s="337">
        <f>7+3</f>
        <v>10</v>
      </c>
      <c r="AB65" s="337">
        <v>0</v>
      </c>
      <c r="AC65" s="337">
        <f>4+3</f>
        <v>7</v>
      </c>
      <c r="AD65" s="59">
        <f t="shared" ref="AD65:AD75" si="27">SUM(Y65:AC65)</f>
        <v>35</v>
      </c>
      <c r="AF65" s="59" t="s">
        <v>92</v>
      </c>
      <c r="AG65" s="337">
        <f t="shared" si="25"/>
        <v>0</v>
      </c>
      <c r="AH65" s="337">
        <f t="shared" si="24"/>
        <v>9</v>
      </c>
      <c r="AI65" s="337">
        <f t="shared" si="24"/>
        <v>21</v>
      </c>
      <c r="AJ65" s="337">
        <f t="shared" si="24"/>
        <v>0</v>
      </c>
      <c r="AK65" s="337">
        <f t="shared" si="24"/>
        <v>0</v>
      </c>
      <c r="AL65" s="59">
        <f t="shared" si="26"/>
        <v>30</v>
      </c>
    </row>
    <row r="66" spans="1:38">
      <c r="A66" s="266"/>
      <c r="B66" s="63"/>
      <c r="C66" s="266"/>
      <c r="D66" s="266"/>
      <c r="E66" s="266"/>
      <c r="N66" s="266"/>
      <c r="O66" s="266"/>
      <c r="P66" s="266"/>
      <c r="Q66" s="266"/>
      <c r="S66" s="266"/>
      <c r="T66" s="384"/>
      <c r="U66" s="266"/>
      <c r="X66" s="59" t="s">
        <v>86</v>
      </c>
      <c r="Y66" s="337">
        <v>0</v>
      </c>
      <c r="Z66" s="337">
        <v>0</v>
      </c>
      <c r="AA66" s="335">
        <f>5+1</f>
        <v>6</v>
      </c>
      <c r="AB66" s="337">
        <v>0</v>
      </c>
      <c r="AC66" s="337">
        <f>4</f>
        <v>4</v>
      </c>
      <c r="AD66" s="59">
        <f t="shared" si="27"/>
        <v>10</v>
      </c>
      <c r="AF66" s="59" t="s">
        <v>93</v>
      </c>
      <c r="AG66" s="337">
        <f t="shared" si="25"/>
        <v>1</v>
      </c>
      <c r="AH66" s="337">
        <f t="shared" si="24"/>
        <v>1</v>
      </c>
      <c r="AI66" s="337">
        <f t="shared" si="24"/>
        <v>3</v>
      </c>
      <c r="AJ66" s="337">
        <f t="shared" si="24"/>
        <v>10</v>
      </c>
      <c r="AK66" s="337">
        <f t="shared" si="24"/>
        <v>0</v>
      </c>
      <c r="AL66" s="59">
        <f t="shared" si="26"/>
        <v>15</v>
      </c>
    </row>
    <row r="67" spans="1:38">
      <c r="A67" s="266"/>
      <c r="B67" s="63"/>
      <c r="C67" s="266"/>
      <c r="D67" s="266"/>
      <c r="E67" s="266"/>
      <c r="N67" s="266"/>
      <c r="O67" s="266"/>
      <c r="P67" s="266"/>
      <c r="Q67" s="266"/>
      <c r="S67" s="266"/>
      <c r="T67" s="384"/>
      <c r="U67" s="266"/>
      <c r="X67" s="59" t="s">
        <v>87</v>
      </c>
      <c r="Y67" s="337">
        <v>0</v>
      </c>
      <c r="Z67" s="488">
        <f>12+9+10</f>
        <v>31</v>
      </c>
      <c r="AA67" s="337">
        <f>7+5+10+18+4</f>
        <v>44</v>
      </c>
      <c r="AB67" s="337">
        <f>4+10+11</f>
        <v>25</v>
      </c>
      <c r="AC67" s="337">
        <v>0</v>
      </c>
      <c r="AD67" s="59">
        <f t="shared" si="27"/>
        <v>100</v>
      </c>
      <c r="AF67" s="59" t="s">
        <v>94</v>
      </c>
      <c r="AG67" s="337">
        <f t="shared" si="25"/>
        <v>0</v>
      </c>
      <c r="AH67" s="337">
        <f t="shared" si="24"/>
        <v>3</v>
      </c>
      <c r="AI67" s="337">
        <f t="shared" si="24"/>
        <v>4</v>
      </c>
      <c r="AJ67" s="337">
        <f t="shared" si="24"/>
        <v>11</v>
      </c>
      <c r="AK67" s="337">
        <f t="shared" si="24"/>
        <v>0</v>
      </c>
      <c r="AL67" s="59">
        <f t="shared" si="26"/>
        <v>18</v>
      </c>
    </row>
    <row r="68" spans="1:38">
      <c r="A68" s="266"/>
      <c r="B68" s="63"/>
      <c r="C68" s="266"/>
      <c r="D68" s="266"/>
      <c r="E68" s="266"/>
      <c r="F68" s="266"/>
      <c r="G68" s="63"/>
      <c r="H68" s="63"/>
      <c r="I68" s="63"/>
      <c r="J68" s="266"/>
      <c r="K68" s="266"/>
      <c r="L68" s="266"/>
      <c r="M68" s="266"/>
      <c r="N68" s="266"/>
      <c r="O68" s="266"/>
      <c r="P68" s="266"/>
      <c r="Q68" s="266"/>
      <c r="R68" s="266"/>
      <c r="S68" s="266"/>
      <c r="T68" s="384"/>
      <c r="U68" s="266"/>
      <c r="X68" s="59" t="s">
        <v>88</v>
      </c>
      <c r="Y68" s="337">
        <v>0</v>
      </c>
      <c r="Z68" s="337">
        <v>0</v>
      </c>
      <c r="AA68" s="337">
        <f>2+3+1+10+1+2</f>
        <v>19</v>
      </c>
      <c r="AB68" s="337">
        <f>1</f>
        <v>1</v>
      </c>
      <c r="AC68" s="337">
        <v>0</v>
      </c>
      <c r="AD68" s="59">
        <f t="shared" si="27"/>
        <v>20</v>
      </c>
      <c r="AF68" s="343" t="s">
        <v>492</v>
      </c>
      <c r="AG68" s="337">
        <f t="shared" si="25"/>
        <v>0</v>
      </c>
      <c r="AH68" s="337">
        <f t="shared" si="24"/>
        <v>1</v>
      </c>
      <c r="AI68" s="337">
        <f t="shared" si="24"/>
        <v>4</v>
      </c>
      <c r="AJ68" s="337">
        <f t="shared" si="24"/>
        <v>0</v>
      </c>
      <c r="AK68" s="337">
        <f t="shared" si="24"/>
        <v>0</v>
      </c>
      <c r="AL68" s="343">
        <f t="shared" si="26"/>
        <v>5</v>
      </c>
    </row>
    <row r="69" spans="1:38">
      <c r="B69" s="63"/>
      <c r="C69" s="266"/>
      <c r="D69" s="266"/>
      <c r="E69" s="266"/>
      <c r="F69" s="266"/>
      <c r="G69" s="63"/>
      <c r="H69" s="63"/>
      <c r="I69" s="63"/>
      <c r="J69" s="266"/>
      <c r="K69" s="266"/>
      <c r="L69" s="266"/>
      <c r="M69" s="266"/>
      <c r="N69" s="266"/>
      <c r="O69" s="266"/>
      <c r="P69" s="266"/>
      <c r="Q69" s="266"/>
      <c r="R69" s="266"/>
      <c r="S69" s="266"/>
      <c r="T69" s="384"/>
      <c r="U69" s="266"/>
      <c r="W69" s="57"/>
      <c r="X69" s="59" t="s">
        <v>89</v>
      </c>
      <c r="Y69" s="337">
        <v>0</v>
      </c>
      <c r="Z69" s="337">
        <f>9+9+3</f>
        <v>21</v>
      </c>
      <c r="AA69" s="337">
        <f>2</f>
        <v>2</v>
      </c>
      <c r="AB69" s="337">
        <f>1</f>
        <v>1</v>
      </c>
      <c r="AC69" s="337">
        <v>0</v>
      </c>
      <c r="AD69" s="59">
        <f t="shared" si="27"/>
        <v>24</v>
      </c>
      <c r="AF69" s="290" t="s">
        <v>501</v>
      </c>
      <c r="AG69" s="345">
        <f t="shared" ref="AG69:AL69" si="28">SUM(AG57:AG68)</f>
        <v>2</v>
      </c>
      <c r="AH69" s="345">
        <f t="shared" si="28"/>
        <v>122</v>
      </c>
      <c r="AI69" s="345">
        <f t="shared" si="28"/>
        <v>122</v>
      </c>
      <c r="AJ69" s="345">
        <f t="shared" si="28"/>
        <v>56</v>
      </c>
      <c r="AK69" s="345">
        <f t="shared" si="28"/>
        <v>14</v>
      </c>
      <c r="AL69" s="346">
        <f t="shared" si="28"/>
        <v>316</v>
      </c>
    </row>
    <row r="70" spans="1:38">
      <c r="B70" s="63"/>
      <c r="C70" s="266"/>
      <c r="D70" s="266"/>
      <c r="E70" s="266"/>
      <c r="F70" s="266"/>
      <c r="G70" s="63"/>
      <c r="H70" s="63"/>
      <c r="I70" s="63"/>
      <c r="J70" s="266"/>
      <c r="K70" s="266"/>
      <c r="L70" s="266"/>
      <c r="M70" s="266"/>
      <c r="N70" s="266"/>
      <c r="O70" s="266"/>
      <c r="P70" s="266"/>
      <c r="Q70" s="266"/>
      <c r="R70" s="266"/>
      <c r="S70" s="266"/>
      <c r="T70" s="384"/>
      <c r="U70" s="266"/>
      <c r="W70" s="57"/>
      <c r="X70" s="59" t="s">
        <v>90</v>
      </c>
      <c r="Y70" s="337">
        <v>0</v>
      </c>
      <c r="Z70" s="335">
        <v>0</v>
      </c>
      <c r="AA70" s="335">
        <f>1</f>
        <v>1</v>
      </c>
      <c r="AB70" s="337">
        <f>4</f>
        <v>4</v>
      </c>
      <c r="AC70" s="337">
        <f>3</f>
        <v>3</v>
      </c>
      <c r="AD70" s="59">
        <f t="shared" si="27"/>
        <v>8</v>
      </c>
      <c r="AF70" s="290" t="s">
        <v>500</v>
      </c>
      <c r="AG70" s="347">
        <f>PRODUCT(AG69*AH47)</f>
        <v>30</v>
      </c>
      <c r="AH70" s="489">
        <f>PRODUCT(AH69*AH48)</f>
        <v>1997.0057999999999</v>
      </c>
      <c r="AI70" s="489">
        <f>PRODUCT(AI69*AH49)</f>
        <v>2043.0974000000001</v>
      </c>
      <c r="AJ70" s="489">
        <f>PRODUCT(AJ69*AH50)</f>
        <v>945.64960000000008</v>
      </c>
      <c r="AK70" s="489">
        <f>PRODUCT(AK69*AH51)</f>
        <v>238</v>
      </c>
      <c r="AL70" s="490">
        <f>SUM(AG70:AK70)</f>
        <v>5253.7528000000002</v>
      </c>
    </row>
    <row r="71" spans="1:38">
      <c r="B71" s="63"/>
      <c r="C71" s="266"/>
      <c r="D71" s="266"/>
      <c r="E71" s="266"/>
      <c r="F71" s="266"/>
      <c r="G71" s="63"/>
      <c r="H71" s="63"/>
      <c r="I71" s="63"/>
      <c r="J71" s="266"/>
      <c r="K71" s="266"/>
      <c r="L71" s="266"/>
      <c r="M71" s="266"/>
      <c r="N71" s="266"/>
      <c r="O71" s="266"/>
      <c r="P71" s="266"/>
      <c r="Q71" s="266"/>
      <c r="R71" s="266"/>
      <c r="S71" s="266"/>
      <c r="T71" s="384"/>
      <c r="U71" s="266"/>
      <c r="W71" s="57"/>
      <c r="X71" s="59" t="s">
        <v>91</v>
      </c>
      <c r="Y71" s="337">
        <v>0</v>
      </c>
      <c r="Z71" s="335">
        <f>4+10+3+4+2+1</f>
        <v>24</v>
      </c>
      <c r="AA71" s="337">
        <f>2+2</f>
        <v>4</v>
      </c>
      <c r="AB71" s="337">
        <f>2</f>
        <v>2</v>
      </c>
      <c r="AC71" s="337">
        <v>0</v>
      </c>
      <c r="AD71" s="59">
        <f t="shared" si="27"/>
        <v>30</v>
      </c>
      <c r="AF71" s="290" t="s">
        <v>563</v>
      </c>
      <c r="AG71" s="347">
        <f>AG69*AG47</f>
        <v>200</v>
      </c>
      <c r="AH71" s="347">
        <f>AH69*AG48</f>
        <v>18300</v>
      </c>
      <c r="AI71" s="347">
        <f>AI69*AG49</f>
        <v>24400</v>
      </c>
      <c r="AJ71" s="347">
        <f>AJ69*AG50</f>
        <v>14000</v>
      </c>
      <c r="AK71" s="347">
        <f>AK69*AG51</f>
        <v>4200</v>
      </c>
      <c r="AL71" s="290">
        <f>SUM(AG71:AK71)</f>
        <v>61100</v>
      </c>
    </row>
    <row r="72" spans="1:38">
      <c r="B72" s="63"/>
      <c r="C72" s="266"/>
      <c r="D72" s="266"/>
      <c r="E72" s="266"/>
      <c r="F72" s="266"/>
      <c r="G72" s="63"/>
      <c r="H72" s="63"/>
      <c r="I72" s="63"/>
      <c r="J72" s="266"/>
      <c r="K72" s="266"/>
      <c r="L72" s="266"/>
      <c r="M72" s="266"/>
      <c r="N72" s="266"/>
      <c r="O72" s="266"/>
      <c r="P72" s="266"/>
      <c r="Q72" s="266"/>
      <c r="R72" s="266"/>
      <c r="S72" s="266"/>
      <c r="T72" s="384"/>
      <c r="U72" s="266"/>
      <c r="W72" s="57"/>
      <c r="X72" s="59" t="s">
        <v>92</v>
      </c>
      <c r="Y72" s="337">
        <v>0</v>
      </c>
      <c r="Z72" s="335">
        <f>5+4</f>
        <v>9</v>
      </c>
      <c r="AA72" s="337">
        <f>18+3</f>
        <v>21</v>
      </c>
      <c r="AB72" s="337">
        <v>0</v>
      </c>
      <c r="AC72" s="337">
        <v>0</v>
      </c>
      <c r="AD72" s="59">
        <f t="shared" si="27"/>
        <v>30</v>
      </c>
      <c r="AG72" s="486"/>
      <c r="AH72" s="335"/>
      <c r="AI72" s="335"/>
      <c r="AJ72" s="337"/>
      <c r="AK72" s="337"/>
      <c r="AL72" s="337"/>
    </row>
    <row r="73" spans="1:38">
      <c r="B73" s="63"/>
      <c r="C73" s="266"/>
      <c r="D73" s="266"/>
      <c r="E73" s="266"/>
      <c r="F73" s="266"/>
      <c r="G73" s="63"/>
      <c r="H73" s="63"/>
      <c r="I73" s="63"/>
      <c r="J73" s="266"/>
      <c r="K73" s="266"/>
      <c r="L73" s="266"/>
      <c r="M73" s="266"/>
      <c r="N73" s="266"/>
      <c r="O73" s="266"/>
      <c r="P73" s="266"/>
      <c r="Q73" s="266"/>
      <c r="R73" s="266"/>
      <c r="S73" s="266"/>
      <c r="T73" s="384"/>
      <c r="U73" s="266"/>
      <c r="W73" s="57"/>
      <c r="X73" s="59" t="s">
        <v>93</v>
      </c>
      <c r="Y73" s="337">
        <v>0</v>
      </c>
      <c r="Z73" s="335">
        <v>0</v>
      </c>
      <c r="AA73" s="337">
        <f>2+1</f>
        <v>3</v>
      </c>
      <c r="AB73" s="337">
        <f>10</f>
        <v>10</v>
      </c>
      <c r="AC73" s="337">
        <v>0</v>
      </c>
      <c r="AD73" s="59">
        <f t="shared" si="27"/>
        <v>13</v>
      </c>
    </row>
    <row r="74" spans="1:38" ht="15">
      <c r="B74" s="63"/>
      <c r="C74" s="266"/>
      <c r="D74" s="266"/>
      <c r="E74" s="266"/>
      <c r="F74" s="266"/>
      <c r="G74" s="63"/>
      <c r="H74" s="63"/>
      <c r="I74" s="63"/>
      <c r="J74" s="266"/>
      <c r="K74" s="266"/>
      <c r="L74" s="266"/>
      <c r="M74" s="266"/>
      <c r="N74" s="266"/>
      <c r="O74" s="266"/>
      <c r="P74" s="266"/>
      <c r="Q74" s="266"/>
      <c r="R74" s="266"/>
      <c r="S74" s="266"/>
      <c r="T74" s="384"/>
      <c r="U74" s="266"/>
      <c r="W74" s="57"/>
      <c r="X74" s="59" t="s">
        <v>94</v>
      </c>
      <c r="Y74" s="337">
        <v>0</v>
      </c>
      <c r="Z74" s="488">
        <f>2</f>
        <v>2</v>
      </c>
      <c r="AA74" s="337">
        <f>3+1</f>
        <v>4</v>
      </c>
      <c r="AB74" s="337">
        <f>11</f>
        <v>11</v>
      </c>
      <c r="AC74" s="337">
        <v>0</v>
      </c>
      <c r="AD74" s="59">
        <f t="shared" si="27"/>
        <v>17</v>
      </c>
      <c r="AF74" s="435">
        <f>AD56+AD76</f>
        <v>316</v>
      </c>
    </row>
    <row r="75" spans="1:38" ht="15">
      <c r="B75" s="63"/>
      <c r="C75" s="266"/>
      <c r="D75" s="266"/>
      <c r="E75" s="266"/>
      <c r="F75" s="266"/>
      <c r="G75" s="63"/>
      <c r="H75" s="63"/>
      <c r="I75" s="63"/>
      <c r="J75" s="266"/>
      <c r="K75" s="266"/>
      <c r="L75" s="266"/>
      <c r="M75" s="266"/>
      <c r="N75" s="266"/>
      <c r="O75" s="266"/>
      <c r="P75" s="266"/>
      <c r="Q75" s="266"/>
      <c r="R75" s="266"/>
      <c r="S75" s="266"/>
      <c r="T75" s="384"/>
      <c r="U75" s="266"/>
      <c r="X75" s="343" t="s">
        <v>492</v>
      </c>
      <c r="Y75" s="337">
        <v>0</v>
      </c>
      <c r="Z75" s="344">
        <f>1</f>
        <v>1</v>
      </c>
      <c r="AA75" s="344">
        <f>4</f>
        <v>4</v>
      </c>
      <c r="AB75" s="344">
        <v>0</v>
      </c>
      <c r="AC75" s="337">
        <v>0</v>
      </c>
      <c r="AD75" s="343">
        <f t="shared" si="27"/>
        <v>5</v>
      </c>
      <c r="AF75" s="496">
        <f t="shared" ref="AF75:AF76" si="29">AD57+AD77</f>
        <v>5253.7527999999993</v>
      </c>
    </row>
    <row r="76" spans="1:38" ht="15">
      <c r="B76" s="63"/>
      <c r="C76" s="266"/>
      <c r="D76" s="266"/>
      <c r="E76" s="266"/>
      <c r="F76" s="266"/>
      <c r="G76" s="63"/>
      <c r="H76" s="63"/>
      <c r="I76" s="63"/>
      <c r="J76" s="266"/>
      <c r="K76" s="266"/>
      <c r="L76" s="266"/>
      <c r="M76" s="266"/>
      <c r="N76" s="266"/>
      <c r="O76" s="266"/>
      <c r="P76" s="266"/>
      <c r="Q76" s="266"/>
      <c r="R76" s="266"/>
      <c r="S76" s="266"/>
      <c r="T76" s="384"/>
      <c r="U76" s="266"/>
      <c r="X76" s="290" t="s">
        <v>501</v>
      </c>
      <c r="Y76" s="345">
        <f t="shared" ref="Y76:AD76" si="30">SUM(Y64:Y75)</f>
        <v>0</v>
      </c>
      <c r="Z76" s="345">
        <f t="shared" si="30"/>
        <v>118</v>
      </c>
      <c r="AA76" s="345">
        <f t="shared" si="30"/>
        <v>122</v>
      </c>
      <c r="AB76" s="345">
        <f t="shared" si="30"/>
        <v>56</v>
      </c>
      <c r="AC76" s="345">
        <f t="shared" si="30"/>
        <v>14</v>
      </c>
      <c r="AD76" s="346">
        <f t="shared" si="30"/>
        <v>310</v>
      </c>
      <c r="AF76" s="435">
        <f t="shared" si="29"/>
        <v>61100</v>
      </c>
    </row>
    <row r="77" spans="1:38">
      <c r="B77" s="63"/>
      <c r="C77" s="266"/>
      <c r="D77" s="266"/>
      <c r="E77" s="266"/>
      <c r="F77" s="266"/>
      <c r="G77" s="63"/>
      <c r="H77" s="63"/>
      <c r="I77" s="63"/>
      <c r="J77" s="266"/>
      <c r="K77" s="266"/>
      <c r="L77" s="266"/>
      <c r="M77" s="266"/>
      <c r="N77" s="266"/>
      <c r="O77" s="266"/>
      <c r="P77" s="266"/>
      <c r="Q77" s="266"/>
      <c r="R77" s="266"/>
      <c r="S77" s="266"/>
      <c r="T77" s="384"/>
      <c r="U77" s="266"/>
      <c r="X77" s="290" t="s">
        <v>500</v>
      </c>
      <c r="Y77" s="489">
        <f>PRODUCT(Y76*AH47)</f>
        <v>0</v>
      </c>
      <c r="Z77" s="489">
        <f>PRODUCT(Z76*AH48)</f>
        <v>1931.5301999999999</v>
      </c>
      <c r="AA77" s="489">
        <f>PRODUCT(AA76*AH49)</f>
        <v>2043.0974000000001</v>
      </c>
      <c r="AB77" s="489">
        <f>PRODUCT(AB76*AH50)</f>
        <v>945.64960000000008</v>
      </c>
      <c r="AC77" s="489">
        <f>PRODUCT(AC76*AH51)</f>
        <v>238</v>
      </c>
      <c r="AD77" s="490">
        <f>SUM(Y77:AC77)</f>
        <v>5158.2771999999995</v>
      </c>
    </row>
    <row r="78" spans="1:38">
      <c r="B78" s="63"/>
      <c r="C78" s="266"/>
      <c r="D78" s="266"/>
      <c r="E78" s="266"/>
      <c r="F78" s="266"/>
      <c r="G78" s="63"/>
      <c r="H78" s="63"/>
      <c r="I78" s="63"/>
      <c r="J78" s="266"/>
      <c r="K78" s="266"/>
      <c r="L78" s="266"/>
      <c r="M78" s="266"/>
      <c r="N78" s="266"/>
      <c r="O78" s="266"/>
      <c r="P78" s="266"/>
      <c r="Q78" s="266"/>
      <c r="R78" s="266"/>
      <c r="S78" s="266"/>
      <c r="T78" s="384"/>
      <c r="U78" s="266"/>
      <c r="X78" s="290" t="s">
        <v>563</v>
      </c>
      <c r="Y78" s="347">
        <f>Y76*AG47</f>
        <v>0</v>
      </c>
      <c r="Z78" s="347">
        <f>Z76*AG48</f>
        <v>17700</v>
      </c>
      <c r="AA78" s="347">
        <f>AA76*AG49</f>
        <v>24400</v>
      </c>
      <c r="AB78" s="347">
        <f>AB76*AG50</f>
        <v>14000</v>
      </c>
      <c r="AC78" s="347">
        <f>AC76*AG51</f>
        <v>4200</v>
      </c>
      <c r="AD78" s="290">
        <f>SUM(Y78:AC78)</f>
        <v>60300</v>
      </c>
    </row>
    <row r="79" spans="1:38">
      <c r="B79" s="63"/>
      <c r="C79" s="266"/>
      <c r="D79" s="266"/>
      <c r="E79" s="266"/>
      <c r="F79" s="266"/>
      <c r="G79" s="63"/>
      <c r="H79" s="63"/>
      <c r="I79" s="63"/>
      <c r="J79" s="266"/>
      <c r="K79" s="266"/>
      <c r="L79" s="266"/>
      <c r="M79" s="266"/>
      <c r="N79" s="266"/>
      <c r="O79" s="266"/>
      <c r="P79" s="266"/>
      <c r="Q79" s="266"/>
      <c r="R79" s="266"/>
      <c r="S79" s="266"/>
      <c r="T79" s="384"/>
      <c r="U79" s="266"/>
    </row>
    <row r="80" spans="1:38">
      <c r="B80" s="63"/>
      <c r="C80" s="266"/>
      <c r="D80" s="266"/>
      <c r="E80" s="266"/>
      <c r="F80" s="266"/>
      <c r="G80" s="63"/>
      <c r="H80" s="63"/>
      <c r="I80" s="63"/>
      <c r="J80" s="266"/>
      <c r="K80" s="266"/>
      <c r="L80" s="266"/>
      <c r="M80" s="266"/>
      <c r="N80" s="266"/>
      <c r="O80" s="266"/>
      <c r="P80" s="266"/>
      <c r="Q80" s="266"/>
      <c r="R80" s="266"/>
      <c r="S80" s="266"/>
      <c r="T80" s="384"/>
      <c r="U80" s="266"/>
    </row>
    <row r="81" spans="2:21">
      <c r="B81" s="63"/>
      <c r="C81" s="266"/>
      <c r="D81" s="266"/>
      <c r="E81" s="266"/>
      <c r="F81" s="266"/>
      <c r="G81" s="63"/>
      <c r="H81" s="63"/>
      <c r="I81" s="63"/>
      <c r="J81" s="266"/>
      <c r="K81" s="266"/>
      <c r="L81" s="266"/>
      <c r="M81" s="266"/>
      <c r="N81" s="266"/>
      <c r="O81" s="266"/>
      <c r="P81" s="266"/>
      <c r="Q81" s="266"/>
      <c r="R81" s="266"/>
      <c r="S81" s="266"/>
      <c r="T81" s="384"/>
      <c r="U81" s="266"/>
    </row>
    <row r="82" spans="2:21">
      <c r="B82" s="63"/>
      <c r="C82" s="266"/>
      <c r="D82" s="266"/>
      <c r="E82" s="266"/>
      <c r="F82" s="266"/>
      <c r="G82" s="63"/>
      <c r="H82" s="63"/>
      <c r="I82" s="63"/>
      <c r="J82" s="266"/>
      <c r="K82" s="266"/>
      <c r="L82" s="266"/>
      <c r="M82" s="266"/>
      <c r="N82" s="266"/>
      <c r="O82" s="266"/>
      <c r="P82" s="266"/>
      <c r="Q82" s="266"/>
      <c r="R82" s="266"/>
      <c r="S82" s="266"/>
      <c r="T82" s="384"/>
      <c r="U82" s="266"/>
    </row>
    <row r="83" spans="2:21">
      <c r="B83" s="63"/>
      <c r="C83" s="266"/>
      <c r="D83" s="266"/>
      <c r="E83" s="266"/>
      <c r="F83" s="266"/>
      <c r="G83" s="63"/>
      <c r="H83" s="63"/>
      <c r="I83" s="63"/>
      <c r="J83" s="266"/>
      <c r="K83" s="266"/>
      <c r="L83" s="266"/>
      <c r="M83" s="266"/>
      <c r="N83" s="266"/>
      <c r="O83" s="266"/>
      <c r="P83" s="266"/>
      <c r="Q83" s="266"/>
      <c r="R83" s="266"/>
      <c r="S83" s="266"/>
      <c r="T83" s="384"/>
      <c r="U83" s="266"/>
    </row>
    <row r="84" spans="2:21">
      <c r="B84" s="63"/>
      <c r="C84" s="266"/>
      <c r="D84" s="266"/>
      <c r="E84" s="266"/>
      <c r="F84" s="266"/>
      <c r="G84" s="63"/>
      <c r="H84" s="63"/>
      <c r="I84" s="63"/>
      <c r="J84" s="266"/>
      <c r="K84" s="266"/>
      <c r="L84" s="266"/>
      <c r="M84" s="266"/>
      <c r="N84" s="266"/>
      <c r="O84" s="266"/>
      <c r="P84" s="266"/>
      <c r="Q84" s="266"/>
      <c r="R84" s="266"/>
      <c r="S84" s="266"/>
      <c r="T84" s="384"/>
      <c r="U84" s="266"/>
    </row>
    <row r="85" spans="2:21">
      <c r="B85" s="63"/>
      <c r="C85" s="266"/>
      <c r="D85" s="266"/>
      <c r="E85" s="266"/>
      <c r="F85" s="266"/>
      <c r="G85" s="63"/>
      <c r="H85" s="63"/>
      <c r="I85" s="63"/>
      <c r="J85" s="266"/>
      <c r="K85" s="266"/>
      <c r="L85" s="266"/>
      <c r="M85" s="266"/>
      <c r="N85" s="266"/>
      <c r="O85" s="266"/>
      <c r="P85" s="266"/>
      <c r="Q85" s="266"/>
      <c r="R85" s="266"/>
      <c r="S85" s="266"/>
      <c r="T85" s="384"/>
      <c r="U85" s="266"/>
    </row>
    <row r="86" spans="2:21">
      <c r="B86" s="63"/>
      <c r="C86" s="266"/>
      <c r="D86" s="266"/>
      <c r="E86" s="266"/>
      <c r="F86" s="266"/>
      <c r="G86" s="63"/>
      <c r="H86" s="63"/>
      <c r="I86" s="63"/>
      <c r="J86" s="266"/>
      <c r="K86" s="266"/>
      <c r="L86" s="266"/>
      <c r="M86" s="266"/>
      <c r="N86" s="266"/>
      <c r="O86" s="266"/>
      <c r="P86" s="266"/>
      <c r="Q86" s="266"/>
      <c r="R86" s="266"/>
      <c r="S86" s="266"/>
      <c r="T86" s="384"/>
      <c r="U86" s="266"/>
    </row>
    <row r="87" spans="2:21">
      <c r="B87" s="63"/>
      <c r="C87" s="266"/>
      <c r="D87" s="266"/>
      <c r="E87" s="266"/>
      <c r="F87" s="266"/>
      <c r="G87" s="63"/>
      <c r="H87" s="63"/>
      <c r="I87" s="63"/>
      <c r="J87" s="266"/>
      <c r="K87" s="266"/>
      <c r="L87" s="266"/>
      <c r="M87" s="266"/>
      <c r="N87" s="266"/>
      <c r="O87" s="266"/>
      <c r="P87" s="266"/>
      <c r="Q87" s="266"/>
      <c r="R87" s="266"/>
      <c r="S87" s="266"/>
      <c r="T87" s="384"/>
      <c r="U87" s="266"/>
    </row>
    <row r="88" spans="2:21">
      <c r="B88" s="63"/>
      <c r="C88" s="266"/>
      <c r="D88" s="266"/>
      <c r="E88" s="266"/>
      <c r="F88" s="266"/>
      <c r="G88" s="63"/>
      <c r="H88" s="63"/>
      <c r="I88" s="63"/>
      <c r="J88" s="266"/>
      <c r="K88" s="266"/>
      <c r="L88" s="266"/>
      <c r="M88" s="266"/>
      <c r="N88" s="266"/>
      <c r="O88" s="266"/>
      <c r="P88" s="266"/>
      <c r="Q88" s="266"/>
      <c r="R88" s="266"/>
      <c r="S88" s="266"/>
      <c r="T88" s="384"/>
      <c r="U88" s="266"/>
    </row>
    <row r="89" spans="2:21">
      <c r="B89" s="63"/>
      <c r="C89" s="266"/>
      <c r="D89" s="266"/>
      <c r="E89" s="266"/>
      <c r="F89" s="266"/>
      <c r="G89" s="63"/>
      <c r="H89" s="63"/>
      <c r="I89" s="63"/>
      <c r="J89" s="266"/>
      <c r="K89" s="266"/>
      <c r="L89" s="266"/>
      <c r="M89" s="266"/>
      <c r="N89" s="266"/>
      <c r="O89" s="266"/>
      <c r="P89" s="266"/>
      <c r="Q89" s="266"/>
      <c r="R89" s="266"/>
      <c r="S89" s="266"/>
      <c r="T89" s="384"/>
      <c r="U89" s="266"/>
    </row>
    <row r="90" spans="2:21">
      <c r="B90" s="63"/>
      <c r="C90" s="266"/>
      <c r="D90" s="266"/>
      <c r="E90" s="266"/>
      <c r="F90" s="266"/>
      <c r="G90" s="63"/>
      <c r="H90" s="63"/>
      <c r="I90" s="63"/>
      <c r="J90" s="266"/>
      <c r="K90" s="266"/>
      <c r="L90" s="266"/>
      <c r="M90" s="266"/>
      <c r="N90" s="266"/>
      <c r="O90" s="266"/>
      <c r="P90" s="266"/>
      <c r="Q90" s="266"/>
      <c r="R90" s="266"/>
      <c r="S90" s="266"/>
      <c r="T90" s="384"/>
      <c r="U90" s="266"/>
    </row>
    <row r="91" spans="2:21">
      <c r="B91" s="63"/>
      <c r="C91" s="266"/>
      <c r="D91" s="266"/>
      <c r="E91" s="266"/>
      <c r="F91" s="266"/>
      <c r="G91" s="63"/>
      <c r="H91" s="63"/>
      <c r="I91" s="63"/>
      <c r="J91" s="266"/>
      <c r="K91" s="266"/>
      <c r="L91" s="266"/>
      <c r="M91" s="266"/>
      <c r="N91" s="266"/>
      <c r="O91" s="266"/>
      <c r="P91" s="266"/>
      <c r="Q91" s="266"/>
      <c r="R91" s="266"/>
      <c r="S91" s="266"/>
      <c r="T91" s="384"/>
      <c r="U91" s="266"/>
    </row>
    <row r="92" spans="2:21">
      <c r="B92" s="63"/>
      <c r="C92" s="266"/>
      <c r="D92" s="266"/>
      <c r="E92" s="266"/>
      <c r="F92" s="266"/>
      <c r="G92" s="63"/>
      <c r="H92" s="63"/>
      <c r="I92" s="63"/>
      <c r="J92" s="266"/>
      <c r="K92" s="266"/>
      <c r="L92" s="266"/>
      <c r="M92" s="266"/>
      <c r="N92" s="266"/>
      <c r="O92" s="266"/>
      <c r="P92" s="266"/>
      <c r="Q92" s="266"/>
      <c r="R92" s="266"/>
      <c r="S92" s="266"/>
      <c r="T92" s="384"/>
      <c r="U92" s="266"/>
    </row>
    <row r="93" spans="2:21">
      <c r="B93" s="63"/>
      <c r="C93" s="266"/>
      <c r="D93" s="266"/>
      <c r="E93" s="266"/>
      <c r="F93" s="266"/>
      <c r="G93" s="63"/>
      <c r="H93" s="63"/>
      <c r="I93" s="63"/>
      <c r="J93" s="266"/>
      <c r="K93" s="266"/>
      <c r="L93" s="266"/>
      <c r="M93" s="266"/>
      <c r="N93" s="266"/>
      <c r="O93" s="266"/>
      <c r="P93" s="266"/>
      <c r="Q93" s="266"/>
      <c r="R93" s="266"/>
      <c r="S93" s="266"/>
      <c r="T93" s="384"/>
      <c r="U93" s="266"/>
    </row>
    <row r="94" spans="2:21">
      <c r="B94" s="63"/>
      <c r="C94" s="266"/>
      <c r="D94" s="266"/>
      <c r="E94" s="266"/>
      <c r="F94" s="266"/>
      <c r="G94" s="63"/>
      <c r="H94" s="63"/>
      <c r="I94" s="63"/>
      <c r="J94" s="266"/>
      <c r="K94" s="266"/>
      <c r="L94" s="266"/>
      <c r="M94" s="266"/>
      <c r="N94" s="266"/>
      <c r="O94" s="266"/>
      <c r="P94" s="266"/>
      <c r="Q94" s="266"/>
      <c r="R94" s="266"/>
      <c r="S94" s="266"/>
      <c r="T94" s="384"/>
      <c r="U94" s="266"/>
    </row>
    <row r="95" spans="2:21">
      <c r="B95" s="63"/>
      <c r="C95" s="266"/>
      <c r="D95" s="266"/>
      <c r="E95" s="266"/>
      <c r="F95" s="266"/>
      <c r="G95" s="63"/>
      <c r="H95" s="63"/>
      <c r="I95" s="63"/>
      <c r="J95" s="266"/>
      <c r="K95" s="266"/>
      <c r="L95" s="266"/>
      <c r="M95" s="266"/>
      <c r="N95" s="266"/>
      <c r="O95" s="266"/>
      <c r="P95" s="266"/>
      <c r="Q95" s="266"/>
      <c r="R95" s="266"/>
      <c r="S95" s="266"/>
      <c r="T95" s="384"/>
      <c r="U95" s="266"/>
    </row>
    <row r="96" spans="2:21">
      <c r="B96" s="63"/>
      <c r="C96" s="266"/>
      <c r="D96" s="266"/>
      <c r="E96" s="266"/>
      <c r="F96" s="266"/>
      <c r="G96" s="63"/>
      <c r="H96" s="63"/>
      <c r="I96" s="63"/>
      <c r="J96" s="266"/>
      <c r="K96" s="266"/>
      <c r="L96" s="266"/>
      <c r="M96" s="266"/>
      <c r="N96" s="266"/>
      <c r="O96" s="266"/>
      <c r="P96" s="266"/>
      <c r="Q96" s="266"/>
      <c r="R96" s="266"/>
      <c r="S96" s="266"/>
      <c r="T96" s="384"/>
      <c r="U96" s="266"/>
    </row>
    <row r="97" spans="2:21">
      <c r="B97" s="63"/>
      <c r="C97" s="266"/>
      <c r="D97" s="266"/>
      <c r="E97" s="266"/>
      <c r="F97" s="266"/>
      <c r="G97" s="63"/>
      <c r="H97" s="63"/>
      <c r="I97" s="63"/>
      <c r="J97" s="266"/>
      <c r="K97" s="266"/>
      <c r="L97" s="266"/>
      <c r="M97" s="266"/>
      <c r="N97" s="266"/>
      <c r="O97" s="266"/>
      <c r="P97" s="266"/>
      <c r="Q97" s="266"/>
      <c r="R97" s="266"/>
      <c r="S97" s="266"/>
      <c r="T97" s="384"/>
      <c r="U97" s="266"/>
    </row>
    <row r="98" spans="2:21">
      <c r="B98" s="63"/>
      <c r="C98" s="266"/>
      <c r="D98" s="266"/>
      <c r="E98" s="266"/>
      <c r="F98" s="266"/>
      <c r="G98" s="63"/>
      <c r="H98" s="63"/>
      <c r="I98" s="63"/>
      <c r="J98" s="266"/>
      <c r="K98" s="266"/>
      <c r="L98" s="266"/>
      <c r="M98" s="266"/>
      <c r="N98" s="266"/>
      <c r="O98" s="266"/>
      <c r="P98" s="266"/>
      <c r="Q98" s="266"/>
      <c r="R98" s="266"/>
      <c r="S98" s="266"/>
      <c r="T98" s="384"/>
      <c r="U98" s="266"/>
    </row>
    <row r="99" spans="2:21">
      <c r="B99" s="63"/>
      <c r="C99" s="266"/>
      <c r="D99" s="266"/>
      <c r="E99" s="266"/>
      <c r="F99" s="266"/>
      <c r="G99" s="63"/>
      <c r="H99" s="63"/>
      <c r="I99" s="63"/>
      <c r="J99" s="266"/>
      <c r="K99" s="266"/>
      <c r="L99" s="266"/>
      <c r="M99" s="266"/>
      <c r="N99" s="266"/>
      <c r="O99" s="266"/>
      <c r="P99" s="266"/>
      <c r="Q99" s="266"/>
      <c r="R99" s="266"/>
      <c r="S99" s="266"/>
      <c r="T99" s="384"/>
      <c r="U99" s="266"/>
    </row>
    <row r="100" spans="2:21">
      <c r="B100" s="63"/>
      <c r="C100" s="266"/>
      <c r="D100" s="266"/>
      <c r="E100" s="266"/>
      <c r="F100" s="266"/>
      <c r="G100" s="63"/>
      <c r="H100" s="63"/>
      <c r="I100" s="63"/>
      <c r="J100" s="266"/>
      <c r="K100" s="266"/>
      <c r="L100" s="266"/>
      <c r="M100" s="266"/>
      <c r="N100" s="266"/>
      <c r="O100" s="266"/>
      <c r="P100" s="266"/>
      <c r="Q100" s="266"/>
      <c r="R100" s="266"/>
      <c r="S100" s="266"/>
      <c r="T100" s="384"/>
      <c r="U100" s="266"/>
    </row>
    <row r="101" spans="2:21">
      <c r="B101" s="63"/>
      <c r="C101" s="266"/>
      <c r="D101" s="266"/>
      <c r="E101" s="266"/>
      <c r="F101" s="266"/>
      <c r="G101" s="63"/>
      <c r="H101" s="63"/>
      <c r="I101" s="63"/>
      <c r="J101" s="266"/>
      <c r="K101" s="266"/>
      <c r="L101" s="266"/>
      <c r="M101" s="266"/>
      <c r="N101" s="266"/>
      <c r="O101" s="266"/>
      <c r="P101" s="266"/>
      <c r="Q101" s="266"/>
      <c r="R101" s="266"/>
      <c r="S101" s="266"/>
      <c r="T101" s="384"/>
      <c r="U101" s="266"/>
    </row>
    <row r="102" spans="2:21">
      <c r="B102" s="63"/>
      <c r="C102" s="266"/>
      <c r="D102" s="266"/>
      <c r="E102" s="266"/>
      <c r="F102" s="266"/>
      <c r="G102" s="63"/>
      <c r="H102" s="63"/>
      <c r="I102" s="63"/>
      <c r="J102" s="266"/>
      <c r="K102" s="266"/>
      <c r="L102" s="266"/>
      <c r="M102" s="266"/>
      <c r="N102" s="266"/>
      <c r="O102" s="266"/>
      <c r="P102" s="266"/>
      <c r="Q102" s="266"/>
      <c r="R102" s="266"/>
      <c r="S102" s="266"/>
      <c r="T102" s="384"/>
      <c r="U102" s="266"/>
    </row>
    <row r="103" spans="2:21">
      <c r="B103" s="63"/>
      <c r="C103" s="266"/>
      <c r="D103" s="266"/>
      <c r="E103" s="266"/>
      <c r="F103" s="266"/>
      <c r="G103" s="63"/>
      <c r="H103" s="63"/>
      <c r="I103" s="63"/>
      <c r="J103" s="266"/>
      <c r="K103" s="266"/>
      <c r="L103" s="266"/>
      <c r="M103" s="266"/>
      <c r="N103" s="266"/>
      <c r="O103" s="266"/>
      <c r="P103" s="266"/>
      <c r="Q103" s="266"/>
      <c r="R103" s="266"/>
      <c r="S103" s="266"/>
      <c r="T103" s="384"/>
      <c r="U103" s="266"/>
    </row>
    <row r="104" spans="2:21">
      <c r="B104" s="63"/>
      <c r="C104" s="266"/>
      <c r="D104" s="266"/>
      <c r="E104" s="266"/>
      <c r="F104" s="266"/>
      <c r="G104" s="63"/>
      <c r="H104" s="63"/>
      <c r="I104" s="63"/>
      <c r="J104" s="266"/>
      <c r="K104" s="266"/>
      <c r="L104" s="266"/>
      <c r="M104" s="266"/>
      <c r="N104" s="266"/>
      <c r="O104" s="266"/>
      <c r="P104" s="266"/>
      <c r="Q104" s="266"/>
      <c r="R104" s="266"/>
      <c r="S104" s="266"/>
      <c r="T104" s="384"/>
      <c r="U104" s="266"/>
    </row>
    <row r="105" spans="2:21">
      <c r="B105" s="63"/>
      <c r="C105" s="266"/>
      <c r="D105" s="266"/>
      <c r="E105" s="266"/>
      <c r="F105" s="266"/>
      <c r="G105" s="63"/>
      <c r="H105" s="63"/>
      <c r="I105" s="63"/>
      <c r="J105" s="266"/>
      <c r="K105" s="266"/>
      <c r="L105" s="266"/>
      <c r="M105" s="266"/>
      <c r="N105" s="266"/>
      <c r="O105" s="266"/>
      <c r="P105" s="266"/>
      <c r="Q105" s="266"/>
      <c r="R105" s="266"/>
      <c r="S105" s="266"/>
      <c r="T105" s="384"/>
      <c r="U105" s="266"/>
    </row>
    <row r="106" spans="2:21">
      <c r="B106" s="63"/>
      <c r="C106" s="266"/>
      <c r="D106" s="266"/>
      <c r="E106" s="266"/>
      <c r="F106" s="266"/>
      <c r="G106" s="63"/>
      <c r="H106" s="63"/>
      <c r="I106" s="63"/>
      <c r="J106" s="266"/>
      <c r="K106" s="266"/>
      <c r="L106" s="266"/>
      <c r="M106" s="266"/>
      <c r="N106" s="266"/>
      <c r="O106" s="266"/>
      <c r="P106" s="266"/>
      <c r="Q106" s="266"/>
      <c r="R106" s="266"/>
      <c r="S106" s="266"/>
      <c r="T106" s="384"/>
      <c r="U106" s="266"/>
    </row>
    <row r="107" spans="2:21">
      <c r="B107" s="63"/>
      <c r="C107" s="266"/>
      <c r="D107" s="266"/>
      <c r="E107" s="266"/>
      <c r="F107" s="266"/>
      <c r="G107" s="63"/>
      <c r="H107" s="63"/>
      <c r="I107" s="63"/>
      <c r="J107" s="266"/>
      <c r="K107" s="266"/>
      <c r="L107" s="266"/>
      <c r="M107" s="266"/>
      <c r="N107" s="266"/>
      <c r="O107" s="266"/>
      <c r="P107" s="266"/>
      <c r="Q107" s="266"/>
      <c r="R107" s="266"/>
      <c r="S107" s="266"/>
      <c r="T107" s="384"/>
      <c r="U107" s="266"/>
    </row>
    <row r="108" spans="2:21">
      <c r="B108" s="63"/>
      <c r="C108" s="266"/>
      <c r="D108" s="266"/>
      <c r="E108" s="266"/>
      <c r="F108" s="266"/>
      <c r="G108" s="63"/>
      <c r="H108" s="63"/>
      <c r="I108" s="63"/>
      <c r="J108" s="266"/>
      <c r="K108" s="266"/>
      <c r="L108" s="266"/>
      <c r="M108" s="266"/>
      <c r="N108" s="266"/>
      <c r="O108" s="266"/>
      <c r="P108" s="266"/>
      <c r="Q108" s="266"/>
      <c r="R108" s="266"/>
      <c r="S108" s="266"/>
      <c r="T108" s="384"/>
      <c r="U108" s="266"/>
    </row>
    <row r="109" spans="2:21">
      <c r="B109" s="63"/>
      <c r="C109" s="266"/>
      <c r="D109" s="266"/>
      <c r="E109" s="266"/>
      <c r="F109" s="266"/>
      <c r="G109" s="63"/>
      <c r="H109" s="63"/>
      <c r="I109" s="63"/>
      <c r="J109" s="266"/>
      <c r="K109" s="266"/>
      <c r="L109" s="266"/>
      <c r="M109" s="266"/>
      <c r="N109" s="266"/>
      <c r="O109" s="266"/>
      <c r="P109" s="266"/>
      <c r="Q109" s="266"/>
      <c r="R109" s="266"/>
      <c r="S109" s="266"/>
      <c r="T109" s="384"/>
      <c r="U109" s="266"/>
    </row>
    <row r="110" spans="2:21">
      <c r="B110" s="63"/>
      <c r="C110" s="266"/>
      <c r="D110" s="266"/>
      <c r="E110" s="266"/>
      <c r="F110" s="266"/>
      <c r="G110" s="63"/>
      <c r="H110" s="63"/>
      <c r="I110" s="63"/>
      <c r="J110" s="266"/>
      <c r="K110" s="266"/>
      <c r="L110" s="266"/>
      <c r="M110" s="266"/>
      <c r="N110" s="266"/>
      <c r="O110" s="266"/>
      <c r="P110" s="266"/>
      <c r="Q110" s="266"/>
      <c r="R110" s="266"/>
      <c r="S110" s="266"/>
      <c r="T110" s="384"/>
      <c r="U110" s="266"/>
    </row>
    <row r="111" spans="2:21">
      <c r="B111" s="63"/>
      <c r="C111" s="266"/>
      <c r="D111" s="266"/>
      <c r="E111" s="266"/>
      <c r="F111" s="266"/>
      <c r="G111" s="63"/>
      <c r="H111" s="63"/>
      <c r="I111" s="63"/>
      <c r="J111" s="266"/>
      <c r="K111" s="266"/>
      <c r="L111" s="266"/>
      <c r="M111" s="266"/>
      <c r="N111" s="266"/>
      <c r="O111" s="266"/>
      <c r="P111" s="266"/>
      <c r="Q111" s="266"/>
      <c r="R111" s="266"/>
      <c r="S111" s="266"/>
      <c r="T111" s="384"/>
      <c r="U111" s="266"/>
    </row>
    <row r="112" spans="2:21">
      <c r="B112" s="63"/>
      <c r="C112" s="266"/>
      <c r="D112" s="266"/>
      <c r="E112" s="266"/>
      <c r="F112" s="266"/>
      <c r="G112" s="63"/>
      <c r="H112" s="63"/>
      <c r="I112" s="63"/>
      <c r="J112" s="266"/>
      <c r="K112" s="266"/>
      <c r="L112" s="266"/>
      <c r="M112" s="266"/>
      <c r="N112" s="266"/>
      <c r="O112" s="266"/>
      <c r="P112" s="266"/>
      <c r="Q112" s="266"/>
      <c r="R112" s="266"/>
      <c r="S112" s="266"/>
      <c r="T112" s="384"/>
      <c r="U112" s="266"/>
    </row>
    <row r="113" spans="1:21">
      <c r="B113" s="63"/>
      <c r="C113" s="266"/>
      <c r="D113" s="266"/>
      <c r="E113" s="266"/>
      <c r="F113" s="266"/>
      <c r="G113" s="63"/>
      <c r="H113" s="63"/>
      <c r="I113" s="63"/>
      <c r="J113" s="266"/>
      <c r="K113" s="266"/>
      <c r="L113" s="266"/>
      <c r="M113" s="266"/>
      <c r="N113" s="266"/>
      <c r="O113" s="266"/>
      <c r="P113" s="266"/>
      <c r="Q113" s="266"/>
      <c r="R113" s="266"/>
      <c r="S113" s="266"/>
      <c r="T113" s="384"/>
      <c r="U113" s="266"/>
    </row>
    <row r="114" spans="1:21">
      <c r="B114" s="63"/>
      <c r="C114" s="266"/>
      <c r="D114" s="266"/>
      <c r="E114" s="266"/>
      <c r="F114" s="266"/>
      <c r="G114" s="63"/>
      <c r="H114" s="63"/>
      <c r="I114" s="63"/>
      <c r="J114" s="266"/>
      <c r="K114" s="266"/>
      <c r="L114" s="266"/>
      <c r="M114" s="266"/>
      <c r="N114" s="266"/>
      <c r="O114" s="266"/>
      <c r="P114" s="266"/>
      <c r="Q114" s="266"/>
      <c r="R114" s="266"/>
      <c r="S114" s="266"/>
      <c r="T114" s="384"/>
      <c r="U114" s="266"/>
    </row>
    <row r="115" spans="1:21">
      <c r="B115" s="63"/>
      <c r="C115" s="266"/>
      <c r="D115" s="266"/>
      <c r="E115" s="266"/>
      <c r="F115" s="266"/>
      <c r="G115" s="63"/>
      <c r="H115" s="63"/>
      <c r="I115" s="63"/>
      <c r="J115" s="266"/>
      <c r="K115" s="266"/>
      <c r="L115" s="266"/>
      <c r="M115" s="266"/>
      <c r="N115" s="266"/>
      <c r="O115" s="266"/>
      <c r="P115" s="266"/>
      <c r="Q115" s="266"/>
      <c r="R115" s="266"/>
      <c r="S115" s="266"/>
      <c r="T115" s="384"/>
      <c r="U115" s="266"/>
    </row>
    <row r="116" spans="1:21">
      <c r="B116" s="63"/>
      <c r="C116" s="266"/>
      <c r="D116" s="266"/>
      <c r="E116" s="266"/>
      <c r="F116" s="266"/>
      <c r="G116" s="63"/>
      <c r="H116" s="63"/>
      <c r="I116" s="63"/>
      <c r="J116" s="266"/>
      <c r="K116" s="266"/>
      <c r="L116" s="266"/>
      <c r="M116" s="266"/>
      <c r="N116" s="266"/>
      <c r="O116" s="266"/>
      <c r="P116" s="266"/>
      <c r="Q116" s="266"/>
      <c r="R116" s="266"/>
      <c r="S116" s="266"/>
      <c r="T116" s="384"/>
      <c r="U116" s="266"/>
    </row>
    <row r="117" spans="1:21">
      <c r="B117" s="63"/>
      <c r="C117" s="266"/>
      <c r="D117" s="266"/>
      <c r="E117" s="266"/>
      <c r="F117" s="266"/>
      <c r="G117" s="63"/>
      <c r="H117" s="63"/>
      <c r="I117" s="63"/>
      <c r="J117" s="266"/>
      <c r="K117" s="266"/>
      <c r="L117" s="266"/>
      <c r="M117" s="266"/>
      <c r="N117" s="266"/>
      <c r="O117" s="266"/>
      <c r="P117" s="266"/>
      <c r="Q117" s="266"/>
      <c r="R117" s="266"/>
      <c r="S117" s="266"/>
      <c r="T117" s="384"/>
      <c r="U117" s="266"/>
    </row>
    <row r="118" spans="1:21">
      <c r="B118" s="63"/>
      <c r="C118" s="266"/>
      <c r="D118" s="266"/>
      <c r="E118" s="266"/>
      <c r="F118" s="266"/>
      <c r="G118" s="63"/>
      <c r="H118" s="63"/>
      <c r="I118" s="63"/>
      <c r="J118" s="266"/>
      <c r="K118" s="266"/>
      <c r="L118" s="266"/>
      <c r="M118" s="266"/>
      <c r="N118" s="266"/>
      <c r="O118" s="266"/>
      <c r="P118" s="266"/>
      <c r="Q118" s="266"/>
      <c r="R118" s="266"/>
      <c r="S118" s="266"/>
      <c r="T118" s="384"/>
      <c r="U118" s="266"/>
    </row>
    <row r="119" spans="1:21">
      <c r="B119" s="63"/>
      <c r="C119" s="266"/>
      <c r="D119" s="266"/>
      <c r="E119" s="266"/>
      <c r="F119" s="266"/>
      <c r="G119" s="63"/>
      <c r="H119" s="63"/>
      <c r="I119" s="63"/>
      <c r="J119" s="266"/>
      <c r="K119" s="266"/>
      <c r="L119" s="266"/>
      <c r="M119" s="266"/>
      <c r="N119" s="266"/>
      <c r="O119" s="266"/>
      <c r="P119" s="266"/>
      <c r="Q119" s="266"/>
      <c r="R119" s="266"/>
      <c r="S119" s="266"/>
      <c r="T119" s="384"/>
      <c r="U119" s="266"/>
    </row>
    <row r="120" spans="1:21">
      <c r="B120" s="63"/>
      <c r="C120" s="266"/>
      <c r="D120" s="266"/>
      <c r="E120" s="266"/>
      <c r="F120" s="266"/>
      <c r="G120" s="63"/>
      <c r="H120" s="63"/>
      <c r="I120" s="63"/>
      <c r="J120" s="266"/>
      <c r="K120" s="266"/>
      <c r="L120" s="266"/>
      <c r="M120" s="266"/>
      <c r="N120" s="266"/>
      <c r="O120" s="266"/>
      <c r="P120" s="266"/>
      <c r="Q120" s="266"/>
      <c r="R120" s="266"/>
      <c r="S120" s="266"/>
      <c r="T120" s="384"/>
      <c r="U120" s="266"/>
    </row>
    <row r="121" spans="1:21">
      <c r="B121" s="63"/>
      <c r="C121" s="266"/>
      <c r="D121" s="266"/>
      <c r="E121" s="266"/>
      <c r="F121" s="266"/>
      <c r="G121" s="63"/>
      <c r="H121" s="63"/>
      <c r="I121" s="63"/>
      <c r="J121" s="266"/>
      <c r="K121" s="266"/>
      <c r="L121" s="266"/>
      <c r="M121" s="266"/>
      <c r="N121" s="266"/>
      <c r="O121" s="266"/>
      <c r="P121" s="266"/>
      <c r="Q121" s="266"/>
      <c r="R121" s="266"/>
      <c r="S121" s="266"/>
      <c r="T121" s="384"/>
      <c r="U121" s="266"/>
    </row>
    <row r="122" spans="1:21">
      <c r="B122" s="63"/>
      <c r="C122" s="266"/>
      <c r="D122" s="266"/>
      <c r="E122" s="266"/>
      <c r="F122" s="266"/>
      <c r="G122" s="63"/>
      <c r="H122" s="63"/>
      <c r="I122" s="63"/>
      <c r="J122" s="266"/>
      <c r="K122" s="266"/>
      <c r="L122" s="266"/>
      <c r="M122" s="266"/>
      <c r="N122" s="266"/>
      <c r="O122" s="266"/>
      <c r="P122" s="266"/>
      <c r="Q122" s="266"/>
      <c r="R122" s="266"/>
      <c r="S122" s="266"/>
      <c r="T122" s="384"/>
      <c r="U122" s="266"/>
    </row>
    <row r="123" spans="1:21">
      <c r="B123" s="63"/>
      <c r="C123" s="266"/>
      <c r="D123" s="266"/>
      <c r="E123" s="266"/>
      <c r="F123" s="266"/>
      <c r="G123" s="63"/>
      <c r="H123" s="63"/>
      <c r="I123" s="63"/>
      <c r="J123" s="266"/>
      <c r="K123" s="266"/>
      <c r="L123" s="266"/>
      <c r="M123" s="266"/>
      <c r="N123" s="266"/>
      <c r="O123" s="266"/>
      <c r="P123" s="266"/>
      <c r="Q123" s="266"/>
      <c r="R123" s="266"/>
      <c r="S123" s="266"/>
      <c r="T123" s="384"/>
      <c r="U123" s="266"/>
    </row>
    <row r="124" spans="1:21">
      <c r="A124" s="266"/>
      <c r="B124" s="63"/>
      <c r="C124" s="266"/>
      <c r="D124" s="266"/>
      <c r="E124" s="266"/>
      <c r="F124" s="266"/>
      <c r="G124" s="63"/>
      <c r="H124" s="63"/>
      <c r="I124" s="63"/>
      <c r="J124" s="266"/>
      <c r="K124" s="266"/>
      <c r="L124" s="266"/>
      <c r="M124" s="266"/>
      <c r="N124" s="266"/>
      <c r="O124" s="266"/>
      <c r="P124" s="266"/>
      <c r="Q124" s="266"/>
      <c r="R124" s="266"/>
      <c r="S124" s="266"/>
      <c r="T124" s="384"/>
      <c r="U124" s="266"/>
    </row>
    <row r="125" spans="1:21">
      <c r="A125" s="266"/>
      <c r="B125" s="63"/>
      <c r="C125" s="266"/>
      <c r="D125" s="266"/>
      <c r="E125" s="266"/>
      <c r="F125" s="266"/>
      <c r="G125" s="63"/>
      <c r="H125" s="63"/>
      <c r="I125" s="63"/>
      <c r="J125" s="266"/>
      <c r="K125" s="266"/>
      <c r="L125" s="266"/>
      <c r="M125" s="266"/>
      <c r="N125" s="266"/>
      <c r="O125" s="266"/>
      <c r="P125" s="266"/>
      <c r="Q125" s="266"/>
      <c r="R125" s="266"/>
      <c r="S125" s="266"/>
      <c r="T125" s="384"/>
      <c r="U125" s="266"/>
    </row>
    <row r="126" spans="1:21">
      <c r="A126" s="266"/>
      <c r="B126" s="63"/>
      <c r="C126" s="266"/>
      <c r="D126" s="266"/>
      <c r="E126" s="266"/>
      <c r="F126" s="266"/>
      <c r="G126" s="63"/>
      <c r="H126" s="63"/>
      <c r="I126" s="63"/>
      <c r="J126" s="266"/>
      <c r="K126" s="266"/>
      <c r="L126" s="266"/>
      <c r="M126" s="266"/>
      <c r="N126" s="266"/>
      <c r="O126" s="266"/>
      <c r="P126" s="266"/>
      <c r="Q126" s="266"/>
      <c r="R126" s="266"/>
      <c r="S126" s="266"/>
      <c r="T126" s="384"/>
      <c r="U126" s="266"/>
    </row>
    <row r="127" spans="1:21">
      <c r="A127" s="266"/>
      <c r="B127" s="63"/>
      <c r="C127" s="266"/>
      <c r="D127" s="266"/>
      <c r="E127" s="266"/>
      <c r="F127" s="266"/>
      <c r="G127" s="63"/>
      <c r="H127" s="63"/>
      <c r="I127" s="63"/>
      <c r="J127" s="266"/>
      <c r="K127" s="266"/>
      <c r="L127" s="266"/>
      <c r="M127" s="266"/>
      <c r="N127" s="266"/>
      <c r="O127" s="266"/>
      <c r="P127" s="266"/>
      <c r="Q127" s="266"/>
      <c r="R127" s="266"/>
      <c r="S127" s="266"/>
      <c r="T127" s="384"/>
      <c r="U127" s="266"/>
    </row>
    <row r="128" spans="1:21">
      <c r="A128" s="266"/>
      <c r="B128" s="63"/>
      <c r="C128" s="266"/>
      <c r="D128" s="266"/>
      <c r="E128" s="266"/>
      <c r="F128" s="266"/>
      <c r="G128" s="63"/>
      <c r="H128" s="63"/>
      <c r="I128" s="63"/>
      <c r="J128" s="266"/>
      <c r="K128" s="266"/>
      <c r="L128" s="266"/>
      <c r="M128" s="266"/>
      <c r="N128" s="266"/>
      <c r="O128" s="266"/>
      <c r="P128" s="266"/>
      <c r="Q128" s="266"/>
      <c r="R128" s="266"/>
      <c r="S128" s="266"/>
      <c r="T128" s="384"/>
      <c r="U128" s="266"/>
    </row>
    <row r="129" spans="1:21">
      <c r="A129" s="266"/>
      <c r="B129" s="63"/>
      <c r="C129" s="266"/>
      <c r="D129" s="266"/>
      <c r="E129" s="266"/>
      <c r="F129" s="266"/>
      <c r="G129" s="63"/>
      <c r="H129" s="63"/>
      <c r="I129" s="63"/>
      <c r="J129" s="266"/>
      <c r="K129" s="266"/>
      <c r="L129" s="266"/>
      <c r="M129" s="266"/>
      <c r="N129" s="266"/>
      <c r="O129" s="266"/>
      <c r="P129" s="266"/>
      <c r="Q129" s="266"/>
      <c r="R129" s="266"/>
      <c r="S129" s="266"/>
      <c r="T129" s="384"/>
      <c r="U129" s="266"/>
    </row>
    <row r="130" spans="1:21">
      <c r="A130" s="266"/>
      <c r="B130" s="63"/>
      <c r="C130" s="266"/>
      <c r="D130" s="266"/>
      <c r="E130" s="266"/>
      <c r="F130" s="266"/>
      <c r="G130" s="63"/>
      <c r="H130" s="63"/>
      <c r="I130" s="63"/>
      <c r="J130" s="266"/>
      <c r="K130" s="266"/>
      <c r="L130" s="266"/>
      <c r="M130" s="266"/>
      <c r="N130" s="266"/>
      <c r="O130" s="266"/>
      <c r="P130" s="266"/>
      <c r="Q130" s="266"/>
      <c r="R130" s="266"/>
      <c r="S130" s="266"/>
      <c r="T130" s="384"/>
      <c r="U130" s="266"/>
    </row>
    <row r="131" spans="1:21">
      <c r="A131" s="266"/>
      <c r="B131" s="63"/>
      <c r="C131" s="266"/>
      <c r="D131" s="266"/>
      <c r="E131" s="266"/>
      <c r="F131" s="266"/>
      <c r="G131" s="63"/>
      <c r="H131" s="63"/>
      <c r="I131" s="63"/>
      <c r="J131" s="266"/>
      <c r="K131" s="266"/>
      <c r="L131" s="266"/>
      <c r="M131" s="266"/>
      <c r="N131" s="266"/>
      <c r="O131" s="266"/>
      <c r="P131" s="266"/>
      <c r="Q131" s="266"/>
      <c r="R131" s="266"/>
      <c r="S131" s="266"/>
      <c r="T131" s="384"/>
      <c r="U131" s="266"/>
    </row>
    <row r="132" spans="1:21">
      <c r="A132" s="266"/>
      <c r="B132" s="63"/>
      <c r="C132" s="266"/>
      <c r="D132" s="266"/>
      <c r="E132" s="266"/>
      <c r="F132" s="266"/>
      <c r="G132" s="63"/>
      <c r="H132" s="63"/>
      <c r="I132" s="63"/>
      <c r="J132" s="266"/>
      <c r="K132" s="266"/>
      <c r="L132" s="266"/>
      <c r="M132" s="266"/>
      <c r="N132" s="266"/>
      <c r="O132" s="266"/>
      <c r="P132" s="266"/>
      <c r="Q132" s="266"/>
      <c r="R132" s="266"/>
      <c r="S132" s="266"/>
      <c r="T132" s="384"/>
      <c r="U132" s="266"/>
    </row>
    <row r="133" spans="1:21">
      <c r="A133" s="266"/>
      <c r="B133" s="63"/>
      <c r="C133" s="266"/>
      <c r="D133" s="266"/>
      <c r="E133" s="266"/>
      <c r="F133" s="266"/>
      <c r="G133" s="63"/>
      <c r="H133" s="63"/>
      <c r="I133" s="63"/>
      <c r="J133" s="266"/>
      <c r="K133" s="266"/>
      <c r="L133" s="266"/>
      <c r="M133" s="266"/>
      <c r="N133" s="266"/>
      <c r="O133" s="266"/>
      <c r="P133" s="266"/>
      <c r="Q133" s="266"/>
      <c r="R133" s="266"/>
      <c r="S133" s="266"/>
      <c r="T133" s="384"/>
      <c r="U133" s="266"/>
    </row>
    <row r="134" spans="1:21">
      <c r="A134" s="266"/>
      <c r="B134" s="63"/>
      <c r="C134" s="266"/>
      <c r="D134" s="266"/>
      <c r="E134" s="266"/>
      <c r="F134" s="266"/>
      <c r="G134" s="63"/>
      <c r="H134" s="63"/>
      <c r="I134" s="63"/>
      <c r="J134" s="266"/>
      <c r="K134" s="266"/>
      <c r="L134" s="266"/>
      <c r="M134" s="266"/>
      <c r="N134" s="266"/>
      <c r="O134" s="266"/>
      <c r="P134" s="266"/>
      <c r="Q134" s="266"/>
      <c r="R134" s="266"/>
      <c r="S134" s="266"/>
      <c r="T134" s="384"/>
      <c r="U134" s="266"/>
    </row>
    <row r="135" spans="1:21">
      <c r="A135" s="266"/>
      <c r="B135" s="63"/>
      <c r="C135" s="266"/>
      <c r="D135" s="266"/>
      <c r="E135" s="266"/>
      <c r="F135" s="266"/>
      <c r="G135" s="63"/>
      <c r="H135" s="63"/>
      <c r="I135" s="63"/>
      <c r="J135" s="266"/>
      <c r="K135" s="266"/>
      <c r="L135" s="266"/>
      <c r="M135" s="266"/>
      <c r="N135" s="266"/>
      <c r="O135" s="266"/>
      <c r="P135" s="266"/>
      <c r="Q135" s="266"/>
      <c r="R135" s="266"/>
      <c r="S135" s="266"/>
      <c r="T135" s="384"/>
      <c r="U135" s="266"/>
    </row>
    <row r="136" spans="1:21">
      <c r="A136" s="266"/>
      <c r="B136" s="63"/>
      <c r="C136" s="266"/>
      <c r="D136" s="266"/>
      <c r="E136" s="266"/>
      <c r="F136" s="266"/>
      <c r="G136" s="63"/>
      <c r="H136" s="63"/>
      <c r="I136" s="63"/>
      <c r="J136" s="266"/>
      <c r="K136" s="266"/>
      <c r="L136" s="266"/>
      <c r="M136" s="266"/>
      <c r="N136" s="266"/>
      <c r="O136" s="266"/>
      <c r="P136" s="266"/>
      <c r="Q136" s="266"/>
      <c r="R136" s="266"/>
      <c r="S136" s="266"/>
      <c r="T136" s="384"/>
      <c r="U136" s="266"/>
    </row>
    <row r="137" spans="1:21">
      <c r="A137" s="266"/>
      <c r="B137" s="63"/>
      <c r="C137" s="266"/>
      <c r="D137" s="266"/>
      <c r="E137" s="266"/>
      <c r="F137" s="266"/>
      <c r="G137" s="63"/>
      <c r="H137" s="63"/>
      <c r="I137" s="63"/>
      <c r="J137" s="266"/>
      <c r="K137" s="266"/>
      <c r="L137" s="266"/>
      <c r="M137" s="266"/>
      <c r="N137" s="266"/>
      <c r="O137" s="266"/>
      <c r="P137" s="266"/>
      <c r="Q137" s="266"/>
      <c r="R137" s="266"/>
      <c r="S137" s="266"/>
      <c r="T137" s="384"/>
      <c r="U137" s="266"/>
    </row>
    <row r="138" spans="1:21">
      <c r="A138" s="266"/>
      <c r="B138" s="63"/>
      <c r="C138" s="266"/>
      <c r="D138" s="266"/>
      <c r="E138" s="266"/>
      <c r="F138" s="266"/>
      <c r="G138" s="63"/>
      <c r="H138" s="63"/>
      <c r="I138" s="63"/>
      <c r="J138" s="266"/>
      <c r="K138" s="266"/>
      <c r="L138" s="266"/>
      <c r="M138" s="266"/>
      <c r="N138" s="266"/>
      <c r="O138" s="266"/>
      <c r="P138" s="266"/>
      <c r="Q138" s="266"/>
      <c r="R138" s="266"/>
      <c r="S138" s="266"/>
      <c r="T138" s="384"/>
      <c r="U138" s="266"/>
    </row>
    <row r="139" spans="1:21">
      <c r="A139" s="266"/>
      <c r="B139" s="63"/>
      <c r="C139" s="266"/>
      <c r="D139" s="266"/>
      <c r="E139" s="266"/>
      <c r="F139" s="266"/>
      <c r="G139" s="63"/>
      <c r="H139" s="63"/>
      <c r="I139" s="63"/>
      <c r="J139" s="266"/>
      <c r="K139" s="266"/>
      <c r="L139" s="266"/>
      <c r="M139" s="266"/>
      <c r="N139" s="266"/>
      <c r="O139" s="266"/>
      <c r="P139" s="266"/>
      <c r="Q139" s="266"/>
      <c r="R139" s="266"/>
      <c r="S139" s="266"/>
      <c r="T139" s="384"/>
      <c r="U139" s="266"/>
    </row>
    <row r="140" spans="1:21">
      <c r="A140" s="266"/>
      <c r="B140" s="63"/>
      <c r="C140" s="266"/>
      <c r="D140" s="266"/>
      <c r="E140" s="266"/>
      <c r="F140" s="266"/>
      <c r="G140" s="63"/>
      <c r="H140" s="63"/>
      <c r="I140" s="63"/>
      <c r="J140" s="266"/>
      <c r="K140" s="266"/>
      <c r="L140" s="266"/>
      <c r="M140" s="266"/>
      <c r="N140" s="266"/>
      <c r="O140" s="266"/>
      <c r="P140" s="266"/>
      <c r="Q140" s="266"/>
      <c r="R140" s="266"/>
      <c r="S140" s="266"/>
      <c r="T140" s="384"/>
      <c r="U140" s="266"/>
    </row>
    <row r="141" spans="1:21">
      <c r="A141" s="266"/>
      <c r="B141" s="63"/>
      <c r="C141" s="266"/>
      <c r="D141" s="266"/>
      <c r="E141" s="266"/>
      <c r="F141" s="266"/>
      <c r="G141" s="63"/>
      <c r="H141" s="63"/>
      <c r="I141" s="63"/>
      <c r="J141" s="266"/>
      <c r="K141" s="266"/>
      <c r="L141" s="266"/>
      <c r="M141" s="266"/>
      <c r="N141" s="266"/>
      <c r="O141" s="266"/>
      <c r="P141" s="266"/>
      <c r="Q141" s="266"/>
      <c r="R141" s="266"/>
      <c r="S141" s="266"/>
      <c r="T141" s="384"/>
      <c r="U141" s="266"/>
    </row>
    <row r="142" spans="1:21">
      <c r="A142" s="266"/>
      <c r="B142" s="63"/>
      <c r="C142" s="266"/>
      <c r="D142" s="266"/>
      <c r="E142" s="266"/>
      <c r="F142" s="266"/>
      <c r="G142" s="63"/>
      <c r="H142" s="63"/>
      <c r="I142" s="63"/>
      <c r="J142" s="266"/>
      <c r="K142" s="266"/>
      <c r="L142" s="266"/>
      <c r="M142" s="266"/>
      <c r="N142" s="266"/>
      <c r="O142" s="266"/>
      <c r="P142" s="266"/>
      <c r="Q142" s="266"/>
      <c r="R142" s="266"/>
      <c r="S142" s="266"/>
      <c r="T142" s="384"/>
      <c r="U142" s="266"/>
    </row>
    <row r="143" spans="1:21">
      <c r="A143" s="266"/>
      <c r="B143" s="63"/>
      <c r="C143" s="266"/>
      <c r="D143" s="266"/>
      <c r="E143" s="266"/>
      <c r="F143" s="266"/>
      <c r="G143" s="63"/>
      <c r="H143" s="63"/>
      <c r="I143" s="63"/>
      <c r="J143" s="266"/>
      <c r="K143" s="266"/>
      <c r="L143" s="266"/>
      <c r="M143" s="266"/>
      <c r="N143" s="266"/>
      <c r="O143" s="266"/>
      <c r="P143" s="266"/>
      <c r="Q143" s="266"/>
      <c r="R143" s="266"/>
      <c r="S143" s="266"/>
      <c r="T143" s="384"/>
      <c r="U143" s="266"/>
    </row>
    <row r="144" spans="1:21">
      <c r="A144" s="266"/>
      <c r="B144" s="63"/>
      <c r="C144" s="266"/>
      <c r="D144" s="266"/>
      <c r="E144" s="266"/>
      <c r="F144" s="266"/>
      <c r="G144" s="63"/>
      <c r="H144" s="63"/>
      <c r="I144" s="63"/>
      <c r="J144" s="266"/>
      <c r="K144" s="266"/>
      <c r="L144" s="266"/>
      <c r="M144" s="266"/>
      <c r="N144" s="266"/>
      <c r="O144" s="266"/>
      <c r="P144" s="266"/>
      <c r="Q144" s="266"/>
      <c r="R144" s="266"/>
      <c r="S144" s="266"/>
      <c r="T144" s="384"/>
      <c r="U144" s="266"/>
    </row>
    <row r="145" spans="1:21">
      <c r="A145" s="266"/>
      <c r="B145" s="63"/>
      <c r="C145" s="266"/>
      <c r="D145" s="266"/>
      <c r="E145" s="266"/>
      <c r="F145" s="266"/>
      <c r="G145" s="63"/>
      <c r="H145" s="63"/>
      <c r="I145" s="63"/>
      <c r="J145" s="266"/>
      <c r="K145" s="266"/>
      <c r="L145" s="266"/>
      <c r="M145" s="266"/>
      <c r="N145" s="266"/>
      <c r="O145" s="266"/>
      <c r="P145" s="266"/>
      <c r="Q145" s="266"/>
      <c r="R145" s="266"/>
      <c r="S145" s="266"/>
      <c r="T145" s="384"/>
      <c r="U145" s="266"/>
    </row>
    <row r="146" spans="1:21">
      <c r="A146" s="266"/>
      <c r="B146" s="63"/>
      <c r="C146" s="266"/>
      <c r="D146" s="266"/>
      <c r="E146" s="266"/>
      <c r="F146" s="266"/>
      <c r="G146" s="63"/>
      <c r="H146" s="63"/>
      <c r="I146" s="63"/>
      <c r="J146" s="266"/>
      <c r="K146" s="266"/>
      <c r="L146" s="266"/>
      <c r="M146" s="266"/>
      <c r="N146" s="266"/>
      <c r="O146" s="266"/>
      <c r="P146" s="266"/>
      <c r="Q146" s="266"/>
      <c r="R146" s="266"/>
      <c r="S146" s="266"/>
      <c r="T146" s="384"/>
      <c r="U146" s="266"/>
    </row>
    <row r="147" spans="1:21">
      <c r="A147" s="266"/>
      <c r="B147" s="63"/>
      <c r="C147" s="266"/>
      <c r="D147" s="266"/>
      <c r="E147" s="266"/>
      <c r="F147" s="266"/>
      <c r="G147" s="63"/>
      <c r="H147" s="63"/>
      <c r="I147" s="63"/>
      <c r="J147" s="266"/>
      <c r="K147" s="266"/>
      <c r="L147" s="266"/>
      <c r="M147" s="266"/>
      <c r="N147" s="266"/>
      <c r="O147" s="266"/>
      <c r="P147" s="266"/>
      <c r="Q147" s="266"/>
      <c r="R147" s="266"/>
      <c r="S147" s="266"/>
      <c r="T147" s="384"/>
      <c r="U147" s="266"/>
    </row>
    <row r="148" spans="1:21">
      <c r="A148" s="266"/>
      <c r="B148" s="63"/>
      <c r="C148" s="266"/>
      <c r="D148" s="266"/>
      <c r="E148" s="266"/>
      <c r="F148" s="266"/>
      <c r="G148" s="63"/>
      <c r="H148" s="63"/>
      <c r="I148" s="63"/>
      <c r="J148" s="266"/>
      <c r="K148" s="266"/>
      <c r="L148" s="266"/>
      <c r="M148" s="266"/>
      <c r="N148" s="266"/>
      <c r="O148" s="266"/>
      <c r="P148" s="266"/>
      <c r="Q148" s="266"/>
      <c r="R148" s="266"/>
      <c r="S148" s="266"/>
      <c r="T148" s="384"/>
      <c r="U148" s="266"/>
    </row>
    <row r="149" spans="1:21">
      <c r="A149" s="266"/>
      <c r="B149" s="63"/>
      <c r="C149" s="266"/>
      <c r="D149" s="266"/>
      <c r="E149" s="266"/>
      <c r="F149" s="266"/>
      <c r="G149" s="63"/>
      <c r="H149" s="63"/>
      <c r="I149" s="63"/>
      <c r="J149" s="266"/>
      <c r="K149" s="266"/>
      <c r="L149" s="266"/>
      <c r="M149" s="266"/>
      <c r="N149" s="266"/>
      <c r="O149" s="266"/>
      <c r="P149" s="266"/>
      <c r="Q149" s="266"/>
      <c r="R149" s="266"/>
      <c r="S149" s="266"/>
      <c r="T149" s="384"/>
      <c r="U149" s="266"/>
    </row>
    <row r="150" spans="1:21">
      <c r="A150" s="266"/>
      <c r="B150" s="63"/>
      <c r="C150" s="266"/>
      <c r="D150" s="266"/>
      <c r="E150" s="266"/>
      <c r="F150" s="266"/>
      <c r="G150" s="63"/>
      <c r="H150" s="63"/>
      <c r="I150" s="63"/>
      <c r="J150" s="266"/>
      <c r="K150" s="266"/>
      <c r="L150" s="266"/>
      <c r="M150" s="266"/>
      <c r="N150" s="266"/>
      <c r="O150" s="266"/>
      <c r="P150" s="266"/>
      <c r="Q150" s="266"/>
      <c r="R150" s="266"/>
      <c r="S150" s="266"/>
      <c r="T150" s="384"/>
      <c r="U150" s="266"/>
    </row>
    <row r="151" spans="1:21">
      <c r="A151" s="266"/>
      <c r="B151" s="63"/>
      <c r="C151" s="266"/>
      <c r="D151" s="266"/>
      <c r="E151" s="266"/>
      <c r="F151" s="266"/>
      <c r="G151" s="63"/>
      <c r="H151" s="63"/>
      <c r="I151" s="63"/>
      <c r="J151" s="266"/>
      <c r="K151" s="266"/>
      <c r="L151" s="266"/>
      <c r="M151" s="266"/>
      <c r="N151" s="266"/>
      <c r="O151" s="266"/>
      <c r="P151" s="266"/>
      <c r="Q151" s="266"/>
      <c r="R151" s="266"/>
      <c r="S151" s="266"/>
      <c r="T151" s="384"/>
      <c r="U151" s="266"/>
    </row>
    <row r="152" spans="1:21">
      <c r="A152" s="266"/>
      <c r="B152" s="63"/>
      <c r="C152" s="266"/>
      <c r="D152" s="266"/>
      <c r="E152" s="266"/>
      <c r="F152" s="266"/>
      <c r="G152" s="63"/>
      <c r="H152" s="63"/>
      <c r="I152" s="63"/>
      <c r="J152" s="266"/>
      <c r="K152" s="266"/>
      <c r="L152" s="266"/>
      <c r="M152" s="266"/>
      <c r="N152" s="266"/>
      <c r="O152" s="266"/>
      <c r="P152" s="266"/>
      <c r="Q152" s="266"/>
      <c r="R152" s="266"/>
      <c r="S152" s="266"/>
      <c r="T152" s="384"/>
      <c r="U152" s="266"/>
    </row>
    <row r="153" spans="1:21">
      <c r="A153" s="266"/>
      <c r="B153" s="63"/>
      <c r="C153" s="266"/>
      <c r="D153" s="266"/>
      <c r="E153" s="266"/>
      <c r="F153" s="266"/>
      <c r="G153" s="63"/>
      <c r="H153" s="63"/>
      <c r="I153" s="63"/>
      <c r="J153" s="266"/>
      <c r="K153" s="266"/>
      <c r="L153" s="266"/>
      <c r="M153" s="266"/>
      <c r="N153" s="266"/>
      <c r="O153" s="266"/>
      <c r="P153" s="266"/>
      <c r="Q153" s="266"/>
      <c r="R153" s="266"/>
      <c r="S153" s="266"/>
      <c r="T153" s="384"/>
      <c r="U153" s="266"/>
    </row>
    <row r="154" spans="1:21">
      <c r="A154" s="266"/>
      <c r="B154" s="63"/>
      <c r="C154" s="266"/>
      <c r="D154" s="266"/>
      <c r="E154" s="266"/>
      <c r="F154" s="266"/>
      <c r="G154" s="63"/>
      <c r="H154" s="63"/>
      <c r="I154" s="63"/>
      <c r="J154" s="266"/>
      <c r="K154" s="266"/>
      <c r="L154" s="266"/>
      <c r="M154" s="266"/>
      <c r="N154" s="266"/>
      <c r="O154" s="266"/>
      <c r="P154" s="266"/>
      <c r="Q154" s="266"/>
      <c r="R154" s="266"/>
      <c r="S154" s="266"/>
      <c r="T154" s="384"/>
      <c r="U154" s="266"/>
    </row>
    <row r="155" spans="1:21">
      <c r="A155" s="266"/>
      <c r="B155" s="63"/>
      <c r="C155" s="266"/>
      <c r="D155" s="266"/>
      <c r="E155" s="266"/>
      <c r="F155" s="266"/>
      <c r="G155" s="63"/>
      <c r="H155" s="63"/>
      <c r="I155" s="63"/>
      <c r="J155" s="266"/>
      <c r="K155" s="266"/>
      <c r="L155" s="266"/>
      <c r="M155" s="266"/>
      <c r="N155" s="266"/>
      <c r="O155" s="266"/>
      <c r="P155" s="266"/>
      <c r="Q155" s="266"/>
      <c r="R155" s="266"/>
      <c r="S155" s="266"/>
      <c r="T155" s="384"/>
      <c r="U155" s="266"/>
    </row>
    <row r="156" spans="1:21">
      <c r="A156" s="266"/>
      <c r="B156" s="63"/>
      <c r="C156" s="266"/>
      <c r="D156" s="266"/>
      <c r="E156" s="266"/>
      <c r="F156" s="266"/>
      <c r="G156" s="63"/>
      <c r="H156" s="63"/>
      <c r="I156" s="63"/>
      <c r="J156" s="266"/>
      <c r="K156" s="266"/>
      <c r="L156" s="266"/>
      <c r="M156" s="266"/>
      <c r="N156" s="266"/>
      <c r="O156" s="266"/>
      <c r="P156" s="266"/>
      <c r="Q156" s="266"/>
      <c r="R156" s="266"/>
      <c r="S156" s="266"/>
      <c r="T156" s="384"/>
      <c r="U156" s="266"/>
    </row>
    <row r="157" spans="1:21">
      <c r="A157" s="266"/>
      <c r="B157" s="63"/>
      <c r="C157" s="266"/>
      <c r="D157" s="266"/>
      <c r="E157" s="266"/>
      <c r="F157" s="266"/>
      <c r="G157" s="63"/>
      <c r="H157" s="63"/>
      <c r="I157" s="63"/>
      <c r="J157" s="266"/>
      <c r="K157" s="266"/>
      <c r="L157" s="266"/>
      <c r="M157" s="266"/>
      <c r="N157" s="266"/>
      <c r="O157" s="266"/>
      <c r="P157" s="266"/>
      <c r="Q157" s="266"/>
      <c r="R157" s="266"/>
      <c r="S157" s="266"/>
      <c r="T157" s="384"/>
      <c r="U157" s="266"/>
    </row>
    <row r="158" spans="1:21">
      <c r="A158" s="266"/>
      <c r="B158" s="63"/>
      <c r="C158" s="266"/>
      <c r="D158" s="266"/>
      <c r="E158" s="266"/>
      <c r="F158" s="266"/>
      <c r="G158" s="63"/>
      <c r="H158" s="63"/>
      <c r="I158" s="63"/>
      <c r="J158" s="266"/>
      <c r="K158" s="266"/>
      <c r="L158" s="266"/>
      <c r="M158" s="266"/>
      <c r="N158" s="266"/>
      <c r="O158" s="266"/>
      <c r="P158" s="266"/>
      <c r="Q158" s="266"/>
      <c r="R158" s="266"/>
      <c r="S158" s="266"/>
      <c r="T158" s="384"/>
      <c r="U158" s="266"/>
    </row>
    <row r="159" spans="1:21">
      <c r="A159" s="266"/>
      <c r="B159" s="63"/>
      <c r="C159" s="266"/>
      <c r="D159" s="266"/>
      <c r="E159" s="266"/>
      <c r="F159" s="266"/>
      <c r="G159" s="63"/>
      <c r="H159" s="63"/>
      <c r="I159" s="63"/>
      <c r="J159" s="266"/>
      <c r="K159" s="266"/>
      <c r="L159" s="266"/>
      <c r="M159" s="266"/>
      <c r="N159" s="266"/>
      <c r="O159" s="266"/>
      <c r="P159" s="266"/>
      <c r="Q159" s="266"/>
      <c r="R159" s="266"/>
      <c r="S159" s="266"/>
      <c r="T159" s="384"/>
      <c r="U159" s="266"/>
    </row>
    <row r="160" spans="1:21">
      <c r="A160" s="266"/>
      <c r="B160" s="63"/>
      <c r="C160" s="266"/>
      <c r="D160" s="266"/>
      <c r="E160" s="266"/>
      <c r="F160" s="266"/>
      <c r="G160" s="63"/>
      <c r="H160" s="63"/>
      <c r="I160" s="63"/>
      <c r="J160" s="266"/>
      <c r="K160" s="266"/>
      <c r="L160" s="266"/>
      <c r="M160" s="266"/>
      <c r="N160" s="266"/>
      <c r="O160" s="266"/>
      <c r="P160" s="266"/>
      <c r="Q160" s="266"/>
      <c r="R160" s="266"/>
      <c r="S160" s="266"/>
      <c r="T160" s="384"/>
      <c r="U160" s="266"/>
    </row>
    <row r="161" spans="1:21">
      <c r="A161" s="266"/>
      <c r="B161" s="63"/>
      <c r="C161" s="266"/>
      <c r="D161" s="266"/>
      <c r="E161" s="266"/>
      <c r="F161" s="266"/>
      <c r="G161" s="63"/>
      <c r="H161" s="63"/>
      <c r="I161" s="63"/>
      <c r="J161" s="266"/>
      <c r="K161" s="266"/>
      <c r="L161" s="266"/>
      <c r="M161" s="266"/>
      <c r="N161" s="266"/>
      <c r="O161" s="266"/>
      <c r="P161" s="266"/>
      <c r="Q161" s="266"/>
      <c r="R161" s="266"/>
      <c r="S161" s="266"/>
      <c r="T161" s="384"/>
      <c r="U161" s="266"/>
    </row>
    <row r="162" spans="1:21">
      <c r="A162" s="266"/>
      <c r="B162" s="63"/>
      <c r="C162" s="266"/>
      <c r="D162" s="266"/>
      <c r="E162" s="266"/>
      <c r="F162" s="266"/>
      <c r="G162" s="63"/>
      <c r="H162" s="63"/>
      <c r="I162" s="63"/>
      <c r="J162" s="266"/>
      <c r="K162" s="266"/>
      <c r="L162" s="266"/>
      <c r="M162" s="266"/>
      <c r="N162" s="266"/>
      <c r="O162" s="266"/>
      <c r="P162" s="266"/>
      <c r="Q162" s="266"/>
      <c r="R162" s="266"/>
      <c r="S162" s="266"/>
      <c r="T162" s="384"/>
      <c r="U162" s="266"/>
    </row>
    <row r="163" spans="1:21">
      <c r="A163" s="266"/>
      <c r="B163" s="63"/>
      <c r="C163" s="266"/>
      <c r="D163" s="266"/>
      <c r="E163" s="266"/>
      <c r="F163" s="266"/>
      <c r="G163" s="63"/>
      <c r="H163" s="63"/>
      <c r="I163" s="63"/>
      <c r="J163" s="266"/>
      <c r="K163" s="266"/>
      <c r="L163" s="266"/>
      <c r="M163" s="266"/>
      <c r="N163" s="266"/>
      <c r="O163" s="266"/>
      <c r="P163" s="266"/>
      <c r="Q163" s="266"/>
      <c r="R163" s="266"/>
      <c r="S163" s="266"/>
      <c r="T163" s="384"/>
      <c r="U163" s="266"/>
    </row>
    <row r="164" spans="1:21">
      <c r="A164" s="266"/>
      <c r="B164" s="63"/>
      <c r="C164" s="266"/>
      <c r="D164" s="266"/>
      <c r="E164" s="266"/>
      <c r="F164" s="266"/>
      <c r="G164" s="63"/>
      <c r="H164" s="63"/>
      <c r="I164" s="63"/>
      <c r="J164" s="266"/>
      <c r="K164" s="266"/>
      <c r="L164" s="266"/>
      <c r="M164" s="266"/>
      <c r="N164" s="266"/>
      <c r="O164" s="266"/>
      <c r="P164" s="266"/>
      <c r="Q164" s="266"/>
      <c r="R164" s="266"/>
      <c r="S164" s="266"/>
      <c r="T164" s="384"/>
      <c r="U164" s="266"/>
    </row>
    <row r="165" spans="1:21">
      <c r="A165" s="266"/>
      <c r="B165" s="63"/>
      <c r="C165" s="266"/>
      <c r="D165" s="266"/>
      <c r="E165" s="266"/>
      <c r="F165" s="266"/>
      <c r="G165" s="63"/>
      <c r="H165" s="63"/>
      <c r="I165" s="63"/>
      <c r="J165" s="266"/>
      <c r="K165" s="266"/>
      <c r="L165" s="266"/>
      <c r="M165" s="266"/>
      <c r="N165" s="266"/>
      <c r="O165" s="266"/>
      <c r="P165" s="266"/>
      <c r="Q165" s="266"/>
      <c r="R165" s="266"/>
      <c r="S165" s="266"/>
      <c r="T165" s="384"/>
      <c r="U165" s="266"/>
    </row>
    <row r="166" spans="1:21">
      <c r="A166" s="266"/>
      <c r="B166" s="63"/>
      <c r="C166" s="266"/>
      <c r="D166" s="266"/>
      <c r="E166" s="266"/>
      <c r="F166" s="266"/>
      <c r="G166" s="63"/>
      <c r="H166" s="63"/>
      <c r="I166" s="63"/>
      <c r="J166" s="266"/>
      <c r="K166" s="266"/>
      <c r="L166" s="266"/>
      <c r="M166" s="266"/>
      <c r="N166" s="266"/>
      <c r="O166" s="266"/>
      <c r="P166" s="266"/>
      <c r="Q166" s="266"/>
      <c r="R166" s="266"/>
      <c r="S166" s="266"/>
      <c r="T166" s="384"/>
      <c r="U166" s="266"/>
    </row>
    <row r="167" spans="1:21">
      <c r="A167" s="266"/>
      <c r="B167" s="63"/>
      <c r="C167" s="266"/>
      <c r="D167" s="266"/>
      <c r="E167" s="266"/>
      <c r="F167" s="266"/>
      <c r="G167" s="63"/>
      <c r="H167" s="63"/>
      <c r="I167" s="63"/>
      <c r="J167" s="266"/>
      <c r="K167" s="266"/>
      <c r="L167" s="266"/>
      <c r="M167" s="266"/>
      <c r="N167" s="266"/>
      <c r="O167" s="266"/>
      <c r="P167" s="266"/>
      <c r="Q167" s="266"/>
      <c r="R167" s="266"/>
      <c r="S167" s="266"/>
      <c r="T167" s="384"/>
      <c r="U167" s="266"/>
    </row>
    <row r="168" spans="1:21">
      <c r="A168" s="266"/>
      <c r="B168" s="63"/>
      <c r="C168" s="266"/>
      <c r="D168" s="266"/>
      <c r="E168" s="266"/>
      <c r="F168" s="266"/>
      <c r="G168" s="63"/>
      <c r="H168" s="63"/>
      <c r="I168" s="63"/>
      <c r="J168" s="266"/>
      <c r="K168" s="266"/>
      <c r="L168" s="266"/>
      <c r="M168" s="266"/>
      <c r="N168" s="266"/>
      <c r="O168" s="266"/>
      <c r="P168" s="266"/>
      <c r="Q168" s="266"/>
      <c r="R168" s="266"/>
      <c r="S168" s="266"/>
      <c r="T168" s="384"/>
      <c r="U168" s="266"/>
    </row>
    <row r="169" spans="1:21">
      <c r="A169" s="266"/>
      <c r="B169" s="63"/>
      <c r="C169" s="266"/>
      <c r="D169" s="266"/>
      <c r="E169" s="266"/>
      <c r="F169" s="266"/>
      <c r="G169" s="63"/>
      <c r="H169" s="63"/>
      <c r="I169" s="63"/>
      <c r="J169" s="266"/>
      <c r="K169" s="266"/>
      <c r="L169" s="266"/>
      <c r="M169" s="266"/>
      <c r="N169" s="266"/>
      <c r="O169" s="266"/>
      <c r="P169" s="266"/>
      <c r="Q169" s="266"/>
      <c r="R169" s="266"/>
      <c r="S169" s="266"/>
      <c r="T169" s="384"/>
      <c r="U169" s="266"/>
    </row>
    <row r="170" spans="1:21">
      <c r="A170" s="266"/>
      <c r="B170" s="63"/>
      <c r="C170" s="266"/>
      <c r="D170" s="266"/>
      <c r="E170" s="266"/>
      <c r="F170" s="266"/>
      <c r="G170" s="63"/>
      <c r="H170" s="63"/>
      <c r="I170" s="63"/>
      <c r="J170" s="266"/>
      <c r="K170" s="266"/>
      <c r="L170" s="266"/>
      <c r="M170" s="266"/>
      <c r="N170" s="266"/>
      <c r="O170" s="266"/>
      <c r="P170" s="266"/>
      <c r="Q170" s="266"/>
      <c r="R170" s="266"/>
      <c r="S170" s="266"/>
      <c r="T170" s="384"/>
      <c r="U170" s="266"/>
    </row>
    <row r="171" spans="1:21">
      <c r="A171" s="266"/>
      <c r="B171" s="63"/>
      <c r="C171" s="266"/>
      <c r="D171" s="266"/>
      <c r="E171" s="266"/>
      <c r="F171" s="266"/>
      <c r="G171" s="63"/>
      <c r="H171" s="63"/>
      <c r="I171" s="63"/>
      <c r="J171" s="266"/>
      <c r="K171" s="266"/>
      <c r="L171" s="266"/>
      <c r="M171" s="266"/>
      <c r="N171" s="266"/>
      <c r="O171" s="266"/>
      <c r="P171" s="266"/>
      <c r="Q171" s="266"/>
      <c r="R171" s="266"/>
      <c r="S171" s="266"/>
      <c r="T171" s="384"/>
      <c r="U171" s="266"/>
    </row>
    <row r="172" spans="1:21">
      <c r="A172" s="266"/>
      <c r="B172" s="63"/>
      <c r="C172" s="266"/>
      <c r="D172" s="266"/>
      <c r="E172" s="266"/>
      <c r="F172" s="266"/>
      <c r="G172" s="63"/>
      <c r="H172" s="63"/>
      <c r="I172" s="63"/>
      <c r="J172" s="266"/>
      <c r="K172" s="266"/>
      <c r="L172" s="266"/>
      <c r="M172" s="266"/>
      <c r="N172" s="266"/>
      <c r="O172" s="266"/>
      <c r="P172" s="266"/>
      <c r="Q172" s="266"/>
      <c r="R172" s="266"/>
      <c r="S172" s="266"/>
      <c r="T172" s="384"/>
      <c r="U172" s="266"/>
    </row>
    <row r="173" spans="1:21">
      <c r="A173" s="266"/>
      <c r="B173" s="63"/>
      <c r="C173" s="266"/>
      <c r="D173" s="266"/>
      <c r="E173" s="266"/>
      <c r="F173" s="266"/>
      <c r="G173" s="63"/>
      <c r="H173" s="63"/>
      <c r="I173" s="63"/>
      <c r="J173" s="266"/>
      <c r="K173" s="266"/>
      <c r="L173" s="266"/>
      <c r="M173" s="266"/>
      <c r="N173" s="266"/>
      <c r="O173" s="266"/>
      <c r="P173" s="266"/>
      <c r="Q173" s="266"/>
      <c r="R173" s="266"/>
      <c r="S173" s="266"/>
      <c r="T173" s="384"/>
      <c r="U173" s="266"/>
    </row>
    <row r="174" spans="1:21">
      <c r="A174" s="266"/>
      <c r="B174" s="63"/>
      <c r="C174" s="266"/>
      <c r="D174" s="266"/>
      <c r="E174" s="266"/>
      <c r="F174" s="266"/>
      <c r="G174" s="63"/>
      <c r="H174" s="63"/>
      <c r="I174" s="63"/>
      <c r="J174" s="266"/>
      <c r="K174" s="266"/>
      <c r="L174" s="266"/>
      <c r="M174" s="266"/>
      <c r="N174" s="266"/>
      <c r="O174" s="266"/>
      <c r="P174" s="266"/>
      <c r="Q174" s="266"/>
      <c r="R174" s="266"/>
      <c r="S174" s="266"/>
      <c r="T174" s="384"/>
      <c r="U174" s="266"/>
    </row>
    <row r="175" spans="1:21">
      <c r="A175" s="266"/>
      <c r="B175" s="63"/>
      <c r="C175" s="266"/>
      <c r="D175" s="266"/>
      <c r="E175" s="266"/>
      <c r="F175" s="266"/>
      <c r="G175" s="63"/>
      <c r="H175" s="63"/>
      <c r="I175" s="63"/>
      <c r="J175" s="266"/>
      <c r="K175" s="266"/>
      <c r="L175" s="266"/>
      <c r="M175" s="266"/>
      <c r="N175" s="266"/>
      <c r="O175" s="266"/>
      <c r="P175" s="266"/>
      <c r="Q175" s="266"/>
      <c r="R175" s="266"/>
      <c r="S175" s="266"/>
      <c r="T175" s="384"/>
      <c r="U175" s="266"/>
    </row>
    <row r="176" spans="1:21">
      <c r="A176" s="266"/>
      <c r="B176" s="63"/>
      <c r="C176" s="266"/>
      <c r="D176" s="266"/>
      <c r="E176" s="266"/>
      <c r="F176" s="266"/>
      <c r="G176" s="63"/>
      <c r="H176" s="63"/>
      <c r="I176" s="63"/>
      <c r="J176" s="266"/>
      <c r="K176" s="266"/>
      <c r="L176" s="266"/>
      <c r="M176" s="266"/>
      <c r="N176" s="266"/>
      <c r="O176" s="266"/>
      <c r="P176" s="266"/>
      <c r="Q176" s="266"/>
      <c r="R176" s="266"/>
      <c r="S176" s="266"/>
      <c r="T176" s="384"/>
      <c r="U176" s="266"/>
    </row>
    <row r="177" spans="1:21">
      <c r="A177" s="266"/>
      <c r="B177" s="63"/>
      <c r="C177" s="266"/>
      <c r="D177" s="266"/>
      <c r="E177" s="266"/>
      <c r="F177" s="266"/>
      <c r="G177" s="63"/>
      <c r="H177" s="63"/>
      <c r="I177" s="63"/>
      <c r="J177" s="266"/>
      <c r="K177" s="266"/>
      <c r="L177" s="266"/>
      <c r="M177" s="266"/>
      <c r="N177" s="266"/>
      <c r="O177" s="266"/>
      <c r="P177" s="266"/>
      <c r="Q177" s="266"/>
      <c r="R177" s="266"/>
      <c r="S177" s="266"/>
      <c r="T177" s="384"/>
      <c r="U177" s="266"/>
    </row>
    <row r="178" spans="1:21">
      <c r="A178" s="266"/>
      <c r="B178" s="63"/>
      <c r="C178" s="266"/>
      <c r="D178" s="266"/>
      <c r="E178" s="266"/>
      <c r="F178" s="266"/>
      <c r="G178" s="63"/>
      <c r="H178" s="63"/>
      <c r="I178" s="63"/>
      <c r="J178" s="266"/>
      <c r="K178" s="266"/>
      <c r="L178" s="266"/>
      <c r="M178" s="266"/>
      <c r="N178" s="266"/>
      <c r="O178" s="266"/>
      <c r="P178" s="266"/>
      <c r="Q178" s="266"/>
      <c r="R178" s="266"/>
      <c r="S178" s="266"/>
      <c r="T178" s="384"/>
      <c r="U178" s="266"/>
    </row>
    <row r="179" spans="1:21">
      <c r="A179" s="266"/>
      <c r="B179" s="63"/>
      <c r="C179" s="266"/>
      <c r="D179" s="266"/>
      <c r="E179" s="266"/>
      <c r="F179" s="266"/>
      <c r="G179" s="63"/>
      <c r="H179" s="63"/>
      <c r="I179" s="63"/>
      <c r="J179" s="266"/>
      <c r="K179" s="266"/>
      <c r="L179" s="266"/>
      <c r="M179" s="266"/>
      <c r="N179" s="266"/>
      <c r="O179" s="266"/>
      <c r="P179" s="266"/>
      <c r="Q179" s="266"/>
      <c r="R179" s="266"/>
      <c r="S179" s="266"/>
      <c r="T179" s="384"/>
      <c r="U179" s="266"/>
    </row>
  </sheetData>
  <dataConsolidate/>
  <mergeCells count="26">
    <mergeCell ref="A45:A48"/>
    <mergeCell ref="A49:A50"/>
    <mergeCell ref="A51:A52"/>
    <mergeCell ref="A53:A54"/>
    <mergeCell ref="A55:A56"/>
    <mergeCell ref="A4:A5"/>
    <mergeCell ref="A6:A8"/>
    <mergeCell ref="V7:W7"/>
    <mergeCell ref="X42:AC42"/>
    <mergeCell ref="A9:A13"/>
    <mergeCell ref="V9:W13"/>
    <mergeCell ref="A15:A20"/>
    <mergeCell ref="A21:A24"/>
    <mergeCell ref="A26:A27"/>
    <mergeCell ref="V26:V27"/>
    <mergeCell ref="W26:W27"/>
    <mergeCell ref="A28:A32"/>
    <mergeCell ref="A33:A35"/>
    <mergeCell ref="A36:A37"/>
    <mergeCell ref="A39:A40"/>
    <mergeCell ref="A41:A43"/>
    <mergeCell ref="AF55:AK55"/>
    <mergeCell ref="X62:AC62"/>
    <mergeCell ref="C1:K1"/>
    <mergeCell ref="M1:U1"/>
    <mergeCell ref="V3:W3"/>
  </mergeCells>
  <conditionalFormatting sqref="T3:T56">
    <cfRule type="cellIs" dxfId="34" priority="9" operator="lessThan">
      <formula>0</formula>
    </cfRule>
  </conditionalFormatting>
  <conditionalFormatting sqref="U3:U56">
    <cfRule type="containsText" dxfId="33" priority="8" operator="containsText" text="Yes">
      <formula>NOT(ISERROR(SEARCH("Yes",U3)))</formula>
    </cfRule>
  </conditionalFormatting>
  <conditionalFormatting sqref="S3:S56">
    <cfRule type="expression" dxfId="32" priority="7">
      <formula>(S3&lt;O3)</formula>
    </cfRule>
  </conditionalFormatting>
  <conditionalFormatting sqref="Y44:AD55">
    <cfRule type="cellIs" dxfId="31" priority="6" operator="greaterThan">
      <formula>0</formula>
    </cfRule>
  </conditionalFormatting>
  <conditionalFormatting sqref="AH72:AL72">
    <cfRule type="cellIs" dxfId="30" priority="5" operator="greaterThan">
      <formula>0</formula>
    </cfRule>
  </conditionalFormatting>
  <conditionalFormatting sqref="AG57:AL68">
    <cfRule type="cellIs" dxfId="29" priority="4" operator="greaterThan">
      <formula>0</formula>
    </cfRule>
  </conditionalFormatting>
  <conditionalFormatting sqref="AD64:AD75">
    <cfRule type="cellIs" dxfId="28" priority="3" operator="greaterThan">
      <formula>0</formula>
    </cfRule>
  </conditionalFormatting>
  <conditionalFormatting sqref="Z64:AC75">
    <cfRule type="cellIs" dxfId="27" priority="2" operator="greaterThan">
      <formula>0</formula>
    </cfRule>
  </conditionalFormatting>
  <conditionalFormatting sqref="Y64:Y75">
    <cfRule type="cellIs" dxfId="26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zoomScale="90" zoomScaleNormal="90" workbookViewId="0">
      <selection activeCell="L31" sqref="L31"/>
    </sheetView>
  </sheetViews>
  <sheetFormatPr defaultRowHeight="15"/>
  <cols>
    <col min="1" max="1" width="16.7109375" customWidth="1"/>
    <col min="2" max="2" width="40.140625" style="435" customWidth="1"/>
    <col min="3" max="3" width="51.140625" style="435" customWidth="1"/>
    <col min="4" max="4" width="34.42578125" style="435" customWidth="1"/>
    <col min="7" max="7" width="19.5703125" customWidth="1"/>
    <col min="8" max="8" width="21.42578125" customWidth="1"/>
    <col min="9" max="9" width="19.28515625" customWidth="1"/>
  </cols>
  <sheetData>
    <row r="1" spans="1:18">
      <c r="A1" s="649" t="s">
        <v>601</v>
      </c>
      <c r="B1" s="650"/>
      <c r="C1" s="650"/>
      <c r="D1" s="651"/>
    </row>
    <row r="2" spans="1:18" ht="15.75" thickBot="1">
      <c r="A2" s="652"/>
      <c r="B2" s="653"/>
      <c r="C2" s="653"/>
      <c r="D2" s="654"/>
    </row>
    <row r="3" spans="1:18" ht="30">
      <c r="A3" s="497" t="s">
        <v>388</v>
      </c>
      <c r="B3" s="498" t="s">
        <v>558</v>
      </c>
      <c r="C3" s="497" t="s">
        <v>560</v>
      </c>
      <c r="D3" s="499" t="s">
        <v>559</v>
      </c>
      <c r="G3" s="655" t="s">
        <v>601</v>
      </c>
      <c r="H3" s="656"/>
      <c r="I3" s="657"/>
      <c r="L3" s="658" t="s">
        <v>565</v>
      </c>
      <c r="M3" s="659"/>
      <c r="N3" s="659"/>
      <c r="O3" s="659"/>
      <c r="P3" s="659"/>
      <c r="Q3" s="659"/>
      <c r="R3" s="660"/>
    </row>
    <row r="4" spans="1:18">
      <c r="A4" s="500" t="s">
        <v>0</v>
      </c>
      <c r="B4" s="501">
        <v>1678.9411875000001</v>
      </c>
      <c r="C4" s="502">
        <f t="shared" ref="C4" si="0">D4-B4</f>
        <v>0</v>
      </c>
      <c r="D4" s="501">
        <v>1678.9411875000001</v>
      </c>
      <c r="G4" s="256" t="s">
        <v>388</v>
      </c>
      <c r="H4" s="483" t="s">
        <v>387</v>
      </c>
      <c r="I4" s="257" t="s">
        <v>386</v>
      </c>
      <c r="L4" s="331" t="s">
        <v>491</v>
      </c>
      <c r="M4" s="333" t="s">
        <v>493</v>
      </c>
      <c r="N4" s="333" t="s">
        <v>494</v>
      </c>
      <c r="O4" s="333" t="s">
        <v>495</v>
      </c>
      <c r="P4" s="333" t="s">
        <v>496</v>
      </c>
      <c r="Q4" s="334" t="s">
        <v>562</v>
      </c>
      <c r="R4" s="290" t="s">
        <v>415</v>
      </c>
    </row>
    <row r="5" spans="1:18">
      <c r="A5" s="500" t="s">
        <v>2</v>
      </c>
      <c r="B5" s="501">
        <v>340.03374999999988</v>
      </c>
      <c r="C5" s="502">
        <f t="shared" ref="C5:C34" si="1">D5-B5</f>
        <v>0</v>
      </c>
      <c r="D5" s="501">
        <v>340.03374999999988</v>
      </c>
      <c r="G5" s="126"/>
      <c r="H5" s="125"/>
      <c r="I5" s="97">
        <f>(H5/200)*100</f>
        <v>0</v>
      </c>
      <c r="L5" s="59" t="s">
        <v>84</v>
      </c>
      <c r="M5" s="335">
        <v>0</v>
      </c>
      <c r="N5" s="335">
        <v>0</v>
      </c>
      <c r="O5" s="336">
        <v>0</v>
      </c>
      <c r="P5" s="336">
        <v>0</v>
      </c>
      <c r="Q5" s="337">
        <v>0</v>
      </c>
      <c r="R5" s="338">
        <f>SUM(M5:Q5)</f>
        <v>0</v>
      </c>
    </row>
    <row r="6" spans="1:18">
      <c r="A6" s="500" t="s">
        <v>3</v>
      </c>
      <c r="B6" s="501">
        <v>172.17</v>
      </c>
      <c r="C6" s="502">
        <f t="shared" si="1"/>
        <v>0</v>
      </c>
      <c r="D6" s="501">
        <v>172.17</v>
      </c>
      <c r="G6" s="126"/>
      <c r="H6" s="125"/>
      <c r="I6" s="209">
        <f>(H6/150)*100</f>
        <v>0</v>
      </c>
      <c r="L6" s="59" t="s">
        <v>85</v>
      </c>
      <c r="M6" s="335">
        <v>0</v>
      </c>
      <c r="N6" s="335">
        <v>0</v>
      </c>
      <c r="O6" s="335">
        <v>0</v>
      </c>
      <c r="P6" s="335">
        <v>0</v>
      </c>
      <c r="Q6" s="337">
        <v>0</v>
      </c>
      <c r="R6" s="59">
        <f t="shared" ref="R6:R16" si="2">SUM(M6:Q6)</f>
        <v>0</v>
      </c>
    </row>
    <row r="7" spans="1:18" ht="15.75" thickBot="1">
      <c r="A7" s="500" t="s">
        <v>4</v>
      </c>
      <c r="B7" s="501">
        <v>431.62875000000003</v>
      </c>
      <c r="C7" s="502">
        <f t="shared" si="1"/>
        <v>0</v>
      </c>
      <c r="D7" s="501">
        <v>431.62875000000003</v>
      </c>
      <c r="G7" s="471"/>
      <c r="H7" s="472"/>
      <c r="I7" s="86"/>
      <c r="L7" s="59" t="s">
        <v>86</v>
      </c>
      <c r="M7" s="335">
        <v>0</v>
      </c>
      <c r="N7" s="335">
        <v>0</v>
      </c>
      <c r="O7" s="335">
        <v>0</v>
      </c>
      <c r="P7" s="335">
        <v>0</v>
      </c>
      <c r="Q7" s="337">
        <v>0</v>
      </c>
      <c r="R7" s="59">
        <f t="shared" si="2"/>
        <v>0</v>
      </c>
    </row>
    <row r="8" spans="1:18">
      <c r="A8" s="500" t="s">
        <v>5</v>
      </c>
      <c r="B8" s="501">
        <v>929.40300000000002</v>
      </c>
      <c r="C8" s="502">
        <f t="shared" si="1"/>
        <v>0</v>
      </c>
      <c r="D8" s="501">
        <v>929.40300000000002</v>
      </c>
      <c r="G8" s="153" t="s">
        <v>369</v>
      </c>
      <c r="H8" s="227">
        <f>SUM(H5:H7)</f>
        <v>0</v>
      </c>
      <c r="I8" s="266"/>
      <c r="L8" s="59" t="s">
        <v>87</v>
      </c>
      <c r="M8" s="335">
        <v>0</v>
      </c>
      <c r="N8" s="335">
        <v>0</v>
      </c>
      <c r="O8" s="335">
        <v>0</v>
      </c>
      <c r="P8" s="335">
        <v>0</v>
      </c>
      <c r="Q8" s="337">
        <v>0</v>
      </c>
      <c r="R8" s="59">
        <f t="shared" si="2"/>
        <v>0</v>
      </c>
    </row>
    <row r="9" spans="1:18">
      <c r="A9" s="500" t="s">
        <v>6</v>
      </c>
      <c r="B9" s="501">
        <v>1239.58</v>
      </c>
      <c r="C9" s="502">
        <f t="shared" si="1"/>
        <v>0</v>
      </c>
      <c r="D9" s="501">
        <v>1239.58</v>
      </c>
      <c r="G9" s="226" t="s">
        <v>365</v>
      </c>
      <c r="H9" s="225">
        <f>H8/9100.11497</f>
        <v>0</v>
      </c>
      <c r="I9" s="266"/>
      <c r="L9" s="59" t="s">
        <v>88</v>
      </c>
      <c r="M9" s="335">
        <v>0</v>
      </c>
      <c r="N9" s="335">
        <v>0</v>
      </c>
      <c r="O9" s="335">
        <v>0</v>
      </c>
      <c r="P9" s="335">
        <v>0</v>
      </c>
      <c r="Q9" s="337">
        <v>0</v>
      </c>
      <c r="R9" s="59">
        <f t="shared" si="2"/>
        <v>0</v>
      </c>
    </row>
    <row r="10" spans="1:18">
      <c r="A10" s="500" t="s">
        <v>7</v>
      </c>
      <c r="B10" s="501">
        <v>713.19666666666672</v>
      </c>
      <c r="C10" s="502">
        <f t="shared" si="1"/>
        <v>0</v>
      </c>
      <c r="D10" s="501">
        <v>713.19666666666672</v>
      </c>
      <c r="L10" s="59" t="s">
        <v>89</v>
      </c>
      <c r="M10" s="335">
        <v>0</v>
      </c>
      <c r="N10" s="335">
        <v>0</v>
      </c>
      <c r="O10" s="335">
        <v>0</v>
      </c>
      <c r="P10" s="335">
        <v>0</v>
      </c>
      <c r="Q10" s="337">
        <v>0</v>
      </c>
      <c r="R10" s="59">
        <f t="shared" si="2"/>
        <v>0</v>
      </c>
    </row>
    <row r="11" spans="1:18">
      <c r="A11" s="500" t="s">
        <v>8</v>
      </c>
      <c r="B11" s="501">
        <v>791.59464285714296</v>
      </c>
      <c r="C11" s="502">
        <f t="shared" si="1"/>
        <v>0</v>
      </c>
      <c r="D11" s="501">
        <v>791.59464285714296</v>
      </c>
      <c r="L11" s="59" t="s">
        <v>90</v>
      </c>
      <c r="M11" s="335">
        <v>0</v>
      </c>
      <c r="N11" s="335">
        <v>0</v>
      </c>
      <c r="O11" s="335">
        <v>0</v>
      </c>
      <c r="P11" s="335">
        <v>0</v>
      </c>
      <c r="Q11" s="337">
        <v>0</v>
      </c>
      <c r="R11" s="59">
        <f t="shared" si="2"/>
        <v>0</v>
      </c>
    </row>
    <row r="12" spans="1:18">
      <c r="A12" s="500" t="s">
        <v>9</v>
      </c>
      <c r="B12" s="501">
        <v>678.47964285714295</v>
      </c>
      <c r="C12" s="502">
        <f t="shared" si="1"/>
        <v>0</v>
      </c>
      <c r="D12" s="501">
        <v>678.47964285714295</v>
      </c>
      <c r="L12" s="59" t="s">
        <v>91</v>
      </c>
      <c r="M12" s="335">
        <v>0</v>
      </c>
      <c r="N12" s="335">
        <v>0</v>
      </c>
      <c r="O12" s="337">
        <v>0</v>
      </c>
      <c r="P12" s="337">
        <v>0</v>
      </c>
      <c r="Q12" s="337">
        <v>0</v>
      </c>
      <c r="R12" s="59">
        <f t="shared" si="2"/>
        <v>0</v>
      </c>
    </row>
    <row r="13" spans="1:18">
      <c r="A13" s="500" t="s">
        <v>10</v>
      </c>
      <c r="B13" s="501">
        <v>609.52</v>
      </c>
      <c r="C13" s="502">
        <f t="shared" si="1"/>
        <v>0</v>
      </c>
      <c r="D13" s="501">
        <v>609.52</v>
      </c>
      <c r="L13" s="59" t="s">
        <v>92</v>
      </c>
      <c r="M13" s="337">
        <v>0</v>
      </c>
      <c r="N13" s="337">
        <v>0</v>
      </c>
      <c r="O13" s="337">
        <v>0</v>
      </c>
      <c r="P13" s="337">
        <v>0</v>
      </c>
      <c r="Q13" s="337">
        <v>0</v>
      </c>
      <c r="R13" s="59">
        <f t="shared" si="2"/>
        <v>0</v>
      </c>
    </row>
    <row r="14" spans="1:18">
      <c r="A14" s="500" t="s">
        <v>11</v>
      </c>
      <c r="B14" s="501">
        <v>565.09875000000011</v>
      </c>
      <c r="C14" s="502">
        <f t="shared" si="1"/>
        <v>0</v>
      </c>
      <c r="D14" s="501">
        <v>565.09875000000011</v>
      </c>
      <c r="L14" s="59" t="s">
        <v>93</v>
      </c>
      <c r="M14" s="337">
        <v>0</v>
      </c>
      <c r="N14" s="335">
        <v>0</v>
      </c>
      <c r="O14" s="337">
        <v>0</v>
      </c>
      <c r="P14" s="337">
        <v>0</v>
      </c>
      <c r="Q14" s="337">
        <v>0</v>
      </c>
      <c r="R14" s="59">
        <f t="shared" si="2"/>
        <v>0</v>
      </c>
    </row>
    <row r="15" spans="1:18">
      <c r="A15" s="500" t="s">
        <v>12</v>
      </c>
      <c r="B15" s="501">
        <v>955.13333333333321</v>
      </c>
      <c r="C15" s="502">
        <f t="shared" si="1"/>
        <v>0</v>
      </c>
      <c r="D15" s="501">
        <v>955.13333333333321</v>
      </c>
      <c r="L15" s="59" t="s">
        <v>94</v>
      </c>
      <c r="M15" s="337">
        <v>0</v>
      </c>
      <c r="N15" s="335">
        <v>0</v>
      </c>
      <c r="O15" s="337">
        <v>0</v>
      </c>
      <c r="P15" s="337">
        <v>0</v>
      </c>
      <c r="Q15" s="337">
        <v>0</v>
      </c>
      <c r="R15" s="59">
        <f t="shared" si="2"/>
        <v>0</v>
      </c>
    </row>
    <row r="16" spans="1:18">
      <c r="A16" s="500" t="s">
        <v>13</v>
      </c>
      <c r="B16" s="501">
        <v>81.216250000000002</v>
      </c>
      <c r="C16" s="502">
        <f t="shared" si="1"/>
        <v>0</v>
      </c>
      <c r="D16" s="501">
        <v>81.216250000000002</v>
      </c>
      <c r="L16" s="343" t="s">
        <v>492</v>
      </c>
      <c r="M16" s="344">
        <v>0</v>
      </c>
      <c r="N16" s="344">
        <v>0</v>
      </c>
      <c r="O16" s="344">
        <v>0</v>
      </c>
      <c r="P16" s="344">
        <v>0</v>
      </c>
      <c r="Q16" s="344">
        <v>0</v>
      </c>
      <c r="R16" s="343">
        <f t="shared" si="2"/>
        <v>0</v>
      </c>
    </row>
    <row r="17" spans="1:18">
      <c r="A17" s="500" t="s">
        <v>14</v>
      </c>
      <c r="B17" s="501">
        <v>2073.85</v>
      </c>
      <c r="C17" s="502">
        <f t="shared" si="1"/>
        <v>0</v>
      </c>
      <c r="D17" s="501">
        <v>2073.85</v>
      </c>
      <c r="L17" s="290" t="s">
        <v>501</v>
      </c>
      <c r="M17" s="345">
        <f t="shared" ref="M17:R17" si="3">SUM(M5:M16)</f>
        <v>0</v>
      </c>
      <c r="N17" s="345">
        <f t="shared" si="3"/>
        <v>0</v>
      </c>
      <c r="O17" s="345">
        <f t="shared" si="3"/>
        <v>0</v>
      </c>
      <c r="P17" s="345">
        <f t="shared" si="3"/>
        <v>0</v>
      </c>
      <c r="Q17" s="345">
        <f t="shared" si="3"/>
        <v>0</v>
      </c>
      <c r="R17" s="346">
        <f t="shared" si="3"/>
        <v>0</v>
      </c>
    </row>
    <row r="18" spans="1:18">
      <c r="A18" s="500" t="s">
        <v>15</v>
      </c>
      <c r="B18" s="501">
        <v>1057.3528571428569</v>
      </c>
      <c r="C18" s="502">
        <f t="shared" si="1"/>
        <v>0</v>
      </c>
      <c r="D18" s="501">
        <v>1057.3528571428569</v>
      </c>
      <c r="L18" s="290" t="s">
        <v>500</v>
      </c>
      <c r="M18" s="347">
        <f>PRODUCT(M17*V20)</f>
        <v>0</v>
      </c>
      <c r="N18" s="347">
        <f>PRODUCT(N17*V21)</f>
        <v>0</v>
      </c>
      <c r="O18" s="347">
        <f>PRODUCT(O17*V22)</f>
        <v>0</v>
      </c>
      <c r="P18" s="347">
        <f>PRODUCT(P17*V23)</f>
        <v>0</v>
      </c>
      <c r="Q18" s="347">
        <f>PRODUCT(Q17*V24)</f>
        <v>0</v>
      </c>
      <c r="R18" s="290">
        <f>SUM(M18:Q18)</f>
        <v>0</v>
      </c>
    </row>
    <row r="19" spans="1:18">
      <c r="A19" s="500" t="s">
        <v>16</v>
      </c>
      <c r="B19" s="501">
        <v>1019.95</v>
      </c>
      <c r="C19" s="502">
        <f t="shared" si="1"/>
        <v>0</v>
      </c>
      <c r="D19" s="501">
        <v>1019.95</v>
      </c>
      <c r="L19" s="290" t="s">
        <v>563</v>
      </c>
      <c r="M19" s="347">
        <f>M17*U20</f>
        <v>0</v>
      </c>
      <c r="N19" s="347">
        <f>N17*U21</f>
        <v>0</v>
      </c>
      <c r="O19" s="347">
        <f>O17*U22</f>
        <v>0</v>
      </c>
      <c r="P19" s="347">
        <f>P17*U23</f>
        <v>0</v>
      </c>
      <c r="Q19" s="347">
        <f>Q17*U24</f>
        <v>0</v>
      </c>
      <c r="R19" s="290">
        <f>SUM(M19:Q19)</f>
        <v>0</v>
      </c>
    </row>
    <row r="20" spans="1:18">
      <c r="A20" s="500" t="s">
        <v>17</v>
      </c>
      <c r="B20" s="501">
        <v>1215.15625</v>
      </c>
      <c r="C20" s="502">
        <f t="shared" si="1"/>
        <v>0</v>
      </c>
      <c r="D20" s="501">
        <v>1215.15625</v>
      </c>
    </row>
    <row r="21" spans="1:18">
      <c r="A21" s="500" t="s">
        <v>18</v>
      </c>
      <c r="B21" s="501">
        <v>3045.1482142857139</v>
      </c>
      <c r="C21" s="502">
        <f t="shared" si="1"/>
        <v>0</v>
      </c>
      <c r="D21" s="501">
        <v>3045.1482142857139</v>
      </c>
      <c r="L21" s="5"/>
      <c r="M21" s="5"/>
      <c r="N21" s="5"/>
      <c r="O21" s="5"/>
      <c r="P21" s="5"/>
      <c r="Q21" s="5"/>
      <c r="R21" s="5"/>
    </row>
    <row r="22" spans="1:18">
      <c r="A22" s="500" t="s">
        <v>19</v>
      </c>
      <c r="B22" s="501">
        <v>2887.5083333333341</v>
      </c>
      <c r="C22" s="502">
        <f t="shared" si="1"/>
        <v>0</v>
      </c>
      <c r="D22" s="501">
        <v>2887.5083333333341</v>
      </c>
      <c r="L22" s="5"/>
      <c r="M22" s="5"/>
      <c r="N22" s="5"/>
      <c r="O22" s="5"/>
      <c r="P22" s="5"/>
      <c r="Q22" s="5"/>
      <c r="R22" s="5"/>
    </row>
    <row r="23" spans="1:18">
      <c r="A23" s="500" t="s">
        <v>20</v>
      </c>
      <c r="B23" s="501">
        <v>3449.5166666666669</v>
      </c>
      <c r="C23" s="502">
        <f t="shared" si="1"/>
        <v>0</v>
      </c>
      <c r="D23" s="501">
        <v>3449.5166666666669</v>
      </c>
      <c r="L23" s="5"/>
      <c r="M23" s="5"/>
      <c r="N23" s="5"/>
      <c r="O23" s="5"/>
      <c r="P23" s="5"/>
      <c r="Q23" s="5"/>
      <c r="R23" s="5"/>
    </row>
    <row r="24" spans="1:18">
      <c r="A24" s="500" t="s">
        <v>21</v>
      </c>
      <c r="B24" s="501">
        <v>675.51999999999987</v>
      </c>
      <c r="C24" s="502">
        <f t="shared" si="1"/>
        <v>0</v>
      </c>
      <c r="D24" s="501">
        <v>675.51999999999987</v>
      </c>
      <c r="L24" s="5"/>
      <c r="M24" s="5"/>
      <c r="N24" s="5"/>
      <c r="O24" s="5"/>
      <c r="P24" s="5"/>
      <c r="Q24" s="5"/>
      <c r="R24" s="5"/>
    </row>
    <row r="25" spans="1:18">
      <c r="A25" s="500" t="s">
        <v>22</v>
      </c>
      <c r="B25" s="501">
        <v>299.67083333333329</v>
      </c>
      <c r="C25" s="502">
        <f t="shared" si="1"/>
        <v>0</v>
      </c>
      <c r="D25" s="501">
        <v>299.67083333333329</v>
      </c>
      <c r="L25" s="5"/>
      <c r="M25" s="5"/>
      <c r="N25" s="5"/>
      <c r="O25" s="5"/>
      <c r="P25" s="5"/>
      <c r="Q25" s="5"/>
      <c r="R25" s="5"/>
    </row>
    <row r="26" spans="1:18">
      <c r="A26" s="500" t="s">
        <v>23</v>
      </c>
      <c r="B26" s="501">
        <v>82.012857142857158</v>
      </c>
      <c r="C26" s="502">
        <f t="shared" si="1"/>
        <v>0</v>
      </c>
      <c r="D26" s="501">
        <v>82.012857142857158</v>
      </c>
      <c r="L26" s="5"/>
      <c r="M26" s="5"/>
      <c r="N26" s="5"/>
      <c r="O26" s="5"/>
      <c r="P26" s="5"/>
      <c r="Q26" s="5"/>
      <c r="R26" s="5"/>
    </row>
    <row r="27" spans="1:18">
      <c r="A27" s="500" t="s">
        <v>24</v>
      </c>
      <c r="B27" s="501">
        <v>248.64833333333331</v>
      </c>
      <c r="C27" s="502">
        <f t="shared" si="1"/>
        <v>0</v>
      </c>
      <c r="D27" s="501">
        <v>248.64833333333331</v>
      </c>
      <c r="L27" s="5"/>
      <c r="M27" s="5"/>
      <c r="N27" s="5"/>
      <c r="O27" s="5"/>
      <c r="P27" s="5"/>
      <c r="Q27" s="5"/>
      <c r="R27" s="5"/>
    </row>
    <row r="28" spans="1:18">
      <c r="A28" s="500" t="s">
        <v>25</v>
      </c>
      <c r="B28" s="501">
        <v>339.6</v>
      </c>
      <c r="C28" s="502">
        <f t="shared" si="1"/>
        <v>0</v>
      </c>
      <c r="D28" s="501">
        <v>339.6</v>
      </c>
      <c r="L28" s="5"/>
      <c r="M28" s="5"/>
      <c r="N28" s="5"/>
      <c r="O28" s="5"/>
      <c r="P28" s="5"/>
      <c r="Q28" s="5"/>
      <c r="R28" s="5"/>
    </row>
    <row r="29" spans="1:18">
      <c r="A29" s="500" t="s">
        <v>26</v>
      </c>
      <c r="B29" s="501">
        <v>468.49708333333319</v>
      </c>
      <c r="C29" s="502">
        <f t="shared" si="1"/>
        <v>0</v>
      </c>
      <c r="D29" s="501">
        <v>468.49708333333319</v>
      </c>
      <c r="L29" s="5"/>
      <c r="M29" s="5"/>
      <c r="N29" s="5"/>
      <c r="O29" s="5"/>
      <c r="P29" s="5"/>
      <c r="Q29" s="5"/>
      <c r="R29" s="5"/>
    </row>
    <row r="30" spans="1:18">
      <c r="A30" s="500" t="s">
        <v>27</v>
      </c>
      <c r="B30" s="501">
        <v>506.23500000000013</v>
      </c>
      <c r="C30" s="502">
        <f t="shared" si="1"/>
        <v>0</v>
      </c>
      <c r="D30" s="501">
        <v>506.23500000000013</v>
      </c>
      <c r="L30" s="5"/>
      <c r="M30" s="5"/>
      <c r="N30" s="5"/>
      <c r="O30" s="5"/>
      <c r="P30" s="5"/>
      <c r="Q30" s="5"/>
      <c r="R30" s="5"/>
    </row>
    <row r="31" spans="1:18">
      <c r="A31" s="500" t="s">
        <v>28</v>
      </c>
      <c r="B31" s="501">
        <v>419.1450000000001</v>
      </c>
      <c r="C31" s="502">
        <f t="shared" si="1"/>
        <v>0</v>
      </c>
      <c r="D31" s="501">
        <v>419.1450000000001</v>
      </c>
      <c r="L31" s="5"/>
      <c r="M31" s="5"/>
      <c r="N31" s="5"/>
      <c r="O31" s="5"/>
      <c r="P31" s="5"/>
      <c r="Q31" s="5"/>
      <c r="R31" s="5"/>
    </row>
    <row r="32" spans="1:18">
      <c r="A32" s="500" t="s">
        <v>29</v>
      </c>
      <c r="B32" s="501">
        <v>193.28750000000011</v>
      </c>
      <c r="C32" s="502">
        <f t="shared" si="1"/>
        <v>0</v>
      </c>
      <c r="D32" s="501">
        <v>193.28750000000011</v>
      </c>
    </row>
    <row r="33" spans="1:4">
      <c r="A33" s="500" t="s">
        <v>30</v>
      </c>
      <c r="B33" s="501">
        <v>285.495</v>
      </c>
      <c r="C33" s="502">
        <f t="shared" si="1"/>
        <v>0</v>
      </c>
      <c r="D33" s="501">
        <v>285.495</v>
      </c>
    </row>
    <row r="34" spans="1:4" ht="15.75" thickBot="1">
      <c r="A34" s="503" t="s">
        <v>31</v>
      </c>
      <c r="B34" s="504">
        <v>81.099999999999994</v>
      </c>
      <c r="C34" s="505">
        <f t="shared" si="1"/>
        <v>0</v>
      </c>
      <c r="D34" s="504">
        <v>81.099999999999994</v>
      </c>
    </row>
    <row r="35" spans="1:4" ht="15.75" thickBot="1">
      <c r="A35" s="506" t="s">
        <v>602</v>
      </c>
      <c r="B35" s="507">
        <f>SUM(B4:B34)</f>
        <v>27533.68990178571</v>
      </c>
      <c r="C35" s="507">
        <f>SUBTOTAL(109,C4:C34)</f>
        <v>0</v>
      </c>
      <c r="D35" s="508">
        <f>SUM(D4:D34)</f>
        <v>27533.68990178571</v>
      </c>
    </row>
  </sheetData>
  <mergeCells count="3">
    <mergeCell ref="A1:D2"/>
    <mergeCell ref="G3:I3"/>
    <mergeCell ref="L3:R3"/>
  </mergeCells>
  <conditionalFormatting sqref="M5:R16">
    <cfRule type="cellIs" dxfId="25" priority="1" operator="greaterThan">
      <formula>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opLeftCell="F1" zoomScaleNormal="100" workbookViewId="0">
      <selection activeCell="R20" sqref="R20"/>
    </sheetView>
  </sheetViews>
  <sheetFormatPr defaultRowHeight="15"/>
  <cols>
    <col min="1" max="1" width="16.7109375" customWidth="1"/>
    <col min="2" max="2" width="40.140625" style="435" customWidth="1"/>
    <col min="3" max="3" width="51.140625" style="435" customWidth="1"/>
    <col min="4" max="4" width="34.42578125" style="435" customWidth="1"/>
    <col min="6" max="6" width="15.7109375" customWidth="1"/>
    <col min="7" max="8" width="21.42578125" customWidth="1"/>
    <col min="9" max="9" width="18.140625" customWidth="1"/>
    <col min="10" max="10" width="22.140625" customWidth="1"/>
    <col min="11" max="11" width="24.140625" customWidth="1"/>
    <col min="14" max="14" width="19.140625" style="5" customWidth="1"/>
    <col min="15" max="15" width="10.42578125" style="5" customWidth="1"/>
    <col min="16" max="17" width="8.7109375" style="5"/>
    <col min="18" max="18" width="13.5703125" style="5" customWidth="1"/>
    <col min="19" max="19" width="12.5703125" style="5" customWidth="1"/>
    <col min="20" max="20" width="16.5703125" style="5" customWidth="1"/>
  </cols>
  <sheetData>
    <row r="1" spans="1:20">
      <c r="A1" s="649" t="s">
        <v>567</v>
      </c>
      <c r="B1" s="650"/>
      <c r="C1" s="650"/>
      <c r="D1" s="651"/>
      <c r="K1" s="5"/>
      <c r="L1" s="5"/>
      <c r="M1" s="5"/>
      <c r="R1"/>
      <c r="S1"/>
      <c r="T1"/>
    </row>
    <row r="2" spans="1:20" ht="15.75" thickBot="1">
      <c r="A2" s="661"/>
      <c r="B2" s="662"/>
      <c r="C2" s="662"/>
      <c r="D2" s="663"/>
      <c r="K2" s="5"/>
      <c r="L2" s="5"/>
      <c r="M2" s="5"/>
      <c r="R2"/>
      <c r="S2"/>
      <c r="T2"/>
    </row>
    <row r="3" spans="1:20" ht="30.75" thickBot="1">
      <c r="A3" s="510" t="s">
        <v>388</v>
      </c>
      <c r="B3" s="511" t="s">
        <v>558</v>
      </c>
      <c r="C3" s="512" t="s">
        <v>560</v>
      </c>
      <c r="D3" s="513" t="s">
        <v>559</v>
      </c>
      <c r="F3" s="655" t="s">
        <v>561</v>
      </c>
      <c r="G3" s="656"/>
      <c r="H3" s="657"/>
      <c r="J3" s="664" t="s">
        <v>603</v>
      </c>
      <c r="K3" s="665"/>
      <c r="L3" s="665"/>
      <c r="M3" s="665"/>
      <c r="N3" s="665"/>
      <c r="O3" s="665"/>
      <c r="P3" s="666"/>
      <c r="R3" s="185" t="s">
        <v>498</v>
      </c>
      <c r="S3" s="185" t="s">
        <v>499</v>
      </c>
      <c r="T3" s="185" t="s">
        <v>500</v>
      </c>
    </row>
    <row r="4" spans="1:20">
      <c r="A4" s="514" t="s">
        <v>0</v>
      </c>
      <c r="B4" s="509">
        <v>1800</v>
      </c>
      <c r="C4" s="515">
        <f t="shared" ref="C4:C34" si="0">D4-B4</f>
        <v>0</v>
      </c>
      <c r="D4" s="509">
        <v>1800</v>
      </c>
      <c r="F4" s="667"/>
      <c r="G4" s="668"/>
      <c r="H4" s="669"/>
      <c r="J4" s="516" t="s">
        <v>491</v>
      </c>
      <c r="K4" s="333" t="s">
        <v>493</v>
      </c>
      <c r="L4" s="333" t="s">
        <v>494</v>
      </c>
      <c r="M4" s="333" t="s">
        <v>495</v>
      </c>
      <c r="N4" s="333" t="s">
        <v>496</v>
      </c>
      <c r="O4" s="334" t="s">
        <v>562</v>
      </c>
      <c r="P4" s="517" t="s">
        <v>415</v>
      </c>
      <c r="R4" s="518" t="s">
        <v>493</v>
      </c>
      <c r="S4" s="518">
        <v>100</v>
      </c>
      <c r="T4" s="519">
        <v>15</v>
      </c>
    </row>
    <row r="5" spans="1:20">
      <c r="A5" s="520" t="s">
        <v>2</v>
      </c>
      <c r="B5" s="509">
        <v>400</v>
      </c>
      <c r="C5" s="515">
        <f t="shared" si="0"/>
        <v>0</v>
      </c>
      <c r="D5" s="509">
        <v>400</v>
      </c>
      <c r="F5" s="131" t="s">
        <v>388</v>
      </c>
      <c r="G5" s="130" t="s">
        <v>387</v>
      </c>
      <c r="H5" s="129" t="s">
        <v>386</v>
      </c>
      <c r="J5" s="521" t="s">
        <v>84</v>
      </c>
      <c r="K5" s="335">
        <f>1</f>
        <v>1</v>
      </c>
      <c r="L5" s="335">
        <v>0</v>
      </c>
      <c r="M5" s="336">
        <f>1</f>
        <v>1</v>
      </c>
      <c r="N5" s="336">
        <v>0</v>
      </c>
      <c r="O5" s="337">
        <f>6+1+1</f>
        <v>8</v>
      </c>
      <c r="P5" s="522">
        <f>SUM(K5:O5)</f>
        <v>10</v>
      </c>
      <c r="R5" s="523" t="s">
        <v>494</v>
      </c>
      <c r="S5" s="523">
        <v>150</v>
      </c>
      <c r="T5" s="524">
        <v>16.3689</v>
      </c>
    </row>
    <row r="6" spans="1:20">
      <c r="A6" s="520" t="s">
        <v>3</v>
      </c>
      <c r="B6" s="509">
        <v>200</v>
      </c>
      <c r="C6" s="515">
        <f t="shared" si="0"/>
        <v>0</v>
      </c>
      <c r="D6" s="509">
        <v>200</v>
      </c>
      <c r="F6" s="126"/>
      <c r="G6" s="125"/>
      <c r="H6" s="97">
        <f>(G6/200)*100</f>
        <v>0</v>
      </c>
      <c r="J6" s="521" t="s">
        <v>85</v>
      </c>
      <c r="K6" s="335">
        <f>1+1</f>
        <v>2</v>
      </c>
      <c r="L6" s="335">
        <v>0</v>
      </c>
      <c r="M6" s="335">
        <v>0</v>
      </c>
      <c r="N6" s="335">
        <f>1</f>
        <v>1</v>
      </c>
      <c r="O6" s="337">
        <f>3+5+2+3+2+1+3</f>
        <v>19</v>
      </c>
      <c r="P6" s="95">
        <f t="shared" ref="P6:P16" si="1">SUM(K6:O6)</f>
        <v>22</v>
      </c>
      <c r="R6" s="523" t="s">
        <v>495</v>
      </c>
      <c r="S6" s="523">
        <v>200</v>
      </c>
      <c r="T6" s="524">
        <v>16.746700000000001</v>
      </c>
    </row>
    <row r="7" spans="1:20">
      <c r="A7" s="520" t="s">
        <v>4</v>
      </c>
      <c r="B7" s="509">
        <v>300</v>
      </c>
      <c r="C7" s="515">
        <f t="shared" si="0"/>
        <v>0</v>
      </c>
      <c r="D7" s="509">
        <v>300</v>
      </c>
      <c r="F7" s="126"/>
      <c r="G7" s="125"/>
      <c r="H7" s="209">
        <f>(G7/150)*100</f>
        <v>0</v>
      </c>
      <c r="J7" s="521" t="s">
        <v>86</v>
      </c>
      <c r="K7" s="335">
        <f>1+1</f>
        <v>2</v>
      </c>
      <c r="L7" s="335">
        <v>0</v>
      </c>
      <c r="M7" s="335">
        <v>0</v>
      </c>
      <c r="N7" s="335">
        <v>0</v>
      </c>
      <c r="O7" s="335">
        <f>3+3</f>
        <v>6</v>
      </c>
      <c r="P7" s="95">
        <f t="shared" si="1"/>
        <v>8</v>
      </c>
      <c r="R7" s="523" t="s">
        <v>496</v>
      </c>
      <c r="S7" s="523">
        <v>250</v>
      </c>
      <c r="T7" s="524">
        <v>16.886600000000001</v>
      </c>
    </row>
    <row r="8" spans="1:20" ht="15.75" thickBot="1">
      <c r="A8" s="520" t="s">
        <v>5</v>
      </c>
      <c r="B8" s="509">
        <v>1000</v>
      </c>
      <c r="C8" s="515">
        <f t="shared" si="0"/>
        <v>0</v>
      </c>
      <c r="D8" s="509">
        <v>1000</v>
      </c>
      <c r="F8" s="471"/>
      <c r="G8" s="472"/>
      <c r="H8" s="86"/>
      <c r="J8" s="521" t="s">
        <v>87</v>
      </c>
      <c r="K8" s="335">
        <f>1+1</f>
        <v>2</v>
      </c>
      <c r="L8" s="335">
        <v>0</v>
      </c>
      <c r="M8" s="335">
        <f>1</f>
        <v>1</v>
      </c>
      <c r="N8" s="335">
        <f>1+1</f>
        <v>2</v>
      </c>
      <c r="O8" s="337">
        <f>6+5+3+7+3+3+3+10+11+12+2</f>
        <v>65</v>
      </c>
      <c r="P8" s="95">
        <f t="shared" si="1"/>
        <v>70</v>
      </c>
      <c r="R8" s="523" t="s">
        <v>562</v>
      </c>
      <c r="S8" s="523">
        <v>300</v>
      </c>
      <c r="T8" s="524">
        <v>17</v>
      </c>
    </row>
    <row r="9" spans="1:20">
      <c r="A9" s="520" t="s">
        <v>6</v>
      </c>
      <c r="B9" s="509">
        <v>1500</v>
      </c>
      <c r="C9" s="515">
        <f t="shared" si="0"/>
        <v>0</v>
      </c>
      <c r="D9" s="509">
        <v>1500</v>
      </c>
      <c r="F9" s="153" t="s">
        <v>369</v>
      </c>
      <c r="G9" s="227">
        <f>SUM(G6:G8)</f>
        <v>0</v>
      </c>
      <c r="H9" s="266"/>
      <c r="J9" s="521" t="s">
        <v>88</v>
      </c>
      <c r="K9" s="335">
        <f>1+1+1</f>
        <v>3</v>
      </c>
      <c r="L9" s="335">
        <f>1</f>
        <v>1</v>
      </c>
      <c r="M9" s="335">
        <v>0</v>
      </c>
      <c r="N9" s="335">
        <f>1</f>
        <v>1</v>
      </c>
      <c r="O9" s="335">
        <f>1+2+7+1</f>
        <v>11</v>
      </c>
      <c r="P9" s="95">
        <f t="shared" si="1"/>
        <v>16</v>
      </c>
      <c r="R9"/>
    </row>
    <row r="10" spans="1:20">
      <c r="A10" s="520" t="s">
        <v>7</v>
      </c>
      <c r="B10" s="509">
        <v>850</v>
      </c>
      <c r="C10" s="515">
        <f t="shared" si="0"/>
        <v>0</v>
      </c>
      <c r="D10" s="509">
        <v>850</v>
      </c>
      <c r="F10" s="226" t="s">
        <v>365</v>
      </c>
      <c r="G10" s="225">
        <f>G9/9100.11497</f>
        <v>0</v>
      </c>
      <c r="H10" s="266"/>
      <c r="J10" s="521" t="s">
        <v>89</v>
      </c>
      <c r="K10" s="335">
        <f>1</f>
        <v>1</v>
      </c>
      <c r="L10" s="335">
        <v>0</v>
      </c>
      <c r="M10" s="335">
        <f>1</f>
        <v>1</v>
      </c>
      <c r="N10" s="335">
        <v>0</v>
      </c>
      <c r="O10" s="335">
        <f>3+3+1+1</f>
        <v>8</v>
      </c>
      <c r="P10" s="95">
        <f t="shared" si="1"/>
        <v>10</v>
      </c>
      <c r="R10"/>
    </row>
    <row r="11" spans="1:20">
      <c r="A11" s="520" t="s">
        <v>8</v>
      </c>
      <c r="B11" s="509">
        <v>900</v>
      </c>
      <c r="C11" s="515">
        <f t="shared" si="0"/>
        <v>0</v>
      </c>
      <c r="D11" s="509">
        <v>900</v>
      </c>
      <c r="J11" s="521" t="s">
        <v>90</v>
      </c>
      <c r="K11" s="335">
        <f>1+1</f>
        <v>2</v>
      </c>
      <c r="L11" s="335">
        <v>0</v>
      </c>
      <c r="M11" s="335">
        <v>0</v>
      </c>
      <c r="N11" s="335">
        <f>1</f>
        <v>1</v>
      </c>
      <c r="O11" s="335">
        <f>2+3</f>
        <v>5</v>
      </c>
      <c r="P11" s="95">
        <f t="shared" si="1"/>
        <v>8</v>
      </c>
      <c r="R11"/>
      <c r="S11"/>
      <c r="T11"/>
    </row>
    <row r="12" spans="1:20">
      <c r="A12" s="520" t="s">
        <v>9</v>
      </c>
      <c r="B12" s="509">
        <v>700</v>
      </c>
      <c r="C12" s="515">
        <f t="shared" si="0"/>
        <v>0</v>
      </c>
      <c r="D12" s="509">
        <v>700</v>
      </c>
      <c r="J12" s="521" t="s">
        <v>91</v>
      </c>
      <c r="K12" s="335">
        <f>1+1</f>
        <v>2</v>
      </c>
      <c r="L12" s="335">
        <f>1</f>
        <v>1</v>
      </c>
      <c r="M12" s="335">
        <v>0</v>
      </c>
      <c r="N12" s="335">
        <f>1</f>
        <v>1</v>
      </c>
      <c r="O12" s="337">
        <f>1+1+3+1+1+1+1</f>
        <v>9</v>
      </c>
      <c r="P12" s="95">
        <f t="shared" si="1"/>
        <v>13</v>
      </c>
      <c r="R12"/>
      <c r="S12"/>
      <c r="T12"/>
    </row>
    <row r="13" spans="1:20">
      <c r="A13" s="520" t="s">
        <v>10</v>
      </c>
      <c r="B13" s="509">
        <v>300</v>
      </c>
      <c r="C13" s="515">
        <f t="shared" si="0"/>
        <v>0</v>
      </c>
      <c r="D13" s="509">
        <v>300</v>
      </c>
      <c r="J13" s="521" t="s">
        <v>92</v>
      </c>
      <c r="K13" s="335">
        <v>0</v>
      </c>
      <c r="L13" s="337">
        <v>0</v>
      </c>
      <c r="M13" s="335">
        <v>0</v>
      </c>
      <c r="N13" s="335">
        <v>0</v>
      </c>
      <c r="O13" s="337">
        <f>3+10+1+1</f>
        <v>15</v>
      </c>
      <c r="P13" s="95">
        <f t="shared" si="1"/>
        <v>15</v>
      </c>
      <c r="R13"/>
      <c r="S13"/>
      <c r="T13"/>
    </row>
    <row r="14" spans="1:20">
      <c r="A14" s="520" t="s">
        <v>11</v>
      </c>
      <c r="B14" s="509">
        <v>900</v>
      </c>
      <c r="C14" s="515">
        <f t="shared" si="0"/>
        <v>0</v>
      </c>
      <c r="D14" s="509">
        <v>900</v>
      </c>
      <c r="J14" s="521" t="s">
        <v>93</v>
      </c>
      <c r="K14" s="335">
        <f>1</f>
        <v>1</v>
      </c>
      <c r="L14" s="335">
        <v>0</v>
      </c>
      <c r="M14" s="335">
        <v>0</v>
      </c>
      <c r="N14" s="337">
        <v>0</v>
      </c>
      <c r="O14" s="337">
        <f>11+1</f>
        <v>12</v>
      </c>
      <c r="P14" s="95">
        <f t="shared" si="1"/>
        <v>13</v>
      </c>
      <c r="R14"/>
      <c r="S14"/>
      <c r="T14"/>
    </row>
    <row r="15" spans="1:20">
      <c r="A15" s="520" t="s">
        <v>12</v>
      </c>
      <c r="B15" s="509">
        <v>900</v>
      </c>
      <c r="C15" s="515">
        <f t="shared" si="0"/>
        <v>0</v>
      </c>
      <c r="D15" s="509">
        <v>900</v>
      </c>
      <c r="J15" s="521" t="s">
        <v>94</v>
      </c>
      <c r="K15" s="335">
        <f>1</f>
        <v>1</v>
      </c>
      <c r="L15" s="335">
        <v>0</v>
      </c>
      <c r="M15" s="337">
        <v>0</v>
      </c>
      <c r="N15" s="337">
        <v>0</v>
      </c>
      <c r="O15" s="337">
        <f>12+1+1</f>
        <v>14</v>
      </c>
      <c r="P15" s="95">
        <f t="shared" si="1"/>
        <v>15</v>
      </c>
      <c r="R15"/>
      <c r="S15"/>
      <c r="T15"/>
    </row>
    <row r="16" spans="1:20">
      <c r="A16" s="520" t="s">
        <v>13</v>
      </c>
      <c r="B16" s="509">
        <v>100</v>
      </c>
      <c r="C16" s="515">
        <f t="shared" si="0"/>
        <v>0</v>
      </c>
      <c r="D16" s="509">
        <v>100</v>
      </c>
      <c r="J16" s="525" t="s">
        <v>492</v>
      </c>
      <c r="K16" s="335">
        <f>1</f>
        <v>1</v>
      </c>
      <c r="L16" s="344">
        <v>0</v>
      </c>
      <c r="M16" s="344">
        <f>1</f>
        <v>1</v>
      </c>
      <c r="N16" s="344">
        <v>0</v>
      </c>
      <c r="O16" s="344">
        <f>2</f>
        <v>2</v>
      </c>
      <c r="P16" s="526">
        <f t="shared" si="1"/>
        <v>4</v>
      </c>
      <c r="R16"/>
      <c r="S16"/>
      <c r="T16"/>
    </row>
    <row r="17" spans="1:20">
      <c r="A17" s="520" t="s">
        <v>14</v>
      </c>
      <c r="B17" s="509">
        <v>2100</v>
      </c>
      <c r="C17" s="515">
        <f t="shared" si="0"/>
        <v>0</v>
      </c>
      <c r="D17" s="509">
        <v>2100</v>
      </c>
      <c r="J17" s="527" t="s">
        <v>501</v>
      </c>
      <c r="K17" s="345">
        <f t="shared" ref="K17:P17" si="2">SUM(K5:K16)</f>
        <v>18</v>
      </c>
      <c r="L17" s="345">
        <f t="shared" si="2"/>
        <v>2</v>
      </c>
      <c r="M17" s="345">
        <f t="shared" si="2"/>
        <v>4</v>
      </c>
      <c r="N17" s="345">
        <f t="shared" si="2"/>
        <v>6</v>
      </c>
      <c r="O17" s="345">
        <f t="shared" si="2"/>
        <v>174</v>
      </c>
      <c r="P17" s="528">
        <f t="shared" si="2"/>
        <v>204</v>
      </c>
      <c r="R17"/>
      <c r="S17"/>
      <c r="T17"/>
    </row>
    <row r="18" spans="1:20">
      <c r="A18" s="520" t="s">
        <v>15</v>
      </c>
      <c r="B18" s="509">
        <v>1000</v>
      </c>
      <c r="C18" s="515">
        <f t="shared" si="0"/>
        <v>0</v>
      </c>
      <c r="D18" s="509">
        <v>1000</v>
      </c>
      <c r="J18" s="527" t="s">
        <v>500</v>
      </c>
      <c r="K18" s="347">
        <f>PRODUCT(K17*T4)</f>
        <v>270</v>
      </c>
      <c r="L18" s="489">
        <f>PRODUCT(L17*T5)</f>
        <v>32.7378</v>
      </c>
      <c r="M18" s="489">
        <f>PRODUCT(M17*T6)</f>
        <v>66.986800000000002</v>
      </c>
      <c r="N18" s="489">
        <f>PRODUCT(N17*T7)</f>
        <v>101.31960000000001</v>
      </c>
      <c r="O18" s="489">
        <f>PRODUCT(O17*T8)</f>
        <v>2958</v>
      </c>
      <c r="P18" s="529">
        <f>SUM(K18:O18)</f>
        <v>3429.0442000000003</v>
      </c>
      <c r="R18"/>
      <c r="S18"/>
      <c r="T18"/>
    </row>
    <row r="19" spans="1:20" ht="15.75" thickBot="1">
      <c r="A19" s="520" t="s">
        <v>16</v>
      </c>
      <c r="B19" s="509">
        <v>1150</v>
      </c>
      <c r="C19" s="515">
        <f t="shared" si="0"/>
        <v>0</v>
      </c>
      <c r="D19" s="509">
        <v>1150</v>
      </c>
      <c r="J19" s="530" t="s">
        <v>563</v>
      </c>
      <c r="K19" s="531">
        <f>K17*S4</f>
        <v>1800</v>
      </c>
      <c r="L19" s="531">
        <f>L17*S5</f>
        <v>300</v>
      </c>
      <c r="M19" s="531">
        <f>M17*S6</f>
        <v>800</v>
      </c>
      <c r="N19" s="531">
        <f>N17*S7</f>
        <v>1500</v>
      </c>
      <c r="O19" s="531">
        <f>O17*S8</f>
        <v>52200</v>
      </c>
      <c r="P19" s="532">
        <f>SUM(K19:O19)</f>
        <v>56600</v>
      </c>
      <c r="R19"/>
      <c r="S19"/>
      <c r="T19"/>
    </row>
    <row r="20" spans="1:20">
      <c r="A20" s="520" t="s">
        <v>17</v>
      </c>
      <c r="B20" s="509">
        <v>1250</v>
      </c>
      <c r="C20" s="515">
        <f t="shared" si="0"/>
        <v>0</v>
      </c>
      <c r="D20" s="509">
        <v>1250</v>
      </c>
      <c r="K20" s="482"/>
      <c r="L20" s="337"/>
      <c r="M20" s="337"/>
      <c r="N20" s="337"/>
      <c r="O20" s="337"/>
      <c r="P20" s="337"/>
      <c r="Q20" s="468"/>
      <c r="R20"/>
      <c r="S20"/>
      <c r="T20"/>
    </row>
    <row r="21" spans="1:20">
      <c r="A21" s="520" t="s">
        <v>18</v>
      </c>
      <c r="B21" s="509">
        <v>3000</v>
      </c>
      <c r="C21" s="515">
        <f t="shared" si="0"/>
        <v>0</v>
      </c>
      <c r="D21" s="509">
        <v>3000</v>
      </c>
      <c r="K21" s="482"/>
      <c r="L21" s="486"/>
      <c r="M21" s="486"/>
      <c r="N21" s="486"/>
      <c r="O21" s="486"/>
      <c r="P21" s="486"/>
      <c r="Q21" s="482"/>
      <c r="R21"/>
      <c r="S21"/>
      <c r="T21"/>
    </row>
    <row r="22" spans="1:20">
      <c r="A22" s="520" t="s">
        <v>19</v>
      </c>
      <c r="B22" s="509">
        <v>3300</v>
      </c>
      <c r="C22" s="515">
        <f t="shared" si="0"/>
        <v>0</v>
      </c>
      <c r="D22" s="509">
        <v>3300</v>
      </c>
      <c r="K22" s="482"/>
      <c r="L22" s="486"/>
      <c r="M22" s="486"/>
      <c r="N22" s="486"/>
      <c r="O22" s="486"/>
      <c r="P22" s="486"/>
      <c r="Q22" s="482"/>
      <c r="R22"/>
      <c r="S22"/>
      <c r="T22"/>
    </row>
    <row r="23" spans="1:20">
      <c r="A23" s="520" t="s">
        <v>20</v>
      </c>
      <c r="B23" s="509">
        <v>3600</v>
      </c>
      <c r="C23" s="515">
        <f t="shared" si="0"/>
        <v>0</v>
      </c>
      <c r="D23" s="509">
        <v>3600</v>
      </c>
      <c r="K23" s="5"/>
      <c r="L23" s="5"/>
      <c r="M23" s="5"/>
      <c r="R23"/>
      <c r="S23"/>
      <c r="T23"/>
    </row>
    <row r="24" spans="1:20">
      <c r="A24" s="520" t="s">
        <v>21</v>
      </c>
      <c r="B24" s="509">
        <v>800</v>
      </c>
      <c r="C24" s="515">
        <f t="shared" si="0"/>
        <v>0</v>
      </c>
      <c r="D24" s="509">
        <v>800</v>
      </c>
      <c r="K24" s="5"/>
      <c r="L24" s="5"/>
      <c r="M24" s="5"/>
      <c r="R24"/>
      <c r="S24"/>
      <c r="T24"/>
    </row>
    <row r="25" spans="1:20">
      <c r="A25" s="520" t="s">
        <v>22</v>
      </c>
      <c r="B25" s="509">
        <v>300</v>
      </c>
      <c r="C25" s="515">
        <f t="shared" si="0"/>
        <v>0</v>
      </c>
      <c r="D25" s="509">
        <v>300</v>
      </c>
      <c r="K25" s="5"/>
      <c r="L25" s="5"/>
      <c r="M25" s="5"/>
      <c r="R25"/>
      <c r="S25"/>
      <c r="T25"/>
    </row>
    <row r="26" spans="1:20">
      <c r="A26" s="520" t="s">
        <v>23</v>
      </c>
      <c r="B26" s="509">
        <v>100</v>
      </c>
      <c r="C26" s="515">
        <f t="shared" si="0"/>
        <v>0</v>
      </c>
      <c r="D26" s="509">
        <v>100</v>
      </c>
      <c r="K26" s="266"/>
      <c r="L26" s="266"/>
      <c r="M26" s="266"/>
      <c r="N26" s="266"/>
      <c r="O26" s="266"/>
      <c r="P26" s="266"/>
      <c r="Q26" s="266"/>
      <c r="R26"/>
      <c r="S26"/>
      <c r="T26"/>
    </row>
    <row r="27" spans="1:20">
      <c r="A27" s="533" t="s">
        <v>24</v>
      </c>
      <c r="B27" s="509">
        <v>150</v>
      </c>
      <c r="C27" s="515">
        <f t="shared" si="0"/>
        <v>0</v>
      </c>
      <c r="D27" s="509">
        <v>150</v>
      </c>
      <c r="K27" s="534"/>
      <c r="L27" s="534"/>
      <c r="M27" s="534"/>
      <c r="N27" s="534"/>
      <c r="O27" s="534"/>
      <c r="P27" s="534"/>
      <c r="Q27" s="534"/>
      <c r="R27"/>
      <c r="S27"/>
      <c r="T27"/>
    </row>
    <row r="28" spans="1:20">
      <c r="A28" s="520" t="s">
        <v>25</v>
      </c>
      <c r="B28" s="509">
        <v>300</v>
      </c>
      <c r="C28" s="515">
        <f t="shared" si="0"/>
        <v>0</v>
      </c>
      <c r="D28" s="509">
        <v>300</v>
      </c>
      <c r="K28" s="260"/>
      <c r="L28" s="483"/>
      <c r="M28" s="483"/>
      <c r="N28" s="483"/>
      <c r="O28" s="483"/>
      <c r="P28" s="483"/>
      <c r="Q28" s="483"/>
      <c r="R28"/>
      <c r="S28"/>
      <c r="T28"/>
    </row>
    <row r="29" spans="1:20">
      <c r="A29" s="520" t="s">
        <v>26</v>
      </c>
      <c r="B29" s="509">
        <v>300</v>
      </c>
      <c r="C29" s="515">
        <f t="shared" si="0"/>
        <v>0</v>
      </c>
      <c r="D29" s="509">
        <v>300</v>
      </c>
      <c r="K29" s="466"/>
      <c r="L29" s="467"/>
      <c r="M29" s="467"/>
      <c r="N29" s="467"/>
      <c r="O29" s="482"/>
      <c r="P29" s="482"/>
      <c r="Q29" s="482"/>
      <c r="R29"/>
      <c r="S29"/>
      <c r="T29"/>
    </row>
    <row r="30" spans="1:20">
      <c r="A30" s="520" t="s">
        <v>27</v>
      </c>
      <c r="B30" s="509">
        <v>300</v>
      </c>
      <c r="C30" s="515">
        <f t="shared" si="0"/>
        <v>0</v>
      </c>
      <c r="D30" s="509">
        <v>300</v>
      </c>
      <c r="K30" s="486"/>
      <c r="L30" s="335"/>
      <c r="M30" s="335"/>
      <c r="N30" s="335"/>
      <c r="O30" s="335"/>
      <c r="P30" s="337"/>
      <c r="Q30" s="486"/>
      <c r="R30"/>
      <c r="S30"/>
      <c r="T30"/>
    </row>
    <row r="31" spans="1:20">
      <c r="A31" s="520" t="s">
        <v>28</v>
      </c>
      <c r="B31" s="509">
        <v>300</v>
      </c>
      <c r="C31" s="515">
        <f t="shared" si="0"/>
        <v>0</v>
      </c>
      <c r="D31" s="509">
        <v>300</v>
      </c>
      <c r="K31" s="486"/>
      <c r="L31" s="335"/>
      <c r="M31" s="335"/>
      <c r="N31" s="335"/>
      <c r="O31" s="335"/>
      <c r="P31" s="337"/>
      <c r="Q31" s="486"/>
      <c r="R31"/>
      <c r="S31"/>
      <c r="T31"/>
    </row>
    <row r="32" spans="1:20">
      <c r="A32" s="520" t="s">
        <v>29</v>
      </c>
      <c r="B32" s="509">
        <v>100</v>
      </c>
      <c r="C32" s="515">
        <f t="shared" si="0"/>
        <v>0</v>
      </c>
      <c r="D32" s="509">
        <v>100</v>
      </c>
      <c r="K32" s="486"/>
      <c r="L32" s="335"/>
      <c r="M32" s="335"/>
      <c r="N32" s="335"/>
      <c r="O32" s="335"/>
      <c r="P32" s="335"/>
      <c r="Q32" s="486"/>
      <c r="R32"/>
      <c r="S32"/>
      <c r="T32"/>
    </row>
    <row r="33" spans="1:20">
      <c r="A33" s="520" t="s">
        <v>30</v>
      </c>
      <c r="B33" s="509">
        <v>300</v>
      </c>
      <c r="C33" s="515">
        <f t="shared" si="0"/>
        <v>0</v>
      </c>
      <c r="D33" s="509">
        <v>300</v>
      </c>
      <c r="K33" s="486"/>
      <c r="L33" s="335"/>
      <c r="M33" s="335"/>
      <c r="N33" s="335"/>
      <c r="O33" s="335"/>
      <c r="P33" s="337"/>
      <c r="Q33" s="486"/>
      <c r="R33"/>
      <c r="S33"/>
      <c r="T33"/>
    </row>
    <row r="34" spans="1:20" ht="15.75" thickBot="1">
      <c r="A34" s="533" t="s">
        <v>31</v>
      </c>
      <c r="B34" s="535">
        <v>100</v>
      </c>
      <c r="C34" s="536">
        <f t="shared" si="0"/>
        <v>0</v>
      </c>
      <c r="D34" s="535">
        <v>100</v>
      </c>
      <c r="K34" s="486"/>
      <c r="L34" s="335"/>
      <c r="M34" s="335"/>
      <c r="N34" s="335"/>
      <c r="O34" s="335"/>
      <c r="P34" s="335"/>
      <c r="Q34" s="486"/>
      <c r="R34"/>
      <c r="S34"/>
      <c r="T34"/>
    </row>
    <row r="35" spans="1:20" ht="15.75" thickBot="1">
      <c r="A35" s="537" t="s">
        <v>602</v>
      </c>
      <c r="B35" s="538">
        <f>SUM(B4:B34)</f>
        <v>28300</v>
      </c>
      <c r="C35" s="538">
        <f>SUM(C4:C34)</f>
        <v>0</v>
      </c>
      <c r="D35" s="539">
        <f>SUM(D4:D34)</f>
        <v>28300</v>
      </c>
      <c r="E35" s="435"/>
      <c r="K35" s="486"/>
      <c r="L35" s="335"/>
      <c r="M35" s="335"/>
      <c r="N35" s="335"/>
      <c r="O35" s="335"/>
      <c r="P35" s="335"/>
      <c r="Q35" s="486"/>
    </row>
    <row r="36" spans="1:20">
      <c r="B36"/>
      <c r="E36" s="435"/>
      <c r="K36" s="486"/>
      <c r="L36" s="335"/>
      <c r="M36" s="335"/>
      <c r="N36" s="335"/>
      <c r="O36" s="335"/>
      <c r="P36" s="335"/>
      <c r="Q36" s="486"/>
    </row>
  </sheetData>
  <mergeCells count="3">
    <mergeCell ref="A1:D2"/>
    <mergeCell ref="J3:P3"/>
    <mergeCell ref="F3:H4"/>
  </mergeCells>
  <conditionalFormatting sqref="P5:P16">
    <cfRule type="cellIs" dxfId="18" priority="9" operator="greaterThan">
      <formula>0</formula>
    </cfRule>
  </conditionalFormatting>
  <conditionalFormatting sqref="L30:Q36">
    <cfRule type="cellIs" dxfId="17" priority="10" operator="greaterThan">
      <formula>0</formula>
    </cfRule>
  </conditionalFormatting>
  <conditionalFormatting sqref="K5:O5 K10:O16 L6:O9">
    <cfRule type="cellIs" dxfId="16" priority="4" operator="greaterThan">
      <formula>0</formula>
    </cfRule>
  </conditionalFormatting>
  <conditionalFormatting sqref="K6:K7">
    <cfRule type="cellIs" dxfId="15" priority="3" operator="greaterThan">
      <formula>0</formula>
    </cfRule>
  </conditionalFormatting>
  <conditionalFormatting sqref="K9">
    <cfRule type="cellIs" dxfId="14" priority="2" operator="greaterThan">
      <formula>0</formula>
    </cfRule>
  </conditionalFormatting>
  <conditionalFormatting sqref="K8">
    <cfRule type="cellIs" dxfId="13" priority="1" operator="greaterThan">
      <formula>0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zoomScale="80" zoomScaleNormal="80" workbookViewId="0">
      <selection activeCell="G49" sqref="G49"/>
    </sheetView>
  </sheetViews>
  <sheetFormatPr defaultRowHeight="15"/>
  <cols>
    <col min="1" max="1" width="16.7109375" customWidth="1"/>
    <col min="2" max="2" width="40.140625" style="478" customWidth="1"/>
    <col min="3" max="3" width="51.140625" style="435" customWidth="1"/>
    <col min="4" max="4" width="34.42578125" style="477" customWidth="1"/>
    <col min="6" max="6" width="12" customWidth="1"/>
    <col min="7" max="7" width="22.85546875" customWidth="1"/>
    <col min="8" max="8" width="22.42578125" customWidth="1"/>
  </cols>
  <sheetData>
    <row r="1" spans="1:22">
      <c r="A1" s="649" t="s">
        <v>604</v>
      </c>
      <c r="B1" s="650"/>
      <c r="C1" s="650"/>
      <c r="D1" s="651"/>
    </row>
    <row r="2" spans="1:22" ht="15.75" thickBot="1">
      <c r="A2" s="652"/>
      <c r="B2" s="653"/>
      <c r="C2" s="653"/>
      <c r="D2" s="654"/>
    </row>
    <row r="3" spans="1:22" ht="30.75" thickBot="1">
      <c r="A3" s="540" t="s">
        <v>388</v>
      </c>
      <c r="B3" s="541" t="s">
        <v>558</v>
      </c>
      <c r="C3" s="542" t="s">
        <v>560</v>
      </c>
      <c r="D3" s="543" t="s">
        <v>559</v>
      </c>
      <c r="F3" s="655" t="s">
        <v>564</v>
      </c>
      <c r="G3" s="656"/>
      <c r="H3" s="657"/>
      <c r="L3" s="658" t="s">
        <v>564</v>
      </c>
      <c r="M3" s="659"/>
      <c r="N3" s="659"/>
      <c r="O3" s="659"/>
      <c r="P3" s="659"/>
      <c r="Q3" s="659"/>
      <c r="R3" s="660"/>
      <c r="S3" s="5"/>
      <c r="T3" s="5"/>
      <c r="U3" s="5"/>
      <c r="V3" s="5"/>
    </row>
    <row r="4" spans="1:22">
      <c r="A4" s="520" t="s">
        <v>0</v>
      </c>
      <c r="B4" s="501">
        <v>1678.9411875000001</v>
      </c>
      <c r="C4" s="544">
        <f>D4-B4</f>
        <v>0</v>
      </c>
      <c r="D4" s="501">
        <v>1678.9411875000001</v>
      </c>
      <c r="F4" s="667"/>
      <c r="G4" s="668"/>
      <c r="H4" s="669"/>
      <c r="L4" s="331" t="s">
        <v>491</v>
      </c>
      <c r="M4" s="333" t="s">
        <v>493</v>
      </c>
      <c r="N4" s="333" t="s">
        <v>494</v>
      </c>
      <c r="O4" s="333" t="s">
        <v>495</v>
      </c>
      <c r="P4" s="333" t="s">
        <v>496</v>
      </c>
      <c r="Q4" s="334" t="s">
        <v>562</v>
      </c>
      <c r="R4" s="290" t="s">
        <v>415</v>
      </c>
      <c r="S4" s="5"/>
      <c r="T4" s="5"/>
      <c r="U4" s="5"/>
      <c r="V4" s="5"/>
    </row>
    <row r="5" spans="1:22">
      <c r="A5" s="520" t="s">
        <v>2</v>
      </c>
      <c r="B5" s="501">
        <v>340.03375000000011</v>
      </c>
      <c r="C5" s="544">
        <f>D5-B5</f>
        <v>0</v>
      </c>
      <c r="D5" s="501">
        <v>340.03374999999988</v>
      </c>
      <c r="F5" s="131" t="s">
        <v>388</v>
      </c>
      <c r="G5" s="130" t="s">
        <v>387</v>
      </c>
      <c r="H5" s="129" t="s">
        <v>386</v>
      </c>
      <c r="L5" s="59" t="s">
        <v>84</v>
      </c>
      <c r="M5" s="337">
        <v>0</v>
      </c>
      <c r="N5" s="337">
        <v>0</v>
      </c>
      <c r="O5" s="337">
        <v>0</v>
      </c>
      <c r="P5" s="336">
        <v>0</v>
      </c>
      <c r="Q5" s="337">
        <v>0</v>
      </c>
      <c r="R5" s="338">
        <f>SUM(M5:Q5)</f>
        <v>0</v>
      </c>
      <c r="S5" s="5"/>
      <c r="T5" s="5"/>
      <c r="U5" s="5"/>
      <c r="V5" s="5"/>
    </row>
    <row r="6" spans="1:22">
      <c r="A6" s="520" t="s">
        <v>3</v>
      </c>
      <c r="B6" s="501">
        <v>172.17</v>
      </c>
      <c r="C6" s="544">
        <f t="shared" ref="C6:C34" si="0">D6-B6</f>
        <v>0</v>
      </c>
      <c r="D6" s="501">
        <v>172.17</v>
      </c>
      <c r="F6" s="473" t="s">
        <v>5</v>
      </c>
      <c r="G6" s="554">
        <v>122</v>
      </c>
      <c r="H6" s="550">
        <f>(G6/808)*100</f>
        <v>15.099009900990099</v>
      </c>
      <c r="L6" s="59" t="s">
        <v>85</v>
      </c>
      <c r="M6" s="337">
        <v>0</v>
      </c>
      <c r="N6" s="337">
        <v>0</v>
      </c>
      <c r="O6" s="337">
        <v>0</v>
      </c>
      <c r="P6" s="335">
        <v>0</v>
      </c>
      <c r="Q6" s="337">
        <v>0</v>
      </c>
      <c r="R6" s="59">
        <f t="shared" ref="R6:R16" si="1">SUM(M6:Q6)</f>
        <v>0</v>
      </c>
      <c r="S6" s="5"/>
      <c r="T6" s="5"/>
      <c r="U6" s="5"/>
      <c r="V6" s="5"/>
    </row>
    <row r="7" spans="1:22">
      <c r="A7" s="520" t="s">
        <v>4</v>
      </c>
      <c r="B7" s="501">
        <v>431.62875000000008</v>
      </c>
      <c r="C7" s="544">
        <f t="shared" si="0"/>
        <v>0</v>
      </c>
      <c r="D7" s="501">
        <v>431.62875000000008</v>
      </c>
      <c r="F7" s="473" t="s">
        <v>12</v>
      </c>
      <c r="G7" s="554">
        <v>196</v>
      </c>
      <c r="H7" s="550">
        <f>(G7/760)*100</f>
        <v>25.789473684210527</v>
      </c>
      <c r="L7" s="59" t="s">
        <v>86</v>
      </c>
      <c r="M7" s="337">
        <v>0</v>
      </c>
      <c r="N7" s="337">
        <v>0</v>
      </c>
      <c r="O7" s="337">
        <v>0</v>
      </c>
      <c r="P7" s="335">
        <v>0</v>
      </c>
      <c r="Q7" s="337">
        <v>0</v>
      </c>
      <c r="R7" s="59">
        <f t="shared" si="1"/>
        <v>0</v>
      </c>
      <c r="S7" s="5"/>
      <c r="T7" s="481" t="s">
        <v>498</v>
      </c>
      <c r="U7" s="481" t="s">
        <v>499</v>
      </c>
      <c r="V7" s="340" t="s">
        <v>500</v>
      </c>
    </row>
    <row r="8" spans="1:22">
      <c r="A8" s="520" t="s">
        <v>5</v>
      </c>
      <c r="B8" s="501">
        <v>807.66500000000008</v>
      </c>
      <c r="C8" s="544">
        <f t="shared" si="0"/>
        <v>121.73799999999994</v>
      </c>
      <c r="D8" s="501">
        <v>929.40300000000002</v>
      </c>
      <c r="F8" s="473" t="s">
        <v>14</v>
      </c>
      <c r="G8" s="554">
        <v>280</v>
      </c>
      <c r="H8" s="550">
        <f>(G8/1794)*100</f>
        <v>15.607580824972128</v>
      </c>
      <c r="L8" s="59" t="s">
        <v>87</v>
      </c>
      <c r="M8" s="337">
        <v>0</v>
      </c>
      <c r="N8" s="337">
        <v>0</v>
      </c>
      <c r="O8" s="337">
        <v>0</v>
      </c>
      <c r="P8" s="335">
        <v>0</v>
      </c>
      <c r="Q8" s="337">
        <v>0</v>
      </c>
      <c r="R8" s="59">
        <f t="shared" si="1"/>
        <v>0</v>
      </c>
      <c r="S8" s="5"/>
      <c r="T8" s="60" t="s">
        <v>493</v>
      </c>
      <c r="U8" s="60">
        <v>100</v>
      </c>
      <c r="V8" s="61">
        <v>15</v>
      </c>
    </row>
    <row r="9" spans="1:22">
      <c r="A9" s="520" t="s">
        <v>6</v>
      </c>
      <c r="B9" s="501">
        <v>1239.58</v>
      </c>
      <c r="C9" s="544">
        <f t="shared" si="0"/>
        <v>0</v>
      </c>
      <c r="D9" s="501">
        <v>1239.58</v>
      </c>
      <c r="F9" s="473" t="s">
        <v>16</v>
      </c>
      <c r="G9" s="554">
        <v>274</v>
      </c>
      <c r="H9" s="550">
        <f>(G9/746)*100</f>
        <v>36.729222520107243</v>
      </c>
      <c r="L9" s="59" t="s">
        <v>88</v>
      </c>
      <c r="M9" s="337">
        <v>0</v>
      </c>
      <c r="N9" s="337">
        <v>0</v>
      </c>
      <c r="O9" s="337">
        <v>0</v>
      </c>
      <c r="P9" s="335">
        <v>0</v>
      </c>
      <c r="Q9" s="337">
        <v>0</v>
      </c>
      <c r="R9" s="59">
        <f t="shared" si="1"/>
        <v>0</v>
      </c>
      <c r="S9" s="486"/>
      <c r="T9" s="341" t="s">
        <v>494</v>
      </c>
      <c r="U9" s="341">
        <v>150</v>
      </c>
      <c r="V9" s="59">
        <v>16.3689</v>
      </c>
    </row>
    <row r="10" spans="1:22">
      <c r="A10" s="520" t="s">
        <v>7</v>
      </c>
      <c r="B10" s="501">
        <v>784.35874999999999</v>
      </c>
      <c r="C10" s="544">
        <f t="shared" si="0"/>
        <v>0</v>
      </c>
      <c r="D10" s="501">
        <v>784.35874999999999</v>
      </c>
      <c r="F10" s="473" t="s">
        <v>19</v>
      </c>
      <c r="G10" s="554">
        <v>934</v>
      </c>
      <c r="H10" s="550">
        <f>(G10/1954)*100</f>
        <v>47.799385875127939</v>
      </c>
      <c r="L10" s="59" t="s">
        <v>89</v>
      </c>
      <c r="M10" s="337">
        <v>0</v>
      </c>
      <c r="N10" s="337">
        <v>0</v>
      </c>
      <c r="O10" s="337">
        <v>0</v>
      </c>
      <c r="P10" s="335">
        <v>0</v>
      </c>
      <c r="Q10" s="337">
        <v>0</v>
      </c>
      <c r="R10" s="59">
        <f t="shared" si="1"/>
        <v>0</v>
      </c>
      <c r="S10" s="482"/>
      <c r="T10" s="341" t="s">
        <v>495</v>
      </c>
      <c r="U10" s="341">
        <v>200</v>
      </c>
      <c r="V10" s="59">
        <v>16.746700000000001</v>
      </c>
    </row>
    <row r="11" spans="1:22">
      <c r="A11" s="520" t="s">
        <v>8</v>
      </c>
      <c r="B11" s="501">
        <v>791.59464285714296</v>
      </c>
      <c r="C11" s="544">
        <f t="shared" si="0"/>
        <v>0</v>
      </c>
      <c r="D11" s="501">
        <v>791.59464285714296</v>
      </c>
      <c r="F11" s="473" t="s">
        <v>20</v>
      </c>
      <c r="G11" s="554">
        <v>1189</v>
      </c>
      <c r="H11" s="550">
        <f>(G11/2261)*100</f>
        <v>52.587350729765589</v>
      </c>
      <c r="L11" s="59" t="s">
        <v>90</v>
      </c>
      <c r="M11" s="337">
        <v>0</v>
      </c>
      <c r="N11" s="337">
        <v>0</v>
      </c>
      <c r="O11" s="337">
        <v>0</v>
      </c>
      <c r="P11" s="335">
        <v>0</v>
      </c>
      <c r="Q11" s="337">
        <v>0</v>
      </c>
      <c r="R11" s="59">
        <f t="shared" si="1"/>
        <v>0</v>
      </c>
      <c r="S11" s="482"/>
      <c r="T11" s="341" t="s">
        <v>496</v>
      </c>
      <c r="U11" s="341">
        <v>250</v>
      </c>
      <c r="V11" s="59">
        <v>16.886600000000001</v>
      </c>
    </row>
    <row r="12" spans="1:22">
      <c r="A12" s="520" t="s">
        <v>9</v>
      </c>
      <c r="B12" s="501">
        <v>678.47964285714295</v>
      </c>
      <c r="C12" s="544">
        <f t="shared" si="0"/>
        <v>0</v>
      </c>
      <c r="D12" s="501">
        <v>678.47964285714295</v>
      </c>
      <c r="F12" s="473" t="s">
        <v>21</v>
      </c>
      <c r="G12" s="554">
        <v>158</v>
      </c>
      <c r="H12" s="550">
        <f>(G12/517)*100</f>
        <v>30.56092843326886</v>
      </c>
      <c r="L12" s="59" t="s">
        <v>91</v>
      </c>
      <c r="M12" s="337">
        <v>0</v>
      </c>
      <c r="N12" s="337">
        <v>0</v>
      </c>
      <c r="O12" s="337">
        <v>0</v>
      </c>
      <c r="P12" s="337">
        <v>0</v>
      </c>
      <c r="Q12" s="337">
        <v>0</v>
      </c>
      <c r="R12" s="59">
        <f t="shared" si="1"/>
        <v>0</v>
      </c>
      <c r="S12" s="486"/>
      <c r="T12" s="342" t="s">
        <v>562</v>
      </c>
      <c r="U12" s="342">
        <v>300</v>
      </c>
      <c r="V12" s="343">
        <v>17</v>
      </c>
    </row>
    <row r="13" spans="1:22" ht="15.75" thickBot="1">
      <c r="A13" s="520" t="s">
        <v>10</v>
      </c>
      <c r="B13" s="501">
        <v>611.24624999999992</v>
      </c>
      <c r="C13" s="544">
        <f t="shared" si="0"/>
        <v>0</v>
      </c>
      <c r="D13" s="501">
        <v>611.24625000000003</v>
      </c>
      <c r="F13" s="473" t="s">
        <v>22</v>
      </c>
      <c r="G13" s="554">
        <v>85</v>
      </c>
      <c r="H13" s="550">
        <f>(G13/215)*100</f>
        <v>39.534883720930232</v>
      </c>
      <c r="L13" s="59" t="s">
        <v>92</v>
      </c>
      <c r="M13" s="337">
        <v>0</v>
      </c>
      <c r="N13" s="337">
        <v>0</v>
      </c>
      <c r="O13" s="337">
        <v>0</v>
      </c>
      <c r="P13" s="337">
        <v>0</v>
      </c>
      <c r="Q13" s="337">
        <v>0</v>
      </c>
      <c r="R13" s="59">
        <f t="shared" si="1"/>
        <v>0</v>
      </c>
      <c r="S13" s="486"/>
      <c r="T13" s="486"/>
      <c r="U13" s="486"/>
      <c r="V13" s="5"/>
    </row>
    <row r="14" spans="1:22">
      <c r="A14" s="520" t="s">
        <v>11</v>
      </c>
      <c r="B14" s="501">
        <v>564.69500000000005</v>
      </c>
      <c r="C14" s="544">
        <f t="shared" si="0"/>
        <v>0.40375000000005912</v>
      </c>
      <c r="D14" s="501">
        <v>565.09875000000011</v>
      </c>
      <c r="F14" s="474" t="s">
        <v>415</v>
      </c>
      <c r="G14" s="555">
        <f>SUM(G6:G13)</f>
        <v>3238</v>
      </c>
      <c r="H14" s="475"/>
      <c r="L14" s="59" t="s">
        <v>93</v>
      </c>
      <c r="M14" s="337">
        <v>0</v>
      </c>
      <c r="N14" s="337">
        <v>0</v>
      </c>
      <c r="O14" s="337">
        <v>0</v>
      </c>
      <c r="P14" s="337">
        <v>0</v>
      </c>
      <c r="Q14" s="337">
        <v>0</v>
      </c>
      <c r="R14" s="59">
        <f t="shared" si="1"/>
        <v>0</v>
      </c>
      <c r="S14" s="486"/>
      <c r="T14" s="486"/>
      <c r="U14" s="486"/>
      <c r="V14" s="5"/>
    </row>
    <row r="15" spans="1:22" ht="15.75" thickBot="1">
      <c r="A15" s="520" t="s">
        <v>12</v>
      </c>
      <c r="B15" s="501">
        <v>759.57718750000004</v>
      </c>
      <c r="C15" s="544">
        <f t="shared" si="0"/>
        <v>195.55614583333318</v>
      </c>
      <c r="D15" s="501">
        <v>955.13333333333321</v>
      </c>
      <c r="F15" s="552" t="s">
        <v>365</v>
      </c>
      <c r="G15" s="556">
        <f>G14/24296</f>
        <v>0.13327296674349687</v>
      </c>
      <c r="H15" s="476"/>
      <c r="L15" s="59" t="s">
        <v>94</v>
      </c>
      <c r="M15" s="337">
        <v>0</v>
      </c>
      <c r="N15" s="337">
        <v>0</v>
      </c>
      <c r="O15" s="337">
        <v>0</v>
      </c>
      <c r="P15" s="337">
        <v>0</v>
      </c>
      <c r="Q15" s="337">
        <v>0</v>
      </c>
      <c r="R15" s="59">
        <f t="shared" si="1"/>
        <v>0</v>
      </c>
      <c r="S15" s="18"/>
      <c r="T15" s="18"/>
      <c r="U15" s="486"/>
      <c r="V15" s="5"/>
    </row>
    <row r="16" spans="1:22">
      <c r="A16" s="520" t="s">
        <v>13</v>
      </c>
      <c r="B16" s="501">
        <v>79.490000000000009</v>
      </c>
      <c r="C16" s="544">
        <f t="shared" si="0"/>
        <v>0</v>
      </c>
      <c r="D16" s="501">
        <v>79.490000000000009</v>
      </c>
      <c r="L16" s="343" t="s">
        <v>492</v>
      </c>
      <c r="M16" s="344">
        <v>0</v>
      </c>
      <c r="N16" s="344">
        <v>0</v>
      </c>
      <c r="O16" s="344">
        <v>0</v>
      </c>
      <c r="P16" s="344">
        <v>0</v>
      </c>
      <c r="Q16" s="344">
        <v>0</v>
      </c>
      <c r="R16" s="343">
        <f t="shared" si="1"/>
        <v>0</v>
      </c>
      <c r="S16" s="486"/>
      <c r="U16" s="486"/>
      <c r="V16" s="5"/>
    </row>
    <row r="17" spans="1:22">
      <c r="A17" s="520" t="s">
        <v>14</v>
      </c>
      <c r="B17" s="501">
        <v>1793.9649999999999</v>
      </c>
      <c r="C17" s="544">
        <f t="shared" si="0"/>
        <v>279.88499999999908</v>
      </c>
      <c r="D17" s="501">
        <v>2073.849999999999</v>
      </c>
      <c r="H17" s="260"/>
      <c r="I17" s="260"/>
      <c r="L17" s="290" t="s">
        <v>501</v>
      </c>
      <c r="M17" s="345">
        <f t="shared" ref="M17:R17" si="2">SUM(M5:M16)</f>
        <v>0</v>
      </c>
      <c r="N17" s="345">
        <f t="shared" si="2"/>
        <v>0</v>
      </c>
      <c r="O17" s="345">
        <f t="shared" si="2"/>
        <v>0</v>
      </c>
      <c r="P17" s="345">
        <f t="shared" si="2"/>
        <v>0</v>
      </c>
      <c r="Q17" s="345">
        <f t="shared" si="2"/>
        <v>0</v>
      </c>
      <c r="R17" s="346">
        <f t="shared" si="2"/>
        <v>0</v>
      </c>
      <c r="S17" s="486"/>
      <c r="U17" s="486"/>
      <c r="V17" s="5"/>
    </row>
    <row r="18" spans="1:22">
      <c r="A18" s="520" t="s">
        <v>15</v>
      </c>
      <c r="B18" s="501">
        <v>1136.1553571428569</v>
      </c>
      <c r="C18" s="544">
        <f t="shared" si="0"/>
        <v>0</v>
      </c>
      <c r="D18" s="501">
        <v>1136.1553571428569</v>
      </c>
      <c r="H18" s="260"/>
      <c r="I18" s="260"/>
      <c r="L18" s="290" t="s">
        <v>500</v>
      </c>
      <c r="M18" s="347">
        <f>PRODUCT(M17*V8)</f>
        <v>0</v>
      </c>
      <c r="N18" s="347">
        <f>PRODUCT(N17*V9)</f>
        <v>0</v>
      </c>
      <c r="O18" s="347">
        <f>PRODUCT(O17*V10)</f>
        <v>0</v>
      </c>
      <c r="P18" s="347">
        <f>PRODUCT(P17*V11)</f>
        <v>0</v>
      </c>
      <c r="Q18" s="347">
        <f>PRODUCT(Q17*V12)</f>
        <v>0</v>
      </c>
      <c r="R18" s="290">
        <f>SUM(M18:Q18)</f>
        <v>0</v>
      </c>
      <c r="S18" s="486"/>
      <c r="U18" s="486"/>
      <c r="V18" s="5"/>
    </row>
    <row r="19" spans="1:22">
      <c r="A19" s="520" t="s">
        <v>16</v>
      </c>
      <c r="B19" s="501">
        <v>745.55315476190469</v>
      </c>
      <c r="C19" s="544">
        <f t="shared" si="0"/>
        <v>274.39684523809535</v>
      </c>
      <c r="D19" s="501">
        <v>1019.95</v>
      </c>
      <c r="H19" s="260"/>
      <c r="I19" s="260"/>
      <c r="L19" s="290" t="s">
        <v>499</v>
      </c>
      <c r="M19" s="347">
        <f>M17*U8</f>
        <v>0</v>
      </c>
      <c r="N19" s="347">
        <f>N17*U9</f>
        <v>0</v>
      </c>
      <c r="O19" s="347">
        <f>O17*U10</f>
        <v>0</v>
      </c>
      <c r="P19" s="347">
        <f>P17*U11</f>
        <v>0</v>
      </c>
      <c r="Q19" s="347">
        <f>Q17*U12</f>
        <v>0</v>
      </c>
      <c r="R19" s="290">
        <f>SUM(M19:Q19)</f>
        <v>0</v>
      </c>
      <c r="S19" s="486"/>
      <c r="U19" s="486"/>
      <c r="V19" s="5"/>
    </row>
    <row r="20" spans="1:22">
      <c r="A20" s="520" t="s">
        <v>17</v>
      </c>
      <c r="B20" s="501">
        <v>1216.8824999999999</v>
      </c>
      <c r="C20" s="544">
        <f t="shared" si="0"/>
        <v>0</v>
      </c>
      <c r="D20" s="501">
        <v>1216.8824999999999</v>
      </c>
      <c r="H20" s="260"/>
      <c r="I20" s="260"/>
    </row>
    <row r="21" spans="1:22">
      <c r="A21" s="520" t="s">
        <v>18</v>
      </c>
      <c r="B21" s="501">
        <v>3195.1127976190478</v>
      </c>
      <c r="C21" s="544">
        <f t="shared" si="0"/>
        <v>0</v>
      </c>
      <c r="D21" s="501">
        <v>3195.1127976190478</v>
      </c>
      <c r="H21" s="260"/>
      <c r="I21" s="260"/>
    </row>
    <row r="22" spans="1:22">
      <c r="A22" s="520" t="s">
        <v>19</v>
      </c>
      <c r="B22" s="501">
        <v>1953.76775</v>
      </c>
      <c r="C22" s="544">
        <f t="shared" si="0"/>
        <v>933.74058333333414</v>
      </c>
      <c r="D22" s="501">
        <v>2887.5083333333341</v>
      </c>
      <c r="H22" s="260"/>
      <c r="I22" s="260"/>
    </row>
    <row r="23" spans="1:22">
      <c r="A23" s="520" t="s">
        <v>20</v>
      </c>
      <c r="B23" s="501">
        <v>2260.7912500000002</v>
      </c>
      <c r="C23" s="544">
        <f t="shared" si="0"/>
        <v>1188.7254166666667</v>
      </c>
      <c r="D23" s="501">
        <v>3449.5166666666669</v>
      </c>
      <c r="H23" s="260"/>
      <c r="I23" s="260"/>
      <c r="J23" s="260"/>
      <c r="K23" s="260"/>
      <c r="L23" s="260"/>
      <c r="M23" s="260"/>
      <c r="N23" s="260"/>
      <c r="O23" s="260"/>
      <c r="P23" s="260"/>
      <c r="Q23" s="260"/>
      <c r="R23" s="260"/>
      <c r="S23" s="260"/>
      <c r="T23" s="260"/>
      <c r="U23" s="260"/>
      <c r="V23" s="260"/>
    </row>
    <row r="24" spans="1:22">
      <c r="A24" s="520" t="s">
        <v>21</v>
      </c>
      <c r="B24" s="501">
        <v>517.07999999999993</v>
      </c>
      <c r="C24" s="544">
        <f t="shared" si="0"/>
        <v>158.43999999999994</v>
      </c>
      <c r="D24" s="501">
        <v>675.51999999999987</v>
      </c>
      <c r="H24" s="260"/>
      <c r="I24" s="260"/>
      <c r="J24" s="260"/>
      <c r="K24" s="260"/>
      <c r="L24" s="260"/>
      <c r="M24" s="260"/>
      <c r="N24" s="260"/>
      <c r="O24" s="260"/>
      <c r="P24" s="260"/>
      <c r="Q24" s="260"/>
      <c r="R24" s="260"/>
      <c r="S24" s="260"/>
      <c r="T24" s="260"/>
      <c r="U24" s="260"/>
      <c r="V24" s="260"/>
    </row>
    <row r="25" spans="1:22">
      <c r="A25" s="520" t="s">
        <v>22</v>
      </c>
      <c r="B25" s="501">
        <v>214.8903571428572</v>
      </c>
      <c r="C25" s="544">
        <f t="shared" si="0"/>
        <v>84.780476190476094</v>
      </c>
      <c r="D25" s="501">
        <v>299.67083333333329</v>
      </c>
      <c r="H25" s="260"/>
      <c r="I25" s="260"/>
      <c r="J25" s="260"/>
      <c r="K25" s="551"/>
      <c r="L25" s="551"/>
      <c r="M25" s="551"/>
      <c r="N25" s="551"/>
      <c r="O25" s="551"/>
      <c r="P25" s="551"/>
      <c r="Q25" s="551"/>
      <c r="R25" s="266"/>
      <c r="S25" s="266"/>
      <c r="T25" s="266"/>
      <c r="U25" s="266"/>
      <c r="V25" s="260"/>
    </row>
    <row r="26" spans="1:22">
      <c r="A26" s="520" t="s">
        <v>23</v>
      </c>
      <c r="B26" s="501">
        <v>82.012857142857143</v>
      </c>
      <c r="C26" s="544">
        <f t="shared" si="0"/>
        <v>0</v>
      </c>
      <c r="D26" s="501">
        <v>82.012857142857129</v>
      </c>
      <c r="H26" s="260"/>
      <c r="I26" s="260"/>
      <c r="J26" s="260"/>
      <c r="K26" s="466"/>
      <c r="L26" s="467"/>
      <c r="M26" s="467"/>
      <c r="N26" s="467"/>
      <c r="O26" s="482"/>
      <c r="P26" s="482"/>
      <c r="Q26" s="482"/>
      <c r="R26" s="266"/>
      <c r="S26" s="266"/>
      <c r="T26" s="266"/>
      <c r="U26" s="266"/>
      <c r="V26" s="260"/>
    </row>
    <row r="27" spans="1:22">
      <c r="A27" s="520" t="s">
        <v>24</v>
      </c>
      <c r="B27" s="501">
        <v>175.76</v>
      </c>
      <c r="C27" s="544">
        <f t="shared" si="0"/>
        <v>0</v>
      </c>
      <c r="D27" s="501">
        <v>175.76</v>
      </c>
      <c r="H27" s="260"/>
      <c r="I27" s="260"/>
      <c r="J27" s="260"/>
      <c r="K27" s="486"/>
      <c r="L27" s="335"/>
      <c r="M27" s="335"/>
      <c r="N27" s="335"/>
      <c r="O27" s="335"/>
      <c r="P27" s="337"/>
      <c r="Q27" s="486"/>
      <c r="R27" s="266"/>
      <c r="S27" s="266"/>
      <c r="T27" s="266"/>
      <c r="U27" s="266"/>
      <c r="V27" s="260"/>
    </row>
    <row r="28" spans="1:22">
      <c r="A28" s="520" t="s">
        <v>25</v>
      </c>
      <c r="B28" s="501">
        <v>260.79750000000001</v>
      </c>
      <c r="C28" s="544">
        <f t="shared" si="0"/>
        <v>0</v>
      </c>
      <c r="D28" s="501">
        <v>260.79750000000001</v>
      </c>
      <c r="H28" s="260"/>
      <c r="I28" s="260"/>
      <c r="J28" s="260"/>
      <c r="K28" s="486"/>
      <c r="L28" s="335"/>
      <c r="M28" s="335"/>
      <c r="N28" s="335"/>
      <c r="O28" s="335"/>
      <c r="P28" s="337"/>
      <c r="Q28" s="486"/>
      <c r="R28" s="266"/>
      <c r="S28" s="266"/>
      <c r="T28" s="266"/>
      <c r="U28" s="266"/>
      <c r="V28" s="260"/>
    </row>
    <row r="29" spans="1:22">
      <c r="A29" s="520" t="s">
        <v>26</v>
      </c>
      <c r="B29" s="501">
        <v>318.53250000000003</v>
      </c>
      <c r="C29" s="544">
        <f t="shared" si="0"/>
        <v>0</v>
      </c>
      <c r="D29" s="501">
        <v>318.53250000000003</v>
      </c>
      <c r="I29" s="260"/>
      <c r="J29" s="260"/>
      <c r="K29" s="486"/>
      <c r="L29" s="335"/>
      <c r="M29" s="335"/>
      <c r="N29" s="335"/>
      <c r="O29" s="335"/>
      <c r="P29" s="337"/>
      <c r="Q29" s="486"/>
      <c r="R29" s="266"/>
      <c r="S29" s="483"/>
      <c r="T29" s="483"/>
      <c r="U29" s="483"/>
      <c r="V29" s="260"/>
    </row>
    <row r="30" spans="1:22">
      <c r="A30" s="520" t="s">
        <v>27</v>
      </c>
      <c r="B30" s="501">
        <v>506.23500000000013</v>
      </c>
      <c r="C30" s="544">
        <f t="shared" si="0"/>
        <v>0</v>
      </c>
      <c r="D30" s="501">
        <v>506.23500000000013</v>
      </c>
      <c r="H30" s="260"/>
      <c r="J30" s="260"/>
      <c r="K30" s="486"/>
      <c r="L30" s="335"/>
      <c r="M30" s="335"/>
      <c r="N30" s="335"/>
      <c r="O30" s="335"/>
      <c r="P30" s="337"/>
      <c r="Q30" s="486"/>
      <c r="R30" s="266"/>
      <c r="S30" s="63"/>
      <c r="T30" s="63"/>
      <c r="U30" s="266"/>
      <c r="V30" s="260"/>
    </row>
    <row r="31" spans="1:22">
      <c r="A31" s="520" t="s">
        <v>28</v>
      </c>
      <c r="B31" s="501">
        <v>419.1450000000001</v>
      </c>
      <c r="C31" s="544">
        <f t="shared" si="0"/>
        <v>0</v>
      </c>
      <c r="D31" s="501">
        <v>419.14499999999998</v>
      </c>
      <c r="H31" s="260"/>
      <c r="J31" s="260"/>
      <c r="K31" s="486"/>
      <c r="L31" s="335"/>
      <c r="M31" s="335"/>
      <c r="N31" s="335"/>
      <c r="O31" s="335"/>
      <c r="P31" s="337"/>
      <c r="Q31" s="486"/>
      <c r="R31" s="486"/>
      <c r="S31" s="337"/>
      <c r="T31" s="337"/>
      <c r="U31" s="486"/>
      <c r="V31" s="260"/>
    </row>
    <row r="32" spans="1:22">
      <c r="A32" s="520" t="s">
        <v>29</v>
      </c>
      <c r="B32" s="501">
        <v>193.28749999999999</v>
      </c>
      <c r="C32" s="544">
        <f t="shared" si="0"/>
        <v>0</v>
      </c>
      <c r="D32" s="501">
        <v>193.28749999999999</v>
      </c>
      <c r="F32" s="260"/>
      <c r="G32" s="260"/>
      <c r="H32" s="260"/>
      <c r="J32" s="260"/>
      <c r="K32" s="486"/>
      <c r="L32" s="335"/>
      <c r="M32" s="335"/>
      <c r="N32" s="335"/>
      <c r="O32" s="335"/>
      <c r="P32" s="337"/>
      <c r="Q32" s="486"/>
      <c r="R32" s="482"/>
      <c r="S32" s="337"/>
      <c r="T32" s="337"/>
      <c r="U32" s="486"/>
      <c r="V32" s="260"/>
    </row>
    <row r="33" spans="1:22">
      <c r="A33" s="520" t="s">
        <v>30</v>
      </c>
      <c r="B33" s="501">
        <v>285.495</v>
      </c>
      <c r="C33" s="544">
        <f t="shared" si="0"/>
        <v>0</v>
      </c>
      <c r="D33" s="501">
        <v>285.495</v>
      </c>
      <c r="I33" s="260"/>
      <c r="J33" s="260"/>
      <c r="K33" s="486"/>
      <c r="L33" s="335"/>
      <c r="M33" s="335"/>
      <c r="N33" s="335"/>
      <c r="O33" s="335"/>
      <c r="P33" s="337"/>
      <c r="Q33" s="486"/>
      <c r="R33" s="482"/>
      <c r="S33" s="337"/>
      <c r="T33" s="337"/>
      <c r="U33" s="486"/>
      <c r="V33" s="260"/>
    </row>
    <row r="34" spans="1:22" ht="15.75" thickBot="1">
      <c r="A34" s="533" t="s">
        <v>31</v>
      </c>
      <c r="B34" s="504">
        <v>81.099999999999994</v>
      </c>
      <c r="C34" s="549">
        <f t="shared" si="0"/>
        <v>0</v>
      </c>
      <c r="D34" s="504">
        <v>81.099999999999994</v>
      </c>
      <c r="J34" s="260"/>
      <c r="K34" s="486"/>
      <c r="L34" s="335"/>
      <c r="M34" s="335"/>
      <c r="N34" s="337"/>
      <c r="O34" s="337"/>
      <c r="P34" s="337"/>
      <c r="Q34" s="486"/>
      <c r="R34" s="486"/>
      <c r="S34" s="337"/>
      <c r="T34" s="337"/>
      <c r="U34" s="486"/>
      <c r="V34" s="260"/>
    </row>
    <row r="35" spans="1:22" ht="15.75" thickBot="1">
      <c r="A35" s="537" t="s">
        <v>602</v>
      </c>
      <c r="B35" s="538">
        <f>SUM(B4:B34)</f>
        <v>24296.023684523811</v>
      </c>
      <c r="C35" s="538">
        <f>SUM(C4:C34)</f>
        <v>3237.6662172619049</v>
      </c>
      <c r="D35" s="539">
        <f>SUM(D4:D34)</f>
        <v>27533.689901785714</v>
      </c>
      <c r="J35" s="260"/>
      <c r="K35" s="486"/>
      <c r="L35" s="337"/>
      <c r="M35" s="337"/>
      <c r="N35" s="337"/>
      <c r="O35" s="337"/>
      <c r="P35" s="337"/>
      <c r="Q35" s="486"/>
      <c r="R35" s="486"/>
      <c r="S35" s="486"/>
      <c r="T35" s="486"/>
      <c r="U35" s="266"/>
      <c r="V35" s="260"/>
    </row>
    <row r="36" spans="1:22">
      <c r="B36"/>
      <c r="C36"/>
      <c r="D36"/>
      <c r="J36" s="260"/>
      <c r="K36" s="486"/>
      <c r="L36" s="337"/>
      <c r="M36" s="335"/>
      <c r="N36" s="337"/>
      <c r="O36" s="337"/>
      <c r="P36" s="337"/>
      <c r="Q36" s="486"/>
      <c r="R36" s="486"/>
      <c r="S36" s="486"/>
      <c r="T36" s="486"/>
      <c r="U36" s="266"/>
      <c r="V36" s="260"/>
    </row>
    <row r="37" spans="1:22">
      <c r="B37"/>
      <c r="C37"/>
      <c r="D37"/>
      <c r="J37" s="260"/>
      <c r="K37" s="486"/>
      <c r="L37" s="337"/>
      <c r="M37" s="335"/>
      <c r="N37" s="337"/>
      <c r="O37" s="337"/>
      <c r="P37" s="337"/>
      <c r="Q37" s="486"/>
      <c r="R37" s="18"/>
      <c r="S37" s="18"/>
      <c r="T37" s="486"/>
      <c r="U37" s="266"/>
      <c r="V37" s="260"/>
    </row>
    <row r="38" spans="1:22">
      <c r="J38" s="260"/>
      <c r="K38" s="486"/>
      <c r="L38" s="337"/>
      <c r="M38" s="337"/>
      <c r="N38" s="337"/>
      <c r="O38" s="337"/>
      <c r="P38" s="337"/>
      <c r="Q38" s="486"/>
      <c r="R38" s="486"/>
      <c r="S38" s="260"/>
      <c r="T38" s="486"/>
      <c r="U38" s="266"/>
      <c r="V38" s="260"/>
    </row>
    <row r="39" spans="1:22">
      <c r="J39" s="260"/>
      <c r="K39" s="482"/>
      <c r="L39" s="337"/>
      <c r="M39" s="337"/>
      <c r="N39" s="337"/>
      <c r="O39" s="337"/>
      <c r="P39" s="337"/>
      <c r="Q39" s="468"/>
      <c r="R39" s="486"/>
      <c r="S39" s="260"/>
      <c r="T39" s="486"/>
      <c r="U39" s="266"/>
      <c r="V39" s="260"/>
    </row>
    <row r="40" spans="1:22">
      <c r="J40" s="260"/>
      <c r="K40" s="482"/>
      <c r="L40" s="486"/>
      <c r="M40" s="486"/>
      <c r="N40" s="486"/>
      <c r="O40" s="486"/>
      <c r="P40" s="486"/>
      <c r="Q40" s="482"/>
      <c r="R40" s="486"/>
      <c r="S40" s="260"/>
      <c r="T40" s="486"/>
      <c r="U40" s="266"/>
      <c r="V40" s="260"/>
    </row>
    <row r="41" spans="1:22">
      <c r="J41" s="260"/>
      <c r="K41" s="482"/>
      <c r="L41" s="486"/>
      <c r="M41" s="486"/>
      <c r="N41" s="486"/>
      <c r="O41" s="486"/>
      <c r="P41" s="486"/>
      <c r="Q41" s="482"/>
      <c r="R41" s="486"/>
      <c r="S41" s="260"/>
      <c r="T41" s="486"/>
      <c r="U41" s="266"/>
      <c r="V41" s="260"/>
    </row>
    <row r="42" spans="1:22">
      <c r="J42" s="260"/>
      <c r="K42" s="260"/>
      <c r="L42" s="266"/>
      <c r="M42" s="266"/>
      <c r="N42" s="266"/>
      <c r="O42" s="260"/>
      <c r="P42" s="260"/>
      <c r="Q42" s="260"/>
      <c r="R42" s="260"/>
      <c r="S42" s="260"/>
      <c r="T42" s="260"/>
      <c r="U42" s="260"/>
      <c r="V42" s="260"/>
    </row>
    <row r="43" spans="1:22">
      <c r="J43" s="260"/>
      <c r="K43" s="260"/>
      <c r="L43" s="260"/>
      <c r="M43" s="260"/>
      <c r="N43" s="260"/>
      <c r="O43" s="260"/>
      <c r="P43" s="260"/>
      <c r="Q43" s="260"/>
      <c r="R43" s="260"/>
      <c r="S43" s="260"/>
      <c r="T43" s="260"/>
      <c r="U43" s="260"/>
      <c r="V43" s="260"/>
    </row>
  </sheetData>
  <mergeCells count="3">
    <mergeCell ref="A1:D2"/>
    <mergeCell ref="L3:R3"/>
    <mergeCell ref="F3:H4"/>
  </mergeCells>
  <conditionalFormatting sqref="L27:Q38">
    <cfRule type="cellIs" dxfId="12" priority="2" operator="greaterThan">
      <formula>0</formula>
    </cfRule>
  </conditionalFormatting>
  <conditionalFormatting sqref="M5:R16">
    <cfRule type="cellIs" dxfId="11" priority="1" operator="greater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1" zoomScaleNormal="100" workbookViewId="0">
      <selection activeCell="T28" sqref="T28"/>
    </sheetView>
  </sheetViews>
  <sheetFormatPr defaultRowHeight="15"/>
  <cols>
    <col min="1" max="1" width="16.7109375" customWidth="1"/>
    <col min="2" max="2" width="40.140625" style="478" customWidth="1"/>
    <col min="3" max="3" width="51.140625" style="435" customWidth="1"/>
    <col min="4" max="4" width="34.42578125" style="477" customWidth="1"/>
    <col min="7" max="7" width="14.7109375" customWidth="1"/>
    <col min="8" max="8" width="23.140625" customWidth="1"/>
    <col min="9" max="9" width="20.5703125" customWidth="1"/>
    <col min="12" max="12" width="14.85546875" customWidth="1"/>
    <col min="20" max="20" width="17.85546875" customWidth="1"/>
    <col min="21" max="21" width="17.5703125" customWidth="1"/>
    <col min="22" max="22" width="15.42578125" customWidth="1"/>
  </cols>
  <sheetData>
    <row r="1" spans="1:22" ht="15.75" thickBot="1">
      <c r="A1" s="649" t="s">
        <v>566</v>
      </c>
      <c r="B1" s="650"/>
      <c r="C1" s="650"/>
      <c r="D1" s="651"/>
    </row>
    <row r="2" spans="1:22">
      <c r="A2" s="652"/>
      <c r="B2" s="653"/>
      <c r="C2" s="653"/>
      <c r="D2" s="654"/>
      <c r="G2" s="603" t="s">
        <v>566</v>
      </c>
      <c r="H2" s="604"/>
      <c r="I2" s="383"/>
    </row>
    <row r="3" spans="1:22" ht="30.75" thickBot="1">
      <c r="A3" s="540" t="s">
        <v>388</v>
      </c>
      <c r="B3" s="541" t="s">
        <v>558</v>
      </c>
      <c r="C3" s="542" t="s">
        <v>560</v>
      </c>
      <c r="D3" s="543" t="s">
        <v>559</v>
      </c>
      <c r="G3" s="87"/>
      <c r="H3" s="266"/>
      <c r="I3" s="97"/>
      <c r="L3" s="658" t="s">
        <v>605</v>
      </c>
      <c r="M3" s="659"/>
      <c r="N3" s="659"/>
      <c r="O3" s="659"/>
      <c r="P3" s="659"/>
      <c r="Q3" s="659"/>
      <c r="R3" s="660"/>
      <c r="S3" s="5"/>
      <c r="T3" s="5"/>
      <c r="U3" s="5"/>
      <c r="V3" s="5"/>
    </row>
    <row r="4" spans="1:22">
      <c r="A4" s="520" t="s">
        <v>0</v>
      </c>
      <c r="B4" s="501">
        <v>1800</v>
      </c>
      <c r="C4" s="545">
        <f>D4-B4</f>
        <v>0</v>
      </c>
      <c r="D4" s="501">
        <v>1800</v>
      </c>
      <c r="G4" s="131" t="s">
        <v>388</v>
      </c>
      <c r="H4" s="130" t="s">
        <v>387</v>
      </c>
      <c r="I4" s="129" t="s">
        <v>386</v>
      </c>
      <c r="L4" s="331" t="s">
        <v>491</v>
      </c>
      <c r="M4" s="332" t="s">
        <v>493</v>
      </c>
      <c r="N4" s="332" t="s">
        <v>494</v>
      </c>
      <c r="O4" s="332" t="s">
        <v>495</v>
      </c>
      <c r="P4" s="333" t="s">
        <v>496</v>
      </c>
      <c r="Q4" s="334" t="s">
        <v>562</v>
      </c>
      <c r="R4" s="290" t="s">
        <v>415</v>
      </c>
      <c r="S4" s="5"/>
      <c r="T4" s="5"/>
      <c r="U4" s="5"/>
      <c r="V4" s="5"/>
    </row>
    <row r="5" spans="1:22">
      <c r="A5" s="520" t="s">
        <v>2</v>
      </c>
      <c r="B5" s="501">
        <v>400</v>
      </c>
      <c r="C5" s="545">
        <f t="shared" ref="C5:C34" si="0">D5-B5</f>
        <v>0</v>
      </c>
      <c r="D5" s="501">
        <v>400</v>
      </c>
      <c r="G5" s="473" t="s">
        <v>3</v>
      </c>
      <c r="H5" s="554">
        <v>29</v>
      </c>
      <c r="I5" s="550">
        <f>(H5/171)*100</f>
        <v>16.959064327485379</v>
      </c>
      <c r="L5" s="59" t="s">
        <v>84</v>
      </c>
      <c r="M5" s="335">
        <f>1</f>
        <v>1</v>
      </c>
      <c r="N5" s="335">
        <v>0</v>
      </c>
      <c r="O5" s="336">
        <f>1</f>
        <v>1</v>
      </c>
      <c r="P5" s="336">
        <v>0</v>
      </c>
      <c r="Q5" s="337">
        <f>6+1+1</f>
        <v>8</v>
      </c>
      <c r="R5" s="338">
        <f>SUM(M5:Q5)</f>
        <v>10</v>
      </c>
      <c r="S5" s="5"/>
      <c r="T5" s="5"/>
      <c r="U5" s="5"/>
      <c r="V5" s="5"/>
    </row>
    <row r="6" spans="1:22">
      <c r="A6" s="520" t="s">
        <v>3</v>
      </c>
      <c r="B6" s="501">
        <v>170.8900000000001</v>
      </c>
      <c r="C6" s="545">
        <f t="shared" si="0"/>
        <v>29.1099999999999</v>
      </c>
      <c r="D6" s="501">
        <v>200</v>
      </c>
      <c r="G6" s="479" t="s">
        <v>4</v>
      </c>
      <c r="H6" s="554">
        <v>3</v>
      </c>
      <c r="I6" s="550">
        <f>(H6/297)*100</f>
        <v>1.0101010101010102</v>
      </c>
      <c r="L6" s="59" t="s">
        <v>85</v>
      </c>
      <c r="M6" s="335">
        <f>1+1+1</f>
        <v>3</v>
      </c>
      <c r="N6" s="335">
        <f>1</f>
        <v>1</v>
      </c>
      <c r="O6" s="335">
        <v>0</v>
      </c>
      <c r="P6" s="335">
        <v>0</v>
      </c>
      <c r="Q6" s="335">
        <f>3+5+2+3+2+1+3</f>
        <v>19</v>
      </c>
      <c r="R6" s="59">
        <f t="shared" ref="R6:R15" si="1">SUM(M6:Q6)</f>
        <v>23</v>
      </c>
      <c r="S6" s="5"/>
      <c r="T6" s="5"/>
      <c r="U6" s="5"/>
      <c r="V6" s="5"/>
    </row>
    <row r="7" spans="1:22">
      <c r="A7" s="520" t="s">
        <v>4</v>
      </c>
      <c r="B7" s="501">
        <v>296.99499999999949</v>
      </c>
      <c r="C7" s="545">
        <f t="shared" si="0"/>
        <v>3.005000000000507</v>
      </c>
      <c r="D7" s="501">
        <v>300</v>
      </c>
      <c r="G7" s="473" t="s">
        <v>5</v>
      </c>
      <c r="H7" s="554">
        <v>124</v>
      </c>
      <c r="I7" s="550">
        <f>(H7/876)*100</f>
        <v>14.15525114155251</v>
      </c>
      <c r="L7" s="59" t="s">
        <v>86</v>
      </c>
      <c r="M7" s="335">
        <f>1+1</f>
        <v>2</v>
      </c>
      <c r="N7" s="335">
        <v>0</v>
      </c>
      <c r="O7" s="335">
        <v>0</v>
      </c>
      <c r="P7" s="335">
        <v>0</v>
      </c>
      <c r="Q7" s="335">
        <f>3+3</f>
        <v>6</v>
      </c>
      <c r="R7" s="59">
        <f t="shared" si="1"/>
        <v>8</v>
      </c>
      <c r="S7" s="5"/>
      <c r="T7" s="481" t="s">
        <v>498</v>
      </c>
      <c r="U7" s="481" t="s">
        <v>499</v>
      </c>
      <c r="V7" s="340" t="s">
        <v>500</v>
      </c>
    </row>
    <row r="8" spans="1:22">
      <c r="A8" s="520" t="s">
        <v>5</v>
      </c>
      <c r="B8" s="501">
        <v>876.12000000000012</v>
      </c>
      <c r="C8" s="545">
        <f t="shared" si="0"/>
        <v>123.87999999999988</v>
      </c>
      <c r="D8" s="501">
        <v>1000</v>
      </c>
      <c r="G8" s="473" t="s">
        <v>6</v>
      </c>
      <c r="H8" s="554">
        <v>240</v>
      </c>
      <c r="I8" s="550">
        <f>(H8/1260)*100</f>
        <v>19.047619047619047</v>
      </c>
      <c r="L8" s="59" t="s">
        <v>87</v>
      </c>
      <c r="M8" s="335">
        <f>1</f>
        <v>1</v>
      </c>
      <c r="N8" s="335">
        <v>0</v>
      </c>
      <c r="O8" s="335">
        <f>1</f>
        <v>1</v>
      </c>
      <c r="P8" s="335">
        <f>1+1</f>
        <v>2</v>
      </c>
      <c r="Q8" s="337">
        <f>6+5+3+7+3+3+3+10+11+12+2</f>
        <v>65</v>
      </c>
      <c r="R8" s="59">
        <f t="shared" si="1"/>
        <v>69</v>
      </c>
      <c r="S8" s="5"/>
      <c r="T8" s="60" t="s">
        <v>493</v>
      </c>
      <c r="U8" s="60">
        <v>100</v>
      </c>
      <c r="V8" s="492">
        <v>15</v>
      </c>
    </row>
    <row r="9" spans="1:22">
      <c r="A9" s="520" t="s">
        <v>6</v>
      </c>
      <c r="B9" s="501">
        <v>1259.807500000001</v>
      </c>
      <c r="C9" s="545">
        <f t="shared" si="0"/>
        <v>240.19249999999897</v>
      </c>
      <c r="D9" s="501">
        <v>1500</v>
      </c>
      <c r="G9" s="473" t="s">
        <v>9</v>
      </c>
      <c r="H9" s="554">
        <v>76</v>
      </c>
      <c r="I9" s="550">
        <f>(H9/624)*100</f>
        <v>12.179487179487179</v>
      </c>
      <c r="L9" s="59" t="s">
        <v>88</v>
      </c>
      <c r="M9" s="335">
        <f>1+1+1</f>
        <v>3</v>
      </c>
      <c r="N9" s="335">
        <f>1</f>
        <v>1</v>
      </c>
      <c r="O9" s="335">
        <v>0</v>
      </c>
      <c r="P9" s="335">
        <f>1</f>
        <v>1</v>
      </c>
      <c r="Q9" s="335">
        <f>1+2+7+1</f>
        <v>11</v>
      </c>
      <c r="R9" s="59">
        <f t="shared" si="1"/>
        <v>16</v>
      </c>
      <c r="S9" s="486"/>
      <c r="T9" s="341" t="s">
        <v>494</v>
      </c>
      <c r="U9" s="341">
        <v>150</v>
      </c>
      <c r="V9" s="493">
        <v>16.3689</v>
      </c>
    </row>
    <row r="10" spans="1:22">
      <c r="A10" s="520" t="s">
        <v>7</v>
      </c>
      <c r="B10" s="501">
        <v>750</v>
      </c>
      <c r="C10" s="545">
        <f t="shared" si="0"/>
        <v>0</v>
      </c>
      <c r="D10" s="501">
        <v>750</v>
      </c>
      <c r="G10" s="479" t="s">
        <v>10</v>
      </c>
      <c r="H10" s="554">
        <v>2</v>
      </c>
      <c r="I10" s="550">
        <f>(H10/298)*100</f>
        <v>0.67114093959731547</v>
      </c>
      <c r="L10" s="59" t="s">
        <v>89</v>
      </c>
      <c r="M10" s="335">
        <f>1</f>
        <v>1</v>
      </c>
      <c r="N10" s="335">
        <v>0</v>
      </c>
      <c r="O10" s="335">
        <f>1</f>
        <v>1</v>
      </c>
      <c r="P10" s="335">
        <v>0</v>
      </c>
      <c r="Q10" s="335">
        <f>3+3+1+1</f>
        <v>8</v>
      </c>
      <c r="R10" s="59">
        <f t="shared" si="1"/>
        <v>10</v>
      </c>
      <c r="S10" s="482"/>
      <c r="T10" s="341" t="s">
        <v>495</v>
      </c>
      <c r="U10" s="341">
        <v>200</v>
      </c>
      <c r="V10" s="493">
        <v>16.746700000000001</v>
      </c>
    </row>
    <row r="11" spans="1:22">
      <c r="A11" s="520" t="s">
        <v>8</v>
      </c>
      <c r="B11" s="501">
        <v>1000</v>
      </c>
      <c r="C11" s="545">
        <f t="shared" si="0"/>
        <v>0</v>
      </c>
      <c r="D11" s="501">
        <v>1000</v>
      </c>
      <c r="G11" s="473" t="s">
        <v>11</v>
      </c>
      <c r="H11" s="554">
        <v>222</v>
      </c>
      <c r="I11" s="550">
        <f>(H11/678)*100</f>
        <v>32.743362831858406</v>
      </c>
      <c r="L11" s="59" t="s">
        <v>90</v>
      </c>
      <c r="M11" s="335">
        <f>1+1</f>
        <v>2</v>
      </c>
      <c r="N11" s="335">
        <v>0</v>
      </c>
      <c r="O11" s="335">
        <v>0</v>
      </c>
      <c r="P11" s="335">
        <f>1</f>
        <v>1</v>
      </c>
      <c r="Q11" s="335">
        <f>2+3</f>
        <v>5</v>
      </c>
      <c r="R11" s="59">
        <f t="shared" si="1"/>
        <v>8</v>
      </c>
      <c r="S11" s="482"/>
      <c r="T11" s="341" t="s">
        <v>496</v>
      </c>
      <c r="U11" s="341">
        <v>250</v>
      </c>
      <c r="V11" s="493">
        <v>16.886600000000001</v>
      </c>
    </row>
    <row r="12" spans="1:22">
      <c r="A12" s="520" t="s">
        <v>9</v>
      </c>
      <c r="B12" s="501">
        <v>624.1108333333334</v>
      </c>
      <c r="C12" s="545">
        <f t="shared" si="0"/>
        <v>75.889166666666597</v>
      </c>
      <c r="D12" s="501">
        <v>700</v>
      </c>
      <c r="G12" s="473" t="s">
        <v>12</v>
      </c>
      <c r="H12" s="554">
        <v>213</v>
      </c>
      <c r="I12" s="550">
        <f>(H12/687)*100</f>
        <v>31.004366812227076</v>
      </c>
      <c r="L12" s="59" t="s">
        <v>91</v>
      </c>
      <c r="M12" s="335">
        <f>1+1</f>
        <v>2</v>
      </c>
      <c r="N12" s="335">
        <v>0</v>
      </c>
      <c r="O12" s="335">
        <v>0</v>
      </c>
      <c r="P12" s="335">
        <f>1+1</f>
        <v>2</v>
      </c>
      <c r="Q12" s="335">
        <f>1+1+3+1+1+1+1</f>
        <v>9</v>
      </c>
      <c r="R12" s="59">
        <f t="shared" si="1"/>
        <v>13</v>
      </c>
      <c r="S12" s="486"/>
      <c r="T12" s="342" t="s">
        <v>562</v>
      </c>
      <c r="U12" s="342">
        <v>300</v>
      </c>
      <c r="V12" s="494">
        <v>17</v>
      </c>
    </row>
    <row r="13" spans="1:22">
      <c r="A13" s="520" t="s">
        <v>10</v>
      </c>
      <c r="B13" s="501">
        <v>297.58499999999958</v>
      </c>
      <c r="C13" s="545">
        <f t="shared" si="0"/>
        <v>2.4150000000004184</v>
      </c>
      <c r="D13" s="501">
        <v>300</v>
      </c>
      <c r="G13" s="473" t="s">
        <v>13</v>
      </c>
      <c r="H13" s="554">
        <v>13</v>
      </c>
      <c r="I13" s="550">
        <f>(H13/87)*100</f>
        <v>14.942528735632186</v>
      </c>
      <c r="L13" s="59" t="s">
        <v>92</v>
      </c>
      <c r="M13" s="335">
        <v>0</v>
      </c>
      <c r="N13" s="335">
        <v>0</v>
      </c>
      <c r="O13" s="335">
        <v>0</v>
      </c>
      <c r="P13" s="335">
        <v>0</v>
      </c>
      <c r="Q13" s="337">
        <f>3+10+1+1</f>
        <v>15</v>
      </c>
      <c r="R13" s="59">
        <f t="shared" si="1"/>
        <v>15</v>
      </c>
      <c r="S13" s="486"/>
      <c r="T13" s="486"/>
      <c r="U13" s="486"/>
      <c r="V13" s="5"/>
    </row>
    <row r="14" spans="1:22">
      <c r="A14" s="520" t="s">
        <v>11</v>
      </c>
      <c r="B14" s="501">
        <v>678.00083333333373</v>
      </c>
      <c r="C14" s="545">
        <f t="shared" si="0"/>
        <v>221.99916666666627</v>
      </c>
      <c r="D14" s="501">
        <v>900</v>
      </c>
      <c r="G14" s="473" t="s">
        <v>14</v>
      </c>
      <c r="H14" s="554">
        <v>364</v>
      </c>
      <c r="I14" s="550">
        <f>(H14/1736)*100</f>
        <v>20.967741935483872</v>
      </c>
      <c r="L14" s="59" t="s">
        <v>93</v>
      </c>
      <c r="M14" s="335">
        <f>1</f>
        <v>1</v>
      </c>
      <c r="N14" s="335">
        <v>0</v>
      </c>
      <c r="O14" s="335">
        <v>0</v>
      </c>
      <c r="P14" s="335">
        <v>0</v>
      </c>
      <c r="Q14" s="337">
        <f>11+1</f>
        <v>12</v>
      </c>
      <c r="R14" s="59">
        <f t="shared" si="1"/>
        <v>13</v>
      </c>
      <c r="S14" s="486"/>
      <c r="T14" s="486"/>
      <c r="U14" s="486"/>
      <c r="V14" s="5"/>
    </row>
    <row r="15" spans="1:22">
      <c r="A15" s="520" t="s">
        <v>12</v>
      </c>
      <c r="B15" s="501">
        <v>687.36</v>
      </c>
      <c r="C15" s="545">
        <f t="shared" si="0"/>
        <v>212.64</v>
      </c>
      <c r="D15" s="501">
        <v>900</v>
      </c>
      <c r="G15" s="479" t="s">
        <v>15</v>
      </c>
      <c r="H15" s="554">
        <v>1</v>
      </c>
      <c r="I15" s="550">
        <f>(H15/899)*100</f>
        <v>0.11123470522803114</v>
      </c>
      <c r="L15" s="59" t="s">
        <v>94</v>
      </c>
      <c r="M15" s="335">
        <f>1</f>
        <v>1</v>
      </c>
      <c r="N15" s="335">
        <v>0</v>
      </c>
      <c r="O15" s="335">
        <v>0</v>
      </c>
      <c r="P15" s="335">
        <v>0</v>
      </c>
      <c r="Q15" s="337">
        <f>12+1+1</f>
        <v>14</v>
      </c>
      <c r="R15" s="59">
        <f t="shared" si="1"/>
        <v>15</v>
      </c>
      <c r="S15" s="18"/>
      <c r="T15" s="18"/>
      <c r="U15" s="486"/>
      <c r="V15" s="5"/>
    </row>
    <row r="16" spans="1:22">
      <c r="A16" s="520" t="s">
        <v>13</v>
      </c>
      <c r="B16" s="501">
        <v>87.084999999999951</v>
      </c>
      <c r="C16" s="545">
        <f t="shared" si="0"/>
        <v>12.915000000000049</v>
      </c>
      <c r="D16" s="501">
        <v>100</v>
      </c>
      <c r="G16" s="473" t="s">
        <v>16</v>
      </c>
      <c r="H16" s="554">
        <v>428</v>
      </c>
      <c r="I16" s="550">
        <f>(H16/722)*100</f>
        <v>59.279778393351798</v>
      </c>
      <c r="L16" s="343" t="s">
        <v>492</v>
      </c>
      <c r="M16" s="335">
        <f>1</f>
        <v>1</v>
      </c>
      <c r="N16" s="335">
        <v>0</v>
      </c>
      <c r="O16" s="344">
        <f>1</f>
        <v>1</v>
      </c>
      <c r="P16" s="335">
        <v>0</v>
      </c>
      <c r="Q16" s="344">
        <f>2</f>
        <v>2</v>
      </c>
      <c r="R16" s="343">
        <f>SUM(M16:Q16)</f>
        <v>4</v>
      </c>
    </row>
    <row r="17" spans="1:22">
      <c r="A17" s="520" t="s">
        <v>14</v>
      </c>
      <c r="B17" s="501">
        <v>1735.833333333333</v>
      </c>
      <c r="C17" s="545">
        <f t="shared" si="0"/>
        <v>364.16666666666697</v>
      </c>
      <c r="D17" s="501">
        <v>2100</v>
      </c>
      <c r="G17" s="473" t="s">
        <v>19</v>
      </c>
      <c r="H17" s="554">
        <v>1207</v>
      </c>
      <c r="I17" s="550">
        <f>(H17/2093)*100</f>
        <v>57.668418537983754</v>
      </c>
      <c r="L17" s="290" t="s">
        <v>501</v>
      </c>
      <c r="M17" s="345">
        <f t="shared" ref="M17:R17" si="2">SUM(M5:M16)</f>
        <v>18</v>
      </c>
      <c r="N17" s="345">
        <f t="shared" si="2"/>
        <v>2</v>
      </c>
      <c r="O17" s="345">
        <f t="shared" si="2"/>
        <v>4</v>
      </c>
      <c r="P17" s="345">
        <f t="shared" si="2"/>
        <v>6</v>
      </c>
      <c r="Q17" s="345">
        <f t="shared" si="2"/>
        <v>174</v>
      </c>
      <c r="R17" s="346">
        <f t="shared" si="2"/>
        <v>204</v>
      </c>
    </row>
    <row r="18" spans="1:22">
      <c r="A18" s="520" t="s">
        <v>15</v>
      </c>
      <c r="B18" s="501">
        <v>898.79500000000007</v>
      </c>
      <c r="C18" s="545">
        <f t="shared" si="0"/>
        <v>1.2049999999999272</v>
      </c>
      <c r="D18" s="501">
        <v>900</v>
      </c>
      <c r="G18" s="473" t="s">
        <v>20</v>
      </c>
      <c r="H18" s="554">
        <v>1359</v>
      </c>
      <c r="I18" s="550">
        <f>(H18/2241)*100</f>
        <v>60.642570281124499</v>
      </c>
      <c r="L18" s="290" t="s">
        <v>500</v>
      </c>
      <c r="M18" s="347">
        <f>PRODUCT(M17*V8)</f>
        <v>270</v>
      </c>
      <c r="N18" s="489">
        <f>PRODUCT(N17*V9)</f>
        <v>32.7378</v>
      </c>
      <c r="O18" s="489">
        <f>PRODUCT(O17*V10)</f>
        <v>66.986800000000002</v>
      </c>
      <c r="P18" s="489">
        <f>PRODUCT(P17*V11)</f>
        <v>101.31960000000001</v>
      </c>
      <c r="Q18" s="489">
        <f>PRODUCT(Q17*V12)</f>
        <v>2958</v>
      </c>
      <c r="R18" s="490">
        <f>SUM(M18:Q18)</f>
        <v>3429.0442000000003</v>
      </c>
    </row>
    <row r="19" spans="1:22">
      <c r="A19" s="520" t="s">
        <v>16</v>
      </c>
      <c r="B19" s="501">
        <v>722.15166666666642</v>
      </c>
      <c r="C19" s="545">
        <f t="shared" si="0"/>
        <v>427.84833333333358</v>
      </c>
      <c r="D19" s="501">
        <v>1150</v>
      </c>
      <c r="G19" s="473" t="s">
        <v>21</v>
      </c>
      <c r="H19" s="554">
        <v>178</v>
      </c>
      <c r="I19" s="550">
        <f>(H19/622)*100</f>
        <v>28.617363344051448</v>
      </c>
      <c r="L19" s="290" t="s">
        <v>499</v>
      </c>
      <c r="M19" s="347">
        <f>M17*U8</f>
        <v>1800</v>
      </c>
      <c r="N19" s="347">
        <f>N17*U9</f>
        <v>300</v>
      </c>
      <c r="O19" s="347">
        <f>O17*U10</f>
        <v>800</v>
      </c>
      <c r="P19" s="347">
        <f>P17*U11</f>
        <v>1500</v>
      </c>
      <c r="Q19" s="347">
        <f>Q17*U12</f>
        <v>52200</v>
      </c>
      <c r="R19" s="290">
        <f>SUM(M19:Q19)</f>
        <v>56600</v>
      </c>
    </row>
    <row r="20" spans="1:22">
      <c r="A20" s="520" t="s">
        <v>17</v>
      </c>
      <c r="B20" s="501">
        <v>1249.54</v>
      </c>
      <c r="C20" s="545">
        <f t="shared" si="0"/>
        <v>0.46000000000003638</v>
      </c>
      <c r="D20" s="501">
        <v>1250</v>
      </c>
      <c r="G20" s="473" t="s">
        <v>22</v>
      </c>
      <c r="H20" s="554">
        <v>51</v>
      </c>
      <c r="I20" s="550">
        <f>(H20/249)*100</f>
        <v>20.481927710843372</v>
      </c>
    </row>
    <row r="21" spans="1:22">
      <c r="A21" s="520" t="s">
        <v>18</v>
      </c>
      <c r="B21" s="501">
        <v>3000</v>
      </c>
      <c r="C21" s="545">
        <f t="shared" si="0"/>
        <v>0</v>
      </c>
      <c r="D21" s="501">
        <v>3000</v>
      </c>
      <c r="G21" s="473" t="s">
        <v>23</v>
      </c>
      <c r="H21" s="554">
        <v>4</v>
      </c>
      <c r="I21" s="550">
        <f>(H21/96)*100</f>
        <v>4.1666666666666661</v>
      </c>
    </row>
    <row r="22" spans="1:22">
      <c r="A22" s="520" t="s">
        <v>19</v>
      </c>
      <c r="B22" s="501">
        <v>2092.7525000000001</v>
      </c>
      <c r="C22" s="545">
        <f t="shared" si="0"/>
        <v>1207.2474999999999</v>
      </c>
      <c r="D22" s="501">
        <v>3300</v>
      </c>
      <c r="G22" s="479" t="s">
        <v>24</v>
      </c>
      <c r="H22" s="554">
        <v>6</v>
      </c>
      <c r="I22" s="550">
        <f>(H22/244)*100</f>
        <v>2.459016393442623</v>
      </c>
      <c r="L22" s="260"/>
      <c r="M22" s="260"/>
      <c r="N22" s="260"/>
      <c r="O22" s="260"/>
      <c r="P22" s="260"/>
      <c r="Q22" s="260"/>
      <c r="R22" s="260"/>
      <c r="S22" s="260"/>
      <c r="T22" s="260"/>
      <c r="U22" s="260"/>
      <c r="V22" s="260"/>
    </row>
    <row r="23" spans="1:22">
      <c r="A23" s="520" t="s">
        <v>20</v>
      </c>
      <c r="B23" s="501">
        <v>2241.0125000000012</v>
      </c>
      <c r="C23" s="545">
        <f t="shared" si="0"/>
        <v>1358.9874999999988</v>
      </c>
      <c r="D23" s="501">
        <v>3600</v>
      </c>
      <c r="G23" s="479" t="s">
        <v>25</v>
      </c>
      <c r="H23" s="554">
        <v>12</v>
      </c>
      <c r="I23" s="550">
        <f>(H23/288)*100</f>
        <v>4.1666666666666661</v>
      </c>
    </row>
    <row r="24" spans="1:22">
      <c r="A24" s="520" t="s">
        <v>21</v>
      </c>
      <c r="B24" s="501">
        <v>621.76249999999993</v>
      </c>
      <c r="C24" s="545">
        <f t="shared" si="0"/>
        <v>178.23750000000007</v>
      </c>
      <c r="D24" s="501">
        <v>800</v>
      </c>
      <c r="G24" s="479" t="s">
        <v>27</v>
      </c>
      <c r="H24" s="554">
        <v>2</v>
      </c>
      <c r="I24" s="550">
        <f>(H24/298)*100</f>
        <v>0.67114093959731547</v>
      </c>
      <c r="L24" s="548"/>
      <c r="M24" s="548"/>
      <c r="N24" s="548"/>
      <c r="O24" s="548"/>
      <c r="P24" s="548"/>
      <c r="Q24" s="548"/>
      <c r="R24" s="548"/>
    </row>
    <row r="25" spans="1:22">
      <c r="A25" s="520" t="s">
        <v>22</v>
      </c>
      <c r="B25" s="501">
        <v>248.71</v>
      </c>
      <c r="C25" s="545">
        <f t="shared" si="0"/>
        <v>51.289999999999992</v>
      </c>
      <c r="D25" s="501">
        <v>300</v>
      </c>
      <c r="G25" s="479" t="s">
        <v>28</v>
      </c>
      <c r="H25" s="554">
        <v>25</v>
      </c>
      <c r="I25" s="550">
        <f>(H25/275)*100</f>
        <v>9.0909090909090917</v>
      </c>
    </row>
    <row r="26" spans="1:22" ht="15.75" thickBot="1">
      <c r="A26" s="520" t="s">
        <v>23</v>
      </c>
      <c r="B26" s="501">
        <v>95.670000000000101</v>
      </c>
      <c r="C26" s="545">
        <f t="shared" si="0"/>
        <v>4.3299999999998988</v>
      </c>
      <c r="D26" s="501">
        <v>100</v>
      </c>
      <c r="G26" s="473" t="s">
        <v>31</v>
      </c>
      <c r="H26" s="554">
        <v>58</v>
      </c>
      <c r="I26" s="550">
        <f>(H26/42)*100</f>
        <v>138.0952380952381</v>
      </c>
    </row>
    <row r="27" spans="1:22">
      <c r="A27" s="520" t="s">
        <v>24</v>
      </c>
      <c r="B27" s="501">
        <v>243.52999999999989</v>
      </c>
      <c r="C27" s="545">
        <f t="shared" si="0"/>
        <v>6.4700000000001125</v>
      </c>
      <c r="D27" s="501">
        <v>250</v>
      </c>
      <c r="G27" s="474" t="s">
        <v>415</v>
      </c>
      <c r="H27" s="555">
        <f>SUM(H5:H26)</f>
        <v>4617</v>
      </c>
      <c r="I27" s="475"/>
    </row>
    <row r="28" spans="1:22" ht="15.75" thickBot="1">
      <c r="A28" s="520" t="s">
        <v>25</v>
      </c>
      <c r="B28" s="501">
        <v>288.4725000000002</v>
      </c>
      <c r="C28" s="545">
        <f t="shared" si="0"/>
        <v>11.527499999999804</v>
      </c>
      <c r="D28" s="501">
        <v>300</v>
      </c>
      <c r="G28" s="552" t="s">
        <v>365</v>
      </c>
      <c r="H28" s="553">
        <f>H27/23681</f>
        <v>0.19496642878256831</v>
      </c>
      <c r="I28" s="480"/>
    </row>
    <row r="29" spans="1:22">
      <c r="A29" s="520" t="s">
        <v>26</v>
      </c>
      <c r="B29" s="501">
        <v>300</v>
      </c>
      <c r="C29" s="545">
        <f t="shared" si="0"/>
        <v>0</v>
      </c>
      <c r="D29" s="501">
        <v>300</v>
      </c>
    </row>
    <row r="30" spans="1:22">
      <c r="A30" s="520" t="s">
        <v>27</v>
      </c>
      <c r="B30" s="501">
        <v>297.63</v>
      </c>
      <c r="C30" s="545">
        <f t="shared" si="0"/>
        <v>2.3700000000000045</v>
      </c>
      <c r="D30" s="501">
        <v>300</v>
      </c>
    </row>
    <row r="31" spans="1:22">
      <c r="A31" s="520" t="s">
        <v>28</v>
      </c>
      <c r="B31" s="501">
        <v>275.4599999999989</v>
      </c>
      <c r="C31" s="545">
        <f t="shared" si="0"/>
        <v>24.5400000000011</v>
      </c>
      <c r="D31" s="501">
        <v>300</v>
      </c>
      <c r="G31" s="260"/>
      <c r="H31" s="260"/>
      <c r="I31" s="260"/>
    </row>
    <row r="32" spans="1:22">
      <c r="A32" s="520" t="s">
        <v>29</v>
      </c>
      <c r="B32" s="501">
        <v>100.0000000000001</v>
      </c>
      <c r="C32" s="545">
        <f t="shared" si="0"/>
        <v>0</v>
      </c>
      <c r="D32" s="501">
        <v>100</v>
      </c>
      <c r="J32" s="260"/>
    </row>
    <row r="33" spans="1:4">
      <c r="A33" s="520" t="s">
        <v>30</v>
      </c>
      <c r="B33" s="501">
        <v>300.0000000000004</v>
      </c>
      <c r="C33" s="545">
        <f t="shared" si="0"/>
        <v>0</v>
      </c>
      <c r="D33" s="501">
        <v>300</v>
      </c>
    </row>
    <row r="34" spans="1:4" ht="15.75" thickBot="1">
      <c r="A34" s="533" t="s">
        <v>31</v>
      </c>
      <c r="B34" s="504">
        <v>42.21</v>
      </c>
      <c r="C34" s="546">
        <f t="shared" si="0"/>
        <v>57.79</v>
      </c>
      <c r="D34" s="504">
        <v>100</v>
      </c>
    </row>
    <row r="35" spans="1:4" ht="15.75" thickBot="1">
      <c r="A35" s="537" t="s">
        <v>602</v>
      </c>
      <c r="B35" s="538">
        <f>SUM(B4:B34)</f>
        <v>23681.484166666665</v>
      </c>
      <c r="C35" s="547">
        <f>SUM(C4:C34)</f>
        <v>4618.5158333333338</v>
      </c>
      <c r="D35" s="539">
        <f>SUM(D4:D34)</f>
        <v>28300</v>
      </c>
    </row>
  </sheetData>
  <mergeCells count="3">
    <mergeCell ref="G2:H2"/>
    <mergeCell ref="A1:D2"/>
    <mergeCell ref="L3:R3"/>
  </mergeCells>
  <conditionalFormatting sqref="M26:R37">
    <cfRule type="cellIs" dxfId="10" priority="4" operator="greaterThan">
      <formula>0</formula>
    </cfRule>
  </conditionalFormatting>
  <conditionalFormatting sqref="R5:R16">
    <cfRule type="cellIs" dxfId="9" priority="3" operator="greaterThan">
      <formula>0</formula>
    </cfRule>
  </conditionalFormatting>
  <conditionalFormatting sqref="M5:Q16">
    <cfRule type="cellIs" dxfId="8" priority="1" operator="greater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31"/>
  <sheetViews>
    <sheetView tabSelected="1" topLeftCell="N92" zoomScale="110" zoomScaleNormal="110" workbookViewId="0">
      <selection activeCell="Q102" sqref="Q102:Q116"/>
    </sheetView>
  </sheetViews>
  <sheetFormatPr defaultRowHeight="15"/>
  <cols>
    <col min="2" max="2" width="18.140625" customWidth="1"/>
    <col min="3" max="3" width="13.7109375" customWidth="1"/>
    <col min="4" max="4" width="15.140625" customWidth="1"/>
    <col min="7" max="7" width="9.42578125" customWidth="1"/>
    <col min="8" max="8" width="8.28515625" customWidth="1"/>
    <col min="9" max="9" width="12" customWidth="1"/>
    <col min="10" max="10" width="10.5703125" customWidth="1"/>
    <col min="12" max="12" width="8" customWidth="1"/>
    <col min="13" max="13" width="6.7109375" customWidth="1"/>
    <col min="14" max="14" width="10.85546875" customWidth="1"/>
    <col min="15" max="15" width="38" customWidth="1"/>
    <col min="16" max="16" width="22.140625" customWidth="1"/>
    <col min="17" max="17" width="23.85546875" customWidth="1"/>
    <col min="18" max="18" width="16.140625" customWidth="1"/>
    <col min="19" max="19" width="9.7109375" customWidth="1"/>
    <col min="20" max="20" width="10" customWidth="1"/>
  </cols>
  <sheetData>
    <row r="3" spans="2:27">
      <c r="F3" s="234"/>
      <c r="G3" s="234"/>
      <c r="H3" s="234"/>
    </row>
    <row r="4" spans="2:27">
      <c r="B4" s="560"/>
      <c r="C4" s="560"/>
      <c r="D4" s="560"/>
      <c r="F4" s="560"/>
      <c r="G4" s="560"/>
      <c r="H4" s="16"/>
      <c r="L4" s="266"/>
      <c r="M4" s="57"/>
      <c r="N4" s="5"/>
    </row>
    <row r="5" spans="2:27">
      <c r="B5" s="297"/>
      <c r="C5" s="297"/>
      <c r="D5" s="297"/>
      <c r="F5" s="11"/>
      <c r="G5" s="11"/>
      <c r="H5" s="11"/>
      <c r="L5" s="399"/>
      <c r="M5" s="399"/>
      <c r="N5" s="399"/>
      <c r="P5" s="266"/>
      <c r="Q5" s="57"/>
      <c r="R5" s="5"/>
      <c r="S5" s="5"/>
    </row>
    <row r="6" spans="2:27">
      <c r="B6" s="557" t="s">
        <v>557</v>
      </c>
      <c r="C6" s="558"/>
      <c r="D6" s="558"/>
      <c r="E6" s="558"/>
      <c r="F6" s="558"/>
      <c r="G6" s="559"/>
      <c r="H6" s="154"/>
      <c r="I6" s="398"/>
      <c r="J6" s="557" t="s">
        <v>514</v>
      </c>
      <c r="K6" s="558"/>
      <c r="L6" s="558"/>
      <c r="M6" s="558"/>
      <c r="N6" s="558"/>
      <c r="O6" s="559"/>
      <c r="P6" s="154"/>
      <c r="Q6" s="399"/>
      <c r="R6" s="557" t="s">
        <v>545</v>
      </c>
      <c r="S6" s="558"/>
      <c r="T6" s="558"/>
      <c r="U6" s="558"/>
      <c r="V6" s="558"/>
      <c r="W6" s="559"/>
      <c r="X6" s="154"/>
    </row>
    <row r="7" spans="2:27">
      <c r="B7" s="331" t="s">
        <v>491</v>
      </c>
      <c r="C7" s="332" t="s">
        <v>493</v>
      </c>
      <c r="D7" s="332" t="s">
        <v>494</v>
      </c>
      <c r="E7" s="332" t="s">
        <v>495</v>
      </c>
      <c r="F7" s="333" t="s">
        <v>496</v>
      </c>
      <c r="G7" s="334" t="s">
        <v>497</v>
      </c>
      <c r="H7" s="290" t="s">
        <v>415</v>
      </c>
      <c r="I7" s="399"/>
      <c r="J7" s="331" t="s">
        <v>491</v>
      </c>
      <c r="K7" s="332" t="s">
        <v>493</v>
      </c>
      <c r="L7" s="332" t="s">
        <v>494</v>
      </c>
      <c r="M7" s="332" t="s">
        <v>495</v>
      </c>
      <c r="N7" s="333" t="s">
        <v>496</v>
      </c>
      <c r="O7" s="334" t="s">
        <v>497</v>
      </c>
      <c r="P7" s="290" t="s">
        <v>415</v>
      </c>
      <c r="Q7" s="399"/>
      <c r="R7" s="331" t="s">
        <v>491</v>
      </c>
      <c r="S7" s="332" t="s">
        <v>493</v>
      </c>
      <c r="T7" s="332" t="s">
        <v>494</v>
      </c>
      <c r="U7" s="332" t="s">
        <v>495</v>
      </c>
      <c r="V7" s="333" t="s">
        <v>496</v>
      </c>
      <c r="W7" s="334" t="s">
        <v>497</v>
      </c>
      <c r="X7" s="290" t="s">
        <v>415</v>
      </c>
    </row>
    <row r="8" spans="2:27">
      <c r="B8" s="59" t="s">
        <v>84</v>
      </c>
      <c r="C8" s="335">
        <v>0</v>
      </c>
      <c r="D8" s="335">
        <v>0</v>
      </c>
      <c r="E8" s="336">
        <v>0</v>
      </c>
      <c r="F8" s="336">
        <v>0</v>
      </c>
      <c r="G8" s="337">
        <v>0</v>
      </c>
      <c r="H8" s="338">
        <f>SUM(C8:G8)</f>
        <v>0</v>
      </c>
      <c r="I8" s="398"/>
      <c r="J8" s="59" t="s">
        <v>84</v>
      </c>
      <c r="K8" s="335">
        <v>1</v>
      </c>
      <c r="L8" s="335">
        <v>0</v>
      </c>
      <c r="M8" s="336">
        <v>0</v>
      </c>
      <c r="N8" s="336">
        <v>0</v>
      </c>
      <c r="O8" s="337">
        <v>0</v>
      </c>
      <c r="P8" s="338">
        <f>SUM(K8:O8)</f>
        <v>1</v>
      </c>
      <c r="Q8" s="398"/>
      <c r="R8" s="59" t="s">
        <v>84</v>
      </c>
      <c r="S8" s="335">
        <v>0</v>
      </c>
      <c r="T8" s="335">
        <v>0</v>
      </c>
      <c r="U8" s="336">
        <v>1</v>
      </c>
      <c r="V8" s="336">
        <v>0</v>
      </c>
      <c r="W8" s="337">
        <v>0</v>
      </c>
      <c r="X8" s="338">
        <f>SUM(S8:W8)</f>
        <v>1</v>
      </c>
    </row>
    <row r="9" spans="2:27">
      <c r="B9" s="59" t="s">
        <v>85</v>
      </c>
      <c r="C9" s="335">
        <v>1</v>
      </c>
      <c r="D9" s="335">
        <v>0</v>
      </c>
      <c r="E9" s="335">
        <v>0</v>
      </c>
      <c r="F9" s="335">
        <v>0</v>
      </c>
      <c r="G9" s="337">
        <v>0</v>
      </c>
      <c r="H9" s="59">
        <f t="shared" ref="H9:H19" si="0">SUM(C9:G9)</f>
        <v>1</v>
      </c>
      <c r="I9" s="399"/>
      <c r="J9" s="59" t="s">
        <v>85</v>
      </c>
      <c r="K9" s="335">
        <v>1</v>
      </c>
      <c r="L9" s="335">
        <v>0</v>
      </c>
      <c r="M9" s="335">
        <v>0</v>
      </c>
      <c r="N9" s="335">
        <v>0</v>
      </c>
      <c r="O9" s="337">
        <v>0</v>
      </c>
      <c r="P9" s="59">
        <f t="shared" ref="P9:P19" si="1">SUM(K9:O9)</f>
        <v>1</v>
      </c>
      <c r="Q9" s="399"/>
      <c r="R9" s="59" t="s">
        <v>85</v>
      </c>
      <c r="S9" s="335">
        <v>1</v>
      </c>
      <c r="T9" s="335">
        <v>5</v>
      </c>
      <c r="U9" s="335">
        <v>0</v>
      </c>
      <c r="V9" s="335">
        <v>0</v>
      </c>
      <c r="W9" s="337">
        <v>0</v>
      </c>
      <c r="X9" s="59">
        <f t="shared" ref="X9:X19" si="2">SUM(S9:W9)</f>
        <v>6</v>
      </c>
    </row>
    <row r="10" spans="2:27">
      <c r="B10" s="59" t="s">
        <v>86</v>
      </c>
      <c r="C10" s="335">
        <v>0</v>
      </c>
      <c r="D10" s="335">
        <v>0</v>
      </c>
      <c r="E10" s="335">
        <v>0</v>
      </c>
      <c r="F10" s="335">
        <v>0</v>
      </c>
      <c r="G10" s="337">
        <v>0</v>
      </c>
      <c r="H10" s="59">
        <f t="shared" si="0"/>
        <v>0</v>
      </c>
      <c r="I10" s="399"/>
      <c r="J10" s="59" t="s">
        <v>86</v>
      </c>
      <c r="K10" s="335">
        <v>1</v>
      </c>
      <c r="L10" s="335">
        <v>0</v>
      </c>
      <c r="M10" s="335">
        <v>0</v>
      </c>
      <c r="N10" s="335">
        <v>0</v>
      </c>
      <c r="O10" s="337">
        <v>0</v>
      </c>
      <c r="P10" s="59">
        <f t="shared" si="1"/>
        <v>1</v>
      </c>
      <c r="Q10" s="399"/>
      <c r="R10" s="59" t="s">
        <v>86</v>
      </c>
      <c r="S10" s="335">
        <v>1</v>
      </c>
      <c r="T10" s="335">
        <v>1</v>
      </c>
      <c r="U10" s="335">
        <v>2</v>
      </c>
      <c r="V10" s="335">
        <v>0</v>
      </c>
      <c r="W10" s="337">
        <v>0</v>
      </c>
      <c r="X10" s="59">
        <f t="shared" si="2"/>
        <v>4</v>
      </c>
    </row>
    <row r="11" spans="2:27">
      <c r="B11" s="59" t="s">
        <v>87</v>
      </c>
      <c r="C11" s="335">
        <v>0</v>
      </c>
      <c r="D11" s="335">
        <v>3</v>
      </c>
      <c r="E11" s="335">
        <v>0</v>
      </c>
      <c r="F11" s="335">
        <v>0</v>
      </c>
      <c r="G11" s="337">
        <v>0</v>
      </c>
      <c r="H11" s="59">
        <f t="shared" si="0"/>
        <v>3</v>
      </c>
      <c r="I11" s="399"/>
      <c r="J11" s="59" t="s">
        <v>87</v>
      </c>
      <c r="K11" s="335">
        <v>1</v>
      </c>
      <c r="L11" s="335">
        <v>3</v>
      </c>
      <c r="M11" s="335">
        <v>0</v>
      </c>
      <c r="N11" s="335">
        <v>0</v>
      </c>
      <c r="O11" s="337">
        <v>0</v>
      </c>
      <c r="P11" s="59">
        <f t="shared" si="1"/>
        <v>4</v>
      </c>
      <c r="Q11" s="399"/>
      <c r="R11" s="59" t="s">
        <v>87</v>
      </c>
      <c r="S11" s="335">
        <v>1</v>
      </c>
      <c r="T11" s="335">
        <v>1</v>
      </c>
      <c r="U11" s="335">
        <v>6</v>
      </c>
      <c r="V11" s="335">
        <v>0</v>
      </c>
      <c r="W11" s="337">
        <v>0</v>
      </c>
      <c r="X11" s="59">
        <f t="shared" si="2"/>
        <v>8</v>
      </c>
    </row>
    <row r="12" spans="2:27">
      <c r="B12" s="59" t="s">
        <v>88</v>
      </c>
      <c r="C12" s="335">
        <v>1</v>
      </c>
      <c r="D12" s="335">
        <v>0</v>
      </c>
      <c r="E12" s="335">
        <v>0</v>
      </c>
      <c r="F12" s="335">
        <v>0</v>
      </c>
      <c r="G12" s="337">
        <v>0</v>
      </c>
      <c r="H12" s="59">
        <f t="shared" si="0"/>
        <v>1</v>
      </c>
      <c r="I12" s="399"/>
      <c r="J12" s="59" t="s">
        <v>88</v>
      </c>
      <c r="K12" s="335">
        <v>0</v>
      </c>
      <c r="L12" s="335">
        <v>1</v>
      </c>
      <c r="M12" s="335">
        <v>0</v>
      </c>
      <c r="N12" s="335">
        <v>0</v>
      </c>
      <c r="O12" s="337">
        <v>0</v>
      </c>
      <c r="P12" s="59">
        <f t="shared" si="1"/>
        <v>1</v>
      </c>
      <c r="Q12" s="399"/>
      <c r="R12" s="59" t="s">
        <v>88</v>
      </c>
      <c r="S12" s="335">
        <v>1</v>
      </c>
      <c r="T12" s="335">
        <v>4</v>
      </c>
      <c r="U12" s="335">
        <v>9</v>
      </c>
      <c r="V12" s="335">
        <v>1</v>
      </c>
      <c r="W12" s="337">
        <v>0</v>
      </c>
      <c r="X12" s="59">
        <f t="shared" si="2"/>
        <v>15</v>
      </c>
      <c r="Z12" s="290" t="s">
        <v>467</v>
      </c>
      <c r="AA12" s="290" t="s">
        <v>468</v>
      </c>
    </row>
    <row r="13" spans="2:27">
      <c r="B13" s="59" t="s">
        <v>89</v>
      </c>
      <c r="C13" s="335">
        <v>1</v>
      </c>
      <c r="D13" s="335">
        <v>0</v>
      </c>
      <c r="E13" s="335">
        <v>0</v>
      </c>
      <c r="F13" s="335">
        <v>0</v>
      </c>
      <c r="G13" s="337">
        <v>0</v>
      </c>
      <c r="H13" s="59">
        <f t="shared" si="0"/>
        <v>1</v>
      </c>
      <c r="I13" s="399"/>
      <c r="J13" s="59" t="s">
        <v>89</v>
      </c>
      <c r="K13" s="335">
        <v>1</v>
      </c>
      <c r="L13" s="335">
        <v>0</v>
      </c>
      <c r="M13" s="335">
        <v>0</v>
      </c>
      <c r="N13" s="335">
        <v>0</v>
      </c>
      <c r="O13" s="337">
        <v>0</v>
      </c>
      <c r="P13" s="59">
        <f t="shared" si="1"/>
        <v>1</v>
      </c>
      <c r="Q13" s="399"/>
      <c r="R13" s="59" t="s">
        <v>89</v>
      </c>
      <c r="S13" s="335">
        <v>0</v>
      </c>
      <c r="T13" s="335">
        <v>0</v>
      </c>
      <c r="U13" s="335">
        <v>0</v>
      </c>
      <c r="V13" s="335">
        <v>1</v>
      </c>
      <c r="W13" s="337">
        <v>0</v>
      </c>
      <c r="X13" s="59">
        <f t="shared" si="2"/>
        <v>1</v>
      </c>
      <c r="Z13" s="291" t="s">
        <v>539</v>
      </c>
      <c r="AA13" s="291">
        <v>1023.13</v>
      </c>
    </row>
    <row r="14" spans="2:27">
      <c r="B14" s="59" t="s">
        <v>90</v>
      </c>
      <c r="C14" s="335">
        <v>1</v>
      </c>
      <c r="D14" s="335">
        <v>0</v>
      </c>
      <c r="E14" s="335">
        <v>0</v>
      </c>
      <c r="F14" s="335">
        <v>0</v>
      </c>
      <c r="G14" s="337">
        <v>0</v>
      </c>
      <c r="H14" s="59">
        <f t="shared" si="0"/>
        <v>1</v>
      </c>
      <c r="I14" s="399"/>
      <c r="J14" s="59" t="s">
        <v>90</v>
      </c>
      <c r="K14" s="335">
        <v>1</v>
      </c>
      <c r="L14" s="335">
        <v>0</v>
      </c>
      <c r="M14" s="335">
        <v>0</v>
      </c>
      <c r="N14" s="335">
        <v>0</v>
      </c>
      <c r="O14" s="337">
        <v>0</v>
      </c>
      <c r="P14" s="59">
        <f t="shared" si="1"/>
        <v>1</v>
      </c>
      <c r="Q14" s="399"/>
      <c r="R14" s="59" t="s">
        <v>90</v>
      </c>
      <c r="S14" s="335">
        <v>0</v>
      </c>
      <c r="T14" s="335">
        <v>1</v>
      </c>
      <c r="U14" s="335">
        <v>2</v>
      </c>
      <c r="V14" s="335">
        <v>0</v>
      </c>
      <c r="W14" s="337">
        <v>0</v>
      </c>
      <c r="X14" s="59">
        <f t="shared" si="2"/>
        <v>3</v>
      </c>
      <c r="Z14" s="291" t="s">
        <v>540</v>
      </c>
      <c r="AA14" s="291">
        <v>792.86</v>
      </c>
    </row>
    <row r="15" spans="2:27">
      <c r="B15" s="59" t="s">
        <v>91</v>
      </c>
      <c r="C15" s="335">
        <v>1</v>
      </c>
      <c r="D15" s="335">
        <v>0</v>
      </c>
      <c r="E15" s="337">
        <v>0</v>
      </c>
      <c r="F15" s="337">
        <v>0</v>
      </c>
      <c r="G15" s="337">
        <v>0</v>
      </c>
      <c r="H15" s="59">
        <f t="shared" si="0"/>
        <v>1</v>
      </c>
      <c r="I15" s="399"/>
      <c r="J15" s="59" t="s">
        <v>91</v>
      </c>
      <c r="K15" s="335">
        <v>1</v>
      </c>
      <c r="L15" s="335">
        <v>0</v>
      </c>
      <c r="M15" s="337">
        <v>0</v>
      </c>
      <c r="N15" s="337">
        <v>0</v>
      </c>
      <c r="O15" s="337">
        <v>0</v>
      </c>
      <c r="P15" s="59">
        <f t="shared" si="1"/>
        <v>1</v>
      </c>
      <c r="Q15" s="399"/>
      <c r="R15" s="59" t="s">
        <v>91</v>
      </c>
      <c r="S15" s="335">
        <v>1</v>
      </c>
      <c r="T15" s="335">
        <v>8</v>
      </c>
      <c r="U15" s="337">
        <v>4</v>
      </c>
      <c r="V15" s="337">
        <v>0</v>
      </c>
      <c r="W15" s="337">
        <v>0</v>
      </c>
      <c r="X15" s="59">
        <f t="shared" si="2"/>
        <v>13</v>
      </c>
      <c r="Z15" s="291" t="s">
        <v>541</v>
      </c>
      <c r="AA15" s="291">
        <v>564.07500000000005</v>
      </c>
    </row>
    <row r="16" spans="2:27">
      <c r="B16" s="59" t="s">
        <v>92</v>
      </c>
      <c r="C16" s="337">
        <v>1</v>
      </c>
      <c r="D16" s="337">
        <v>0</v>
      </c>
      <c r="E16" s="337">
        <v>0</v>
      </c>
      <c r="F16" s="337">
        <v>0</v>
      </c>
      <c r="G16" s="337">
        <v>0</v>
      </c>
      <c r="H16" s="59">
        <f t="shared" si="0"/>
        <v>1</v>
      </c>
      <c r="I16" s="399"/>
      <c r="J16" s="59" t="s">
        <v>92</v>
      </c>
      <c r="K16" s="337">
        <v>0</v>
      </c>
      <c r="L16" s="337">
        <v>0</v>
      </c>
      <c r="M16" s="337">
        <v>0</v>
      </c>
      <c r="N16" s="337">
        <v>0</v>
      </c>
      <c r="O16" s="337">
        <v>0</v>
      </c>
      <c r="P16" s="59">
        <f t="shared" si="1"/>
        <v>0</v>
      </c>
      <c r="Q16" s="18"/>
      <c r="R16" s="59" t="s">
        <v>92</v>
      </c>
      <c r="S16" s="337">
        <v>1</v>
      </c>
      <c r="T16" s="337">
        <v>0</v>
      </c>
      <c r="U16" s="337">
        <v>2</v>
      </c>
      <c r="V16" s="337">
        <v>0</v>
      </c>
      <c r="W16" s="337">
        <v>0</v>
      </c>
      <c r="X16" s="59">
        <f t="shared" si="2"/>
        <v>3</v>
      </c>
      <c r="Z16" s="291" t="s">
        <v>542</v>
      </c>
      <c r="AA16" s="291">
        <v>325.67500000000001</v>
      </c>
    </row>
    <row r="17" spans="2:28">
      <c r="B17" s="59" t="s">
        <v>93</v>
      </c>
      <c r="C17" s="337">
        <v>2</v>
      </c>
      <c r="D17" s="335">
        <v>1</v>
      </c>
      <c r="E17" s="337">
        <v>0</v>
      </c>
      <c r="F17" s="337">
        <v>0</v>
      </c>
      <c r="G17" s="337">
        <v>0</v>
      </c>
      <c r="H17" s="59">
        <f t="shared" si="0"/>
        <v>3</v>
      </c>
      <c r="I17" s="399"/>
      <c r="J17" s="59" t="s">
        <v>93</v>
      </c>
      <c r="K17" s="337">
        <v>1</v>
      </c>
      <c r="L17" s="335">
        <v>2</v>
      </c>
      <c r="M17" s="337">
        <v>0</v>
      </c>
      <c r="N17" s="337">
        <v>0</v>
      </c>
      <c r="O17" s="337">
        <v>0</v>
      </c>
      <c r="P17" s="59">
        <f t="shared" si="1"/>
        <v>3</v>
      </c>
      <c r="Q17" s="18"/>
      <c r="R17" s="59" t="s">
        <v>93</v>
      </c>
      <c r="S17" s="337">
        <v>0</v>
      </c>
      <c r="T17" s="335">
        <v>1</v>
      </c>
      <c r="U17" s="337">
        <v>8</v>
      </c>
      <c r="V17" s="337">
        <v>0</v>
      </c>
      <c r="W17" s="337">
        <v>0</v>
      </c>
      <c r="X17" s="59">
        <f t="shared" si="2"/>
        <v>9</v>
      </c>
    </row>
    <row r="18" spans="2:28">
      <c r="B18" s="59" t="s">
        <v>94</v>
      </c>
      <c r="C18" s="337">
        <v>1</v>
      </c>
      <c r="D18" s="335">
        <v>3</v>
      </c>
      <c r="E18" s="337">
        <v>0</v>
      </c>
      <c r="F18" s="337">
        <v>0</v>
      </c>
      <c r="G18" s="337">
        <v>0</v>
      </c>
      <c r="H18" s="59">
        <f t="shared" si="0"/>
        <v>4</v>
      </c>
      <c r="I18" s="399"/>
      <c r="J18" s="59" t="s">
        <v>94</v>
      </c>
      <c r="K18" s="337">
        <v>1</v>
      </c>
      <c r="L18" s="335">
        <v>3</v>
      </c>
      <c r="M18" s="337">
        <v>0</v>
      </c>
      <c r="N18" s="337">
        <v>0</v>
      </c>
      <c r="O18" s="337">
        <v>0</v>
      </c>
      <c r="P18" s="59">
        <f t="shared" si="1"/>
        <v>4</v>
      </c>
      <c r="R18" s="59" t="s">
        <v>94</v>
      </c>
      <c r="S18" s="337">
        <v>1</v>
      </c>
      <c r="T18" s="335">
        <v>5</v>
      </c>
      <c r="U18" s="337">
        <v>5</v>
      </c>
      <c r="V18" s="337">
        <v>0</v>
      </c>
      <c r="W18" s="337">
        <v>0</v>
      </c>
      <c r="X18" s="59">
        <f t="shared" si="2"/>
        <v>11</v>
      </c>
    </row>
    <row r="19" spans="2:28">
      <c r="B19" s="343" t="s">
        <v>492</v>
      </c>
      <c r="C19" s="344">
        <v>0</v>
      </c>
      <c r="D19" s="344">
        <v>0</v>
      </c>
      <c r="E19" s="344">
        <v>0</v>
      </c>
      <c r="F19" s="344">
        <v>0</v>
      </c>
      <c r="G19" s="344">
        <v>0</v>
      </c>
      <c r="H19" s="343">
        <f t="shared" si="0"/>
        <v>0</v>
      </c>
      <c r="I19" s="398"/>
      <c r="J19" s="343" t="s">
        <v>492</v>
      </c>
      <c r="K19" s="344">
        <v>0</v>
      </c>
      <c r="L19" s="344">
        <v>0</v>
      </c>
      <c r="M19" s="344">
        <v>0</v>
      </c>
      <c r="N19" s="344">
        <v>0</v>
      </c>
      <c r="O19" s="344">
        <v>0</v>
      </c>
      <c r="P19" s="343">
        <f t="shared" si="1"/>
        <v>0</v>
      </c>
      <c r="Q19" s="399"/>
      <c r="R19" s="343" t="s">
        <v>492</v>
      </c>
      <c r="S19" s="344">
        <v>1</v>
      </c>
      <c r="T19" s="344">
        <v>3</v>
      </c>
      <c r="U19" s="344">
        <v>0</v>
      </c>
      <c r="V19" s="344">
        <v>0</v>
      </c>
      <c r="W19" s="344">
        <v>0</v>
      </c>
      <c r="X19" s="343">
        <f t="shared" si="2"/>
        <v>4</v>
      </c>
    </row>
    <row r="20" spans="2:28">
      <c r="B20" s="290" t="s">
        <v>501</v>
      </c>
      <c r="C20" s="345">
        <f t="shared" ref="C20:H20" si="3">SUM(C8:C19)</f>
        <v>9</v>
      </c>
      <c r="D20" s="345">
        <f t="shared" si="3"/>
        <v>7</v>
      </c>
      <c r="E20" s="345">
        <f t="shared" si="3"/>
        <v>0</v>
      </c>
      <c r="F20" s="345">
        <f t="shared" si="3"/>
        <v>0</v>
      </c>
      <c r="G20" s="345">
        <f t="shared" si="3"/>
        <v>0</v>
      </c>
      <c r="H20" s="346">
        <f t="shared" si="3"/>
        <v>16</v>
      </c>
      <c r="I20" s="399"/>
      <c r="J20" s="290" t="s">
        <v>501</v>
      </c>
      <c r="K20" s="345">
        <f t="shared" ref="K20:P20" si="4">SUM(K8:K19)</f>
        <v>9</v>
      </c>
      <c r="L20" s="345">
        <f t="shared" si="4"/>
        <v>9</v>
      </c>
      <c r="M20" s="345">
        <f t="shared" si="4"/>
        <v>0</v>
      </c>
      <c r="N20" s="345">
        <f t="shared" si="4"/>
        <v>0</v>
      </c>
      <c r="O20" s="345">
        <f t="shared" si="4"/>
        <v>0</v>
      </c>
      <c r="P20" s="346">
        <f t="shared" si="4"/>
        <v>18</v>
      </c>
      <c r="Q20" s="399"/>
      <c r="R20" s="290" t="s">
        <v>501</v>
      </c>
      <c r="S20" s="345">
        <f t="shared" ref="S20:X20" si="5">SUM(S8:S19)</f>
        <v>8</v>
      </c>
      <c r="T20" s="345">
        <f t="shared" si="5"/>
        <v>29</v>
      </c>
      <c r="U20" s="345">
        <f t="shared" si="5"/>
        <v>39</v>
      </c>
      <c r="V20" s="345">
        <f t="shared" si="5"/>
        <v>2</v>
      </c>
      <c r="W20" s="345">
        <f t="shared" si="5"/>
        <v>0</v>
      </c>
      <c r="X20" s="346">
        <f t="shared" si="5"/>
        <v>78</v>
      </c>
      <c r="Z20" s="394" t="s">
        <v>498</v>
      </c>
      <c r="AA20" s="394" t="s">
        <v>499</v>
      </c>
      <c r="AB20" s="340" t="s">
        <v>500</v>
      </c>
    </row>
    <row r="21" spans="2:28">
      <c r="B21" s="290" t="s">
        <v>500</v>
      </c>
      <c r="C21" s="347">
        <f>PRODUCT(C20*AB21)</f>
        <v>135</v>
      </c>
      <c r="D21" s="347">
        <f>PRODUCT(D20,AB22)</f>
        <v>114.5823</v>
      </c>
      <c r="E21" s="347">
        <f>PRODUCT(E20,AB23)</f>
        <v>0</v>
      </c>
      <c r="F21" s="347">
        <f>PRODUCT(F20,AB24)</f>
        <v>0</v>
      </c>
      <c r="G21" s="347">
        <f>PRODUCT(G20,AB25)</f>
        <v>0</v>
      </c>
      <c r="H21" s="290">
        <f>SUM(C21:G21)</f>
        <v>249.5823</v>
      </c>
      <c r="I21" s="398"/>
      <c r="J21" s="290" t="s">
        <v>500</v>
      </c>
      <c r="K21" s="347">
        <f>PRODUCT(K20,AB21)</f>
        <v>135</v>
      </c>
      <c r="L21" s="347">
        <f>PRODUCT(L20,AB22)</f>
        <v>147.3201</v>
      </c>
      <c r="M21" s="347">
        <f>PRODUCT(M20,AB23)</f>
        <v>0</v>
      </c>
      <c r="N21" s="347">
        <f>PRODUCT(N20,AB24)</f>
        <v>0</v>
      </c>
      <c r="O21" s="347">
        <f>PRODUCT(O20,AB25)</f>
        <v>0</v>
      </c>
      <c r="P21" s="290">
        <f>SUM(K21:O21)</f>
        <v>282.32010000000002</v>
      </c>
      <c r="Q21" s="399"/>
      <c r="R21" s="290" t="s">
        <v>500</v>
      </c>
      <c r="S21" s="347">
        <f>PRODUCT(S20*AB21)</f>
        <v>120</v>
      </c>
      <c r="T21" s="347">
        <f>PRODUCT(T20*AB22)</f>
        <v>474.69810000000001</v>
      </c>
      <c r="U21" s="347">
        <f>PRODUCT(U20*AB23)</f>
        <v>653.12130000000002</v>
      </c>
      <c r="V21" s="347">
        <f>PRODUCT(V20*AB24)</f>
        <v>33.773200000000003</v>
      </c>
      <c r="W21" s="347">
        <f>PRODUCT(W20*AB25)</f>
        <v>0</v>
      </c>
      <c r="X21" s="290">
        <f>SUM(S21:W21)</f>
        <v>1281.5926000000002</v>
      </c>
      <c r="Z21" s="60" t="s">
        <v>493</v>
      </c>
      <c r="AA21" s="60">
        <v>100</v>
      </c>
      <c r="AB21" s="61">
        <v>15</v>
      </c>
    </row>
    <row r="22" spans="2:28">
      <c r="B22" s="290" t="s">
        <v>499</v>
      </c>
      <c r="C22" s="347">
        <f>C20*AA21</f>
        <v>900</v>
      </c>
      <c r="D22" s="347">
        <f>D20*AA22</f>
        <v>1050</v>
      </c>
      <c r="E22" s="347">
        <f>E20*AA23</f>
        <v>0</v>
      </c>
      <c r="F22" s="347">
        <f>F20*AA24</f>
        <v>0</v>
      </c>
      <c r="G22" s="347">
        <f>G20*AA25</f>
        <v>0</v>
      </c>
      <c r="H22" s="290">
        <f>SUM(C22:G22)</f>
        <v>1950</v>
      </c>
      <c r="I22" s="399"/>
      <c r="J22" s="290" t="s">
        <v>499</v>
      </c>
      <c r="K22" s="347">
        <f>K20*AA21</f>
        <v>900</v>
      </c>
      <c r="L22" s="347">
        <f>L20*AA22</f>
        <v>1350</v>
      </c>
      <c r="M22" s="347">
        <f>M20*AA23</f>
        <v>0</v>
      </c>
      <c r="N22" s="347">
        <f>N20*AA24</f>
        <v>0</v>
      </c>
      <c r="O22" s="347">
        <f>O20*AA25</f>
        <v>0</v>
      </c>
      <c r="P22" s="290">
        <f>SUM(K22:O22)</f>
        <v>2250</v>
      </c>
      <c r="Q22" s="266"/>
      <c r="R22" s="290" t="s">
        <v>499</v>
      </c>
      <c r="S22" s="347">
        <f>S20*AA21</f>
        <v>800</v>
      </c>
      <c r="T22" s="347">
        <f>T20*AA22</f>
        <v>4350</v>
      </c>
      <c r="U22" s="347">
        <f>U20*AA23</f>
        <v>7800</v>
      </c>
      <c r="V22" s="347">
        <f>V20*AA24</f>
        <v>500</v>
      </c>
      <c r="W22" s="347">
        <f>W20*AA25</f>
        <v>0</v>
      </c>
      <c r="X22" s="290">
        <f>SUM(S22:W22)</f>
        <v>13450</v>
      </c>
      <c r="Z22" s="341" t="s">
        <v>494</v>
      </c>
      <c r="AA22" s="341">
        <v>150</v>
      </c>
      <c r="AB22" s="59">
        <v>16.3689</v>
      </c>
    </row>
    <row r="23" spans="2:28">
      <c r="B23" s="399"/>
      <c r="C23" s="399"/>
      <c r="D23" s="399"/>
      <c r="G23" s="315"/>
      <c r="H23" s="315"/>
      <c r="I23" s="315"/>
      <c r="J23" s="260"/>
      <c r="L23" s="399"/>
      <c r="M23" s="399"/>
      <c r="N23" s="399"/>
      <c r="Q23" s="670"/>
      <c r="R23" s="670"/>
      <c r="S23" s="670"/>
      <c r="T23" s="670"/>
      <c r="Z23" s="341" t="s">
        <v>495</v>
      </c>
      <c r="AA23" s="341">
        <v>200</v>
      </c>
      <c r="AB23" s="59">
        <v>16.746700000000001</v>
      </c>
    </row>
    <row r="24" spans="2:28">
      <c r="B24" s="557" t="s">
        <v>550</v>
      </c>
      <c r="C24" s="558"/>
      <c r="D24" s="558"/>
      <c r="E24" s="558"/>
      <c r="F24" s="558"/>
      <c r="G24" s="559"/>
      <c r="H24" s="154"/>
      <c r="I24" s="315"/>
      <c r="J24" s="557" t="s">
        <v>556</v>
      </c>
      <c r="K24" s="558"/>
      <c r="L24" s="558"/>
      <c r="M24" s="558"/>
      <c r="N24" s="558"/>
      <c r="O24" s="559"/>
      <c r="P24" s="154"/>
      <c r="Q24" s="322"/>
      <c r="R24" s="557" t="s">
        <v>548</v>
      </c>
      <c r="S24" s="558"/>
      <c r="T24" s="558"/>
      <c r="U24" s="558"/>
      <c r="V24" s="558"/>
      <c r="W24" s="559"/>
      <c r="X24" s="154"/>
      <c r="Z24" s="341" t="s">
        <v>496</v>
      </c>
      <c r="AA24" s="341">
        <v>250</v>
      </c>
      <c r="AB24" s="59">
        <v>16.886600000000001</v>
      </c>
    </row>
    <row r="25" spans="2:28">
      <c r="B25" s="331" t="s">
        <v>491</v>
      </c>
      <c r="C25" s="332" t="s">
        <v>493</v>
      </c>
      <c r="D25" s="332" t="s">
        <v>494</v>
      </c>
      <c r="E25" s="332" t="s">
        <v>495</v>
      </c>
      <c r="F25" s="333" t="s">
        <v>496</v>
      </c>
      <c r="G25" s="334" t="s">
        <v>497</v>
      </c>
      <c r="H25" s="290" t="s">
        <v>415</v>
      </c>
      <c r="I25" s="315"/>
      <c r="J25" s="331" t="s">
        <v>491</v>
      </c>
      <c r="K25" s="332" t="s">
        <v>493</v>
      </c>
      <c r="L25" s="332" t="s">
        <v>494</v>
      </c>
      <c r="M25" s="332" t="s">
        <v>495</v>
      </c>
      <c r="N25" s="333" t="s">
        <v>496</v>
      </c>
      <c r="O25" s="334" t="s">
        <v>497</v>
      </c>
      <c r="P25" s="290" t="s">
        <v>415</v>
      </c>
      <c r="Q25" s="321"/>
      <c r="R25" s="331" t="s">
        <v>491</v>
      </c>
      <c r="S25" s="332" t="s">
        <v>493</v>
      </c>
      <c r="T25" s="332" t="s">
        <v>494</v>
      </c>
      <c r="U25" s="332" t="s">
        <v>495</v>
      </c>
      <c r="V25" s="333" t="s">
        <v>496</v>
      </c>
      <c r="W25" s="334" t="s">
        <v>497</v>
      </c>
      <c r="X25" s="290" t="s">
        <v>415</v>
      </c>
      <c r="Z25" s="342" t="s">
        <v>497</v>
      </c>
      <c r="AA25" s="342">
        <v>400</v>
      </c>
      <c r="AB25" s="343">
        <v>17</v>
      </c>
    </row>
    <row r="26" spans="2:28">
      <c r="B26" s="59" t="s">
        <v>84</v>
      </c>
      <c r="C26" s="335">
        <v>0</v>
      </c>
      <c r="D26" s="335">
        <v>0</v>
      </c>
      <c r="E26" s="336">
        <v>1</v>
      </c>
      <c r="F26" s="336">
        <v>0</v>
      </c>
      <c r="G26" s="337">
        <v>0</v>
      </c>
      <c r="H26" s="338">
        <f>SUM(C26:G26)</f>
        <v>1</v>
      </c>
      <c r="I26" s="315"/>
      <c r="J26" s="59" t="s">
        <v>84</v>
      </c>
      <c r="K26" s="335">
        <v>0</v>
      </c>
      <c r="L26" s="335">
        <v>1</v>
      </c>
      <c r="M26" s="336">
        <v>0</v>
      </c>
      <c r="N26" s="336">
        <v>0</v>
      </c>
      <c r="O26" s="337">
        <v>0</v>
      </c>
      <c r="P26" s="338">
        <f>SUM(K26:O26)</f>
        <v>1</v>
      </c>
      <c r="Q26" s="399"/>
      <c r="R26" s="59" t="s">
        <v>84</v>
      </c>
      <c r="S26" s="335">
        <v>0</v>
      </c>
      <c r="T26" s="335">
        <v>0</v>
      </c>
      <c r="U26" s="336">
        <v>1</v>
      </c>
      <c r="V26" s="336">
        <v>0</v>
      </c>
      <c r="W26" s="337">
        <v>0</v>
      </c>
      <c r="X26" s="338">
        <f>SUM(S26:W26)</f>
        <v>1</v>
      </c>
    </row>
    <row r="27" spans="2:28">
      <c r="B27" s="59" t="s">
        <v>85</v>
      </c>
      <c r="C27" s="335">
        <v>1</v>
      </c>
      <c r="D27" s="335">
        <v>5</v>
      </c>
      <c r="E27" s="335">
        <v>0</v>
      </c>
      <c r="F27" s="335">
        <v>0</v>
      </c>
      <c r="G27" s="337">
        <v>0</v>
      </c>
      <c r="H27" s="59">
        <f t="shared" ref="H27:H37" si="6">SUM(C27:G27)</f>
        <v>6</v>
      </c>
      <c r="I27" s="315"/>
      <c r="J27" s="59" t="s">
        <v>85</v>
      </c>
      <c r="K27" s="335">
        <v>1</v>
      </c>
      <c r="L27" s="335">
        <v>0</v>
      </c>
      <c r="M27" s="335">
        <v>0</v>
      </c>
      <c r="N27" s="335">
        <v>0</v>
      </c>
      <c r="O27" s="337">
        <v>0</v>
      </c>
      <c r="P27" s="59">
        <f t="shared" ref="P27:P37" si="7">SUM(K27:O27)</f>
        <v>1</v>
      </c>
      <c r="Q27" s="399"/>
      <c r="R27" s="59" t="s">
        <v>85</v>
      </c>
      <c r="S27" s="335">
        <v>2</v>
      </c>
      <c r="T27" s="335">
        <v>3</v>
      </c>
      <c r="U27" s="335">
        <v>0</v>
      </c>
      <c r="V27" s="335">
        <v>0</v>
      </c>
      <c r="W27" s="337">
        <v>0</v>
      </c>
      <c r="X27" s="59">
        <f t="shared" ref="X27:X37" si="8">SUM(S27:W27)</f>
        <v>5</v>
      </c>
    </row>
    <row r="28" spans="2:28">
      <c r="B28" s="59" t="s">
        <v>86</v>
      </c>
      <c r="C28" s="335">
        <v>1</v>
      </c>
      <c r="D28" s="335">
        <v>1</v>
      </c>
      <c r="E28" s="335">
        <v>0</v>
      </c>
      <c r="F28" s="335">
        <v>0</v>
      </c>
      <c r="G28" s="337">
        <v>0</v>
      </c>
      <c r="H28" s="59">
        <f t="shared" si="6"/>
        <v>2</v>
      </c>
      <c r="I28" s="315"/>
      <c r="J28" s="59" t="s">
        <v>86</v>
      </c>
      <c r="K28" s="335">
        <v>1</v>
      </c>
      <c r="L28" s="335">
        <v>0</v>
      </c>
      <c r="M28" s="335">
        <v>0</v>
      </c>
      <c r="N28" s="335">
        <v>0</v>
      </c>
      <c r="O28" s="337">
        <v>0</v>
      </c>
      <c r="P28" s="59">
        <f t="shared" si="7"/>
        <v>1</v>
      </c>
      <c r="Q28" s="398"/>
      <c r="R28" s="59" t="s">
        <v>86</v>
      </c>
      <c r="S28" s="335">
        <v>1</v>
      </c>
      <c r="T28" s="335">
        <v>1</v>
      </c>
      <c r="U28" s="335">
        <v>0</v>
      </c>
      <c r="V28" s="335">
        <v>0</v>
      </c>
      <c r="W28" s="337">
        <v>0</v>
      </c>
      <c r="X28" s="59">
        <f t="shared" si="8"/>
        <v>2</v>
      </c>
    </row>
    <row r="29" spans="2:28">
      <c r="B29" s="59" t="s">
        <v>87</v>
      </c>
      <c r="C29" s="335">
        <v>1</v>
      </c>
      <c r="D29" s="335">
        <v>5</v>
      </c>
      <c r="E29" s="335">
        <v>1</v>
      </c>
      <c r="F29" s="335">
        <v>0</v>
      </c>
      <c r="G29" s="337">
        <v>0</v>
      </c>
      <c r="H29" s="59">
        <f t="shared" si="6"/>
        <v>7</v>
      </c>
      <c r="I29" s="315"/>
      <c r="J29" s="59" t="s">
        <v>87</v>
      </c>
      <c r="K29" s="335">
        <v>0</v>
      </c>
      <c r="L29" s="335">
        <v>4</v>
      </c>
      <c r="M29" s="335">
        <v>0</v>
      </c>
      <c r="N29" s="335">
        <v>0</v>
      </c>
      <c r="O29" s="337">
        <v>0</v>
      </c>
      <c r="P29" s="59">
        <f t="shared" si="7"/>
        <v>4</v>
      </c>
      <c r="Q29" s="399"/>
      <c r="R29" s="59" t="s">
        <v>87</v>
      </c>
      <c r="S29" s="335">
        <v>3</v>
      </c>
      <c r="T29" s="335">
        <v>4</v>
      </c>
      <c r="U29" s="335">
        <v>0</v>
      </c>
      <c r="V29" s="335">
        <v>0</v>
      </c>
      <c r="W29" s="337">
        <v>0</v>
      </c>
      <c r="X29" s="59">
        <f t="shared" si="8"/>
        <v>7</v>
      </c>
    </row>
    <row r="30" spans="2:28">
      <c r="B30" s="59" t="s">
        <v>88</v>
      </c>
      <c r="C30" s="335">
        <v>2</v>
      </c>
      <c r="D30" s="335">
        <v>2</v>
      </c>
      <c r="E30" s="335">
        <v>0</v>
      </c>
      <c r="F30" s="335">
        <v>1</v>
      </c>
      <c r="G30" s="337">
        <v>0</v>
      </c>
      <c r="H30" s="59">
        <f t="shared" si="6"/>
        <v>5</v>
      </c>
      <c r="I30" s="234"/>
      <c r="J30" s="59" t="s">
        <v>88</v>
      </c>
      <c r="K30" s="335">
        <v>2</v>
      </c>
      <c r="L30" s="335">
        <v>0</v>
      </c>
      <c r="M30" s="335">
        <v>0</v>
      </c>
      <c r="N30" s="335">
        <v>0</v>
      </c>
      <c r="O30" s="337">
        <v>0</v>
      </c>
      <c r="P30" s="59">
        <f t="shared" si="7"/>
        <v>2</v>
      </c>
      <c r="Q30" s="399"/>
      <c r="R30" s="59" t="s">
        <v>88</v>
      </c>
      <c r="S30" s="335">
        <v>2</v>
      </c>
      <c r="T30" s="335">
        <v>2</v>
      </c>
      <c r="U30" s="335">
        <v>2</v>
      </c>
      <c r="V30" s="335">
        <v>0</v>
      </c>
      <c r="W30" s="337">
        <v>0</v>
      </c>
      <c r="X30" s="59">
        <f t="shared" si="8"/>
        <v>6</v>
      </c>
    </row>
    <row r="31" spans="2:28">
      <c r="B31" s="59" t="s">
        <v>89</v>
      </c>
      <c r="C31" s="335">
        <v>0</v>
      </c>
      <c r="D31" s="335">
        <v>0</v>
      </c>
      <c r="E31" s="335">
        <v>0</v>
      </c>
      <c r="F31" s="335">
        <v>1</v>
      </c>
      <c r="G31" s="337">
        <v>0</v>
      </c>
      <c r="H31" s="59">
        <f t="shared" si="6"/>
        <v>1</v>
      </c>
      <c r="J31" s="59" t="s">
        <v>89</v>
      </c>
      <c r="K31" s="335">
        <v>1</v>
      </c>
      <c r="L31" s="335">
        <v>0</v>
      </c>
      <c r="M31" s="335">
        <v>0</v>
      </c>
      <c r="N31" s="335">
        <v>0</v>
      </c>
      <c r="O31" s="337">
        <v>0</v>
      </c>
      <c r="P31" s="59">
        <f t="shared" si="7"/>
        <v>1</v>
      </c>
      <c r="Q31" s="399"/>
      <c r="R31" s="59" t="s">
        <v>89</v>
      </c>
      <c r="S31" s="335">
        <v>0</v>
      </c>
      <c r="T31" s="335">
        <v>0</v>
      </c>
      <c r="U31" s="335">
        <v>1</v>
      </c>
      <c r="V31" s="335">
        <v>0</v>
      </c>
      <c r="W31" s="337">
        <v>0</v>
      </c>
      <c r="X31" s="59">
        <f t="shared" si="8"/>
        <v>1</v>
      </c>
    </row>
    <row r="32" spans="2:28">
      <c r="B32" s="59" t="s">
        <v>90</v>
      </c>
      <c r="C32" s="335">
        <v>1</v>
      </c>
      <c r="D32" s="335">
        <v>1</v>
      </c>
      <c r="E32" s="335">
        <v>0</v>
      </c>
      <c r="F32" s="335">
        <v>0</v>
      </c>
      <c r="G32" s="337">
        <v>0</v>
      </c>
      <c r="H32" s="59">
        <f t="shared" si="6"/>
        <v>2</v>
      </c>
      <c r="J32" s="59" t="s">
        <v>90</v>
      </c>
      <c r="K32" s="335">
        <v>1</v>
      </c>
      <c r="L32" s="335">
        <v>0</v>
      </c>
      <c r="M32" s="335">
        <v>0</v>
      </c>
      <c r="N32" s="335">
        <v>0</v>
      </c>
      <c r="O32" s="337">
        <v>0</v>
      </c>
      <c r="P32" s="59">
        <f t="shared" si="7"/>
        <v>1</v>
      </c>
      <c r="Q32" s="399"/>
      <c r="R32" s="59" t="s">
        <v>90</v>
      </c>
      <c r="S32" s="335">
        <v>0</v>
      </c>
      <c r="T32" s="335">
        <v>1</v>
      </c>
      <c r="U32" s="335">
        <v>0</v>
      </c>
      <c r="V32" s="335">
        <v>0</v>
      </c>
      <c r="W32" s="337">
        <v>0</v>
      </c>
      <c r="X32" s="59">
        <f t="shared" si="8"/>
        <v>1</v>
      </c>
    </row>
    <row r="33" spans="2:24">
      <c r="B33" s="59" t="s">
        <v>91</v>
      </c>
      <c r="C33" s="335">
        <v>0</v>
      </c>
      <c r="D33" s="335">
        <v>5</v>
      </c>
      <c r="E33" s="337">
        <v>3</v>
      </c>
      <c r="F33" s="337">
        <v>0</v>
      </c>
      <c r="G33" s="337">
        <v>0</v>
      </c>
      <c r="H33" s="59">
        <f t="shared" si="6"/>
        <v>8</v>
      </c>
      <c r="J33" s="59" t="s">
        <v>91</v>
      </c>
      <c r="K33" s="335">
        <v>0</v>
      </c>
      <c r="L33" s="335">
        <v>1</v>
      </c>
      <c r="M33" s="337">
        <v>0</v>
      </c>
      <c r="N33" s="337">
        <v>0</v>
      </c>
      <c r="O33" s="337">
        <v>0</v>
      </c>
      <c r="P33" s="59">
        <f t="shared" si="7"/>
        <v>1</v>
      </c>
      <c r="Q33" s="399"/>
      <c r="R33" s="59" t="s">
        <v>91</v>
      </c>
      <c r="S33" s="335">
        <v>1</v>
      </c>
      <c r="T33" s="335">
        <v>4</v>
      </c>
      <c r="U33" s="337">
        <v>2</v>
      </c>
      <c r="V33" s="337">
        <v>0</v>
      </c>
      <c r="W33" s="337">
        <v>0</v>
      </c>
      <c r="X33" s="59">
        <f t="shared" si="8"/>
        <v>7</v>
      </c>
    </row>
    <row r="34" spans="2:24">
      <c r="B34" s="59" t="s">
        <v>92</v>
      </c>
      <c r="C34" s="337">
        <v>1</v>
      </c>
      <c r="D34" s="337">
        <v>1</v>
      </c>
      <c r="E34" s="337">
        <v>1</v>
      </c>
      <c r="F34" s="337">
        <v>0</v>
      </c>
      <c r="G34" s="337">
        <v>0</v>
      </c>
      <c r="H34" s="59">
        <f t="shared" si="6"/>
        <v>3</v>
      </c>
      <c r="J34" s="59" t="s">
        <v>92</v>
      </c>
      <c r="K34" s="337">
        <v>1</v>
      </c>
      <c r="L34" s="337">
        <v>0</v>
      </c>
      <c r="M34" s="337">
        <v>0</v>
      </c>
      <c r="N34" s="337">
        <v>0</v>
      </c>
      <c r="O34" s="337">
        <v>0</v>
      </c>
      <c r="P34" s="59">
        <f t="shared" si="7"/>
        <v>1</v>
      </c>
      <c r="Q34" s="399"/>
      <c r="R34" s="59" t="s">
        <v>92</v>
      </c>
      <c r="S34" s="337">
        <v>0</v>
      </c>
      <c r="T34" s="337">
        <v>1</v>
      </c>
      <c r="U34" s="337">
        <v>1</v>
      </c>
      <c r="V34" s="337">
        <v>0</v>
      </c>
      <c r="W34" s="337">
        <v>0</v>
      </c>
      <c r="X34" s="59">
        <f t="shared" si="8"/>
        <v>2</v>
      </c>
    </row>
    <row r="35" spans="2:24">
      <c r="B35" s="59" t="s">
        <v>93</v>
      </c>
      <c r="C35" s="337">
        <v>0</v>
      </c>
      <c r="D35" s="335">
        <v>2</v>
      </c>
      <c r="E35" s="337">
        <v>6</v>
      </c>
      <c r="F35" s="337">
        <v>0</v>
      </c>
      <c r="G35" s="337">
        <v>0</v>
      </c>
      <c r="H35" s="59">
        <f t="shared" si="6"/>
        <v>8</v>
      </c>
      <c r="J35" s="59" t="s">
        <v>93</v>
      </c>
      <c r="K35" s="337">
        <v>0</v>
      </c>
      <c r="L35" s="335">
        <v>3</v>
      </c>
      <c r="M35" s="337">
        <v>0</v>
      </c>
      <c r="N35" s="337">
        <v>0</v>
      </c>
      <c r="O35" s="337">
        <v>0</v>
      </c>
      <c r="P35" s="59">
        <f t="shared" si="7"/>
        <v>3</v>
      </c>
      <c r="Q35" s="399"/>
      <c r="R35" s="59" t="s">
        <v>93</v>
      </c>
      <c r="S35" s="337">
        <v>1</v>
      </c>
      <c r="T35" s="335">
        <v>1</v>
      </c>
      <c r="U35" s="337">
        <v>5</v>
      </c>
      <c r="V35" s="337">
        <v>0</v>
      </c>
      <c r="W35" s="337">
        <v>0</v>
      </c>
      <c r="X35" s="59">
        <f t="shared" si="8"/>
        <v>7</v>
      </c>
    </row>
    <row r="36" spans="2:24">
      <c r="B36" s="59" t="s">
        <v>94</v>
      </c>
      <c r="C36" s="337">
        <v>1</v>
      </c>
      <c r="D36" s="335">
        <v>5</v>
      </c>
      <c r="E36" s="337">
        <v>4</v>
      </c>
      <c r="F36" s="337">
        <v>0</v>
      </c>
      <c r="G36" s="337">
        <v>0</v>
      </c>
      <c r="H36" s="59">
        <f t="shared" si="6"/>
        <v>10</v>
      </c>
      <c r="J36" s="59" t="s">
        <v>94</v>
      </c>
      <c r="K36" s="337">
        <v>0</v>
      </c>
      <c r="L36" s="335">
        <v>4</v>
      </c>
      <c r="M36" s="337">
        <v>0</v>
      </c>
      <c r="N36" s="337">
        <v>0</v>
      </c>
      <c r="O36" s="337">
        <v>0</v>
      </c>
      <c r="P36" s="59">
        <f t="shared" si="7"/>
        <v>4</v>
      </c>
      <c r="Q36" s="399"/>
      <c r="R36" s="59" t="s">
        <v>94</v>
      </c>
      <c r="S36" s="337">
        <v>2</v>
      </c>
      <c r="T36" s="335">
        <v>4</v>
      </c>
      <c r="U36" s="337">
        <v>3</v>
      </c>
      <c r="V36" s="337">
        <v>0</v>
      </c>
      <c r="W36" s="337">
        <v>0</v>
      </c>
      <c r="X36" s="59">
        <f t="shared" si="8"/>
        <v>9</v>
      </c>
    </row>
    <row r="37" spans="2:24">
      <c r="B37" s="343" t="s">
        <v>492</v>
      </c>
      <c r="C37" s="344">
        <v>0</v>
      </c>
      <c r="D37" s="344">
        <v>0</v>
      </c>
      <c r="E37" s="344">
        <v>0</v>
      </c>
      <c r="F37" s="344">
        <v>0</v>
      </c>
      <c r="G37" s="344">
        <v>0</v>
      </c>
      <c r="H37" s="343">
        <f t="shared" si="6"/>
        <v>0</v>
      </c>
      <c r="J37" s="343" t="s">
        <v>492</v>
      </c>
      <c r="K37" s="344">
        <v>0</v>
      </c>
      <c r="L37" s="344">
        <v>0</v>
      </c>
      <c r="M37" s="344">
        <v>0</v>
      </c>
      <c r="N37" s="344">
        <v>0</v>
      </c>
      <c r="O37" s="344">
        <v>0</v>
      </c>
      <c r="P37" s="343">
        <f t="shared" si="7"/>
        <v>0</v>
      </c>
      <c r="Q37" s="399"/>
      <c r="R37" s="343" t="s">
        <v>492</v>
      </c>
      <c r="S37" s="344">
        <v>0</v>
      </c>
      <c r="T37" s="344">
        <v>0</v>
      </c>
      <c r="U37" s="344">
        <v>0</v>
      </c>
      <c r="V37" s="344">
        <v>0</v>
      </c>
      <c r="W37" s="344">
        <v>0</v>
      </c>
      <c r="X37" s="343">
        <f t="shared" si="8"/>
        <v>0</v>
      </c>
    </row>
    <row r="38" spans="2:24">
      <c r="B38" s="290" t="s">
        <v>501</v>
      </c>
      <c r="C38" s="345">
        <f t="shared" ref="C38:H38" si="9">SUM(C26:C37)</f>
        <v>8</v>
      </c>
      <c r="D38" s="345">
        <f t="shared" si="9"/>
        <v>27</v>
      </c>
      <c r="E38" s="345">
        <f t="shared" si="9"/>
        <v>16</v>
      </c>
      <c r="F38" s="345">
        <f t="shared" si="9"/>
        <v>2</v>
      </c>
      <c r="G38" s="345">
        <f t="shared" si="9"/>
        <v>0</v>
      </c>
      <c r="H38" s="346">
        <f t="shared" si="9"/>
        <v>53</v>
      </c>
      <c r="J38" s="290" t="s">
        <v>501</v>
      </c>
      <c r="K38" s="345">
        <f t="shared" ref="K38:P38" si="10">SUM(K26:K37)</f>
        <v>7</v>
      </c>
      <c r="L38" s="345">
        <f t="shared" si="10"/>
        <v>13</v>
      </c>
      <c r="M38" s="345">
        <f t="shared" si="10"/>
        <v>0</v>
      </c>
      <c r="N38" s="345">
        <f t="shared" si="10"/>
        <v>0</v>
      </c>
      <c r="O38" s="345">
        <f t="shared" si="10"/>
        <v>0</v>
      </c>
      <c r="P38" s="346">
        <f t="shared" si="10"/>
        <v>20</v>
      </c>
      <c r="Q38" s="399"/>
      <c r="R38" s="290" t="s">
        <v>501</v>
      </c>
      <c r="S38" s="345">
        <f t="shared" ref="S38:X38" si="11">SUM(S26:S37)</f>
        <v>12</v>
      </c>
      <c r="T38" s="345">
        <f t="shared" si="11"/>
        <v>21</v>
      </c>
      <c r="U38" s="345">
        <f t="shared" si="11"/>
        <v>15</v>
      </c>
      <c r="V38" s="345">
        <f t="shared" si="11"/>
        <v>0</v>
      </c>
      <c r="W38" s="345">
        <f t="shared" si="11"/>
        <v>0</v>
      </c>
      <c r="X38" s="346">
        <f t="shared" si="11"/>
        <v>48</v>
      </c>
    </row>
    <row r="39" spans="2:24">
      <c r="B39" s="290" t="s">
        <v>500</v>
      </c>
      <c r="C39" s="347">
        <f>PRODUCT(C38,AB21)</f>
        <v>120</v>
      </c>
      <c r="D39" s="347">
        <f>PRODUCT(D38, AB22)</f>
        <v>441.96030000000002</v>
      </c>
      <c r="E39" s="347">
        <f>PRODUCT(E38,AB23)</f>
        <v>267.94720000000001</v>
      </c>
      <c r="F39" s="347">
        <f>PRODUCT(F38,AB24)</f>
        <v>33.773200000000003</v>
      </c>
      <c r="G39" s="347">
        <f>PRODUCT(G38,AB25)</f>
        <v>0</v>
      </c>
      <c r="H39" s="290">
        <f>SUM(C39:G39)</f>
        <v>863.6807</v>
      </c>
      <c r="J39" s="290" t="s">
        <v>500</v>
      </c>
      <c r="K39" s="347">
        <f>PRODUCT(K38*AB21)</f>
        <v>105</v>
      </c>
      <c r="L39" s="347">
        <f>PRODUCT(L38*AB22)</f>
        <v>212.79570000000001</v>
      </c>
      <c r="M39" s="347">
        <f>PRODUCT(M38*AB23)</f>
        <v>0</v>
      </c>
      <c r="N39" s="347">
        <f>PRODUCT(N38*AB24)</f>
        <v>0</v>
      </c>
      <c r="O39" s="347">
        <f>PRODUCT(O38*AB25)</f>
        <v>0</v>
      </c>
      <c r="P39" s="290">
        <f>SUM(K39:O39)</f>
        <v>317.79570000000001</v>
      </c>
      <c r="Q39" s="399"/>
      <c r="R39" s="290" t="s">
        <v>500</v>
      </c>
      <c r="S39" s="347">
        <f>PRODUCT(S38,AB21)</f>
        <v>180</v>
      </c>
      <c r="T39" s="347">
        <f>PRODUCT(T38,AB22)</f>
        <v>343.74689999999998</v>
      </c>
      <c r="U39" s="347">
        <f>PRODUCT(U38,AB23)</f>
        <v>251.20050000000001</v>
      </c>
      <c r="V39" s="347">
        <f>PRODUCT(V38,AB24)</f>
        <v>0</v>
      </c>
      <c r="W39" s="347">
        <f>PRODUCT(W38,AB25)</f>
        <v>0</v>
      </c>
      <c r="X39" s="290">
        <f>SUM(S39:W39)</f>
        <v>774.94740000000002</v>
      </c>
    </row>
    <row r="40" spans="2:24">
      <c r="B40" s="290" t="s">
        <v>499</v>
      </c>
      <c r="C40" s="347">
        <f>C38*AA21</f>
        <v>800</v>
      </c>
      <c r="D40" s="347">
        <f>D38*AA22</f>
        <v>4050</v>
      </c>
      <c r="E40" s="347">
        <f>E38*AA23</f>
        <v>3200</v>
      </c>
      <c r="F40" s="347">
        <f>F38*AA24</f>
        <v>500</v>
      </c>
      <c r="G40" s="347">
        <f>G38*AA25</f>
        <v>0</v>
      </c>
      <c r="H40" s="290">
        <f>SUM(C40:G40)</f>
        <v>8550</v>
      </c>
      <c r="J40" s="290" t="s">
        <v>499</v>
      </c>
      <c r="K40" s="347">
        <f>K38*AA21</f>
        <v>700</v>
      </c>
      <c r="L40" s="347">
        <f>L38*AA22</f>
        <v>1950</v>
      </c>
      <c r="M40" s="347">
        <f>M38*AA23</f>
        <v>0</v>
      </c>
      <c r="N40" s="347">
        <f>N38*AA24</f>
        <v>0</v>
      </c>
      <c r="O40" s="347">
        <f>O38*AA25</f>
        <v>0</v>
      </c>
      <c r="P40" s="290">
        <f>SUM(K40:O40)</f>
        <v>2650</v>
      </c>
      <c r="Q40" s="399"/>
      <c r="R40" s="290" t="s">
        <v>499</v>
      </c>
      <c r="S40" s="347">
        <f>S38*AA21</f>
        <v>1200</v>
      </c>
      <c r="T40" s="347">
        <f>T38*AA22</f>
        <v>3150</v>
      </c>
      <c r="U40" s="347">
        <f>U38*AA23</f>
        <v>3000</v>
      </c>
      <c r="V40" s="347">
        <f>V38*AA24</f>
        <v>0</v>
      </c>
      <c r="W40" s="347">
        <f>W38*AA25</f>
        <v>0</v>
      </c>
      <c r="X40" s="290">
        <f>SUM(S40:W40)</f>
        <v>7350</v>
      </c>
    </row>
    <row r="41" spans="2:24">
      <c r="B41" s="399"/>
      <c r="C41" s="399"/>
      <c r="D41" s="399"/>
      <c r="E41" s="234"/>
      <c r="Q41" s="399"/>
      <c r="R41" s="399"/>
      <c r="S41" s="399"/>
      <c r="T41" s="448"/>
    </row>
    <row r="42" spans="2:24">
      <c r="B42" s="395" t="s">
        <v>549</v>
      </c>
      <c r="C42" s="395"/>
      <c r="D42" s="395"/>
      <c r="E42" s="395"/>
      <c r="F42" s="395"/>
      <c r="G42" s="396"/>
      <c r="H42" s="154"/>
      <c r="J42" s="290" t="s">
        <v>536</v>
      </c>
      <c r="K42" s="290" t="s">
        <v>538</v>
      </c>
      <c r="L42" s="449" t="s">
        <v>537</v>
      </c>
      <c r="Q42" s="399"/>
      <c r="R42" s="399"/>
      <c r="S42" s="399"/>
      <c r="T42" s="448"/>
    </row>
    <row r="43" spans="2:24">
      <c r="B43" s="349" t="s">
        <v>491</v>
      </c>
      <c r="C43" s="332" t="s">
        <v>493</v>
      </c>
      <c r="D43" s="332" t="s">
        <v>494</v>
      </c>
      <c r="E43" s="332" t="s">
        <v>495</v>
      </c>
      <c r="F43" s="333" t="s">
        <v>496</v>
      </c>
      <c r="G43" s="334" t="s">
        <v>497</v>
      </c>
      <c r="H43" s="290" t="s">
        <v>415</v>
      </c>
      <c r="J43" s="450" t="s">
        <v>539</v>
      </c>
      <c r="K43" s="450">
        <v>1850</v>
      </c>
      <c r="L43" s="450">
        <v>246.84450000000001</v>
      </c>
      <c r="O43" s="450" t="s">
        <v>543</v>
      </c>
      <c r="P43" s="450" t="s">
        <v>551</v>
      </c>
      <c r="Q43" s="291" t="s">
        <v>552</v>
      </c>
      <c r="R43" s="399"/>
      <c r="S43" s="399"/>
      <c r="T43" s="448"/>
    </row>
    <row r="44" spans="2:24">
      <c r="B44" s="338" t="s">
        <v>84</v>
      </c>
      <c r="C44" s="335">
        <v>0</v>
      </c>
      <c r="D44" s="335">
        <v>0</v>
      </c>
      <c r="E44" s="336">
        <v>0</v>
      </c>
      <c r="F44" s="336">
        <v>0</v>
      </c>
      <c r="G44" s="337">
        <v>0</v>
      </c>
      <c r="H44" s="338">
        <f>SUM(C44:G44)</f>
        <v>0</v>
      </c>
      <c r="J44" s="450" t="s">
        <v>540</v>
      </c>
      <c r="K44" s="450">
        <v>1750</v>
      </c>
      <c r="L44" s="450">
        <v>219.5823</v>
      </c>
      <c r="O44" s="450" t="s">
        <v>545</v>
      </c>
      <c r="P44" s="450">
        <v>13450</v>
      </c>
      <c r="Q44" s="291">
        <v>1281.5930000000001</v>
      </c>
      <c r="R44" s="399"/>
      <c r="S44" s="399"/>
      <c r="T44" s="448"/>
    </row>
    <row r="45" spans="2:24">
      <c r="B45" s="59" t="s">
        <v>85</v>
      </c>
      <c r="C45" s="335">
        <v>1</v>
      </c>
      <c r="D45" s="335">
        <v>0</v>
      </c>
      <c r="E45" s="335">
        <v>0</v>
      </c>
      <c r="F45" s="335">
        <v>0</v>
      </c>
      <c r="G45" s="337">
        <v>0</v>
      </c>
      <c r="H45" s="59">
        <f t="shared" ref="H45:H55" si="12">SUM(C45:G45)</f>
        <v>1</v>
      </c>
      <c r="J45" s="450" t="s">
        <v>541</v>
      </c>
      <c r="K45" s="450">
        <v>1100</v>
      </c>
      <c r="L45" s="450">
        <v>140.47559999999999</v>
      </c>
      <c r="O45" s="450" t="s">
        <v>546</v>
      </c>
      <c r="P45" s="450">
        <v>1950</v>
      </c>
      <c r="Q45" s="291">
        <v>249.5823</v>
      </c>
      <c r="R45" s="399"/>
      <c r="S45" s="399"/>
      <c r="T45" s="448"/>
    </row>
    <row r="46" spans="2:24">
      <c r="B46" s="59" t="s">
        <v>86</v>
      </c>
      <c r="C46" s="335">
        <v>0</v>
      </c>
      <c r="D46" s="335">
        <v>0</v>
      </c>
      <c r="E46" s="335">
        <v>0</v>
      </c>
      <c r="F46" s="335">
        <v>0</v>
      </c>
      <c r="G46" s="337">
        <v>0</v>
      </c>
      <c r="H46" s="59">
        <f t="shared" si="12"/>
        <v>0</v>
      </c>
      <c r="J46" s="450" t="s">
        <v>542</v>
      </c>
      <c r="K46" s="450">
        <v>800</v>
      </c>
      <c r="L46" s="450">
        <v>95.4756</v>
      </c>
      <c r="O46" s="450" t="s">
        <v>514</v>
      </c>
      <c r="P46" s="450">
        <v>2250</v>
      </c>
      <c r="Q46" s="451">
        <v>282.32010000000002</v>
      </c>
      <c r="R46" s="18"/>
      <c r="S46" s="18"/>
      <c r="T46" s="448"/>
    </row>
    <row r="47" spans="2:24">
      <c r="B47" s="59" t="s">
        <v>87</v>
      </c>
      <c r="C47" s="335">
        <v>0</v>
      </c>
      <c r="D47" s="335">
        <v>4</v>
      </c>
      <c r="E47" s="335">
        <v>0</v>
      </c>
      <c r="F47" s="335">
        <v>0</v>
      </c>
      <c r="G47" s="337">
        <v>0</v>
      </c>
      <c r="H47" s="59">
        <f t="shared" si="12"/>
        <v>4</v>
      </c>
      <c r="J47" s="260"/>
      <c r="K47" s="260"/>
      <c r="L47" s="260"/>
      <c r="O47" s="450" t="s">
        <v>548</v>
      </c>
      <c r="P47" s="450">
        <v>7350</v>
      </c>
      <c r="Q47" s="451">
        <v>774.94740000000002</v>
      </c>
      <c r="R47" s="18"/>
      <c r="S47" s="18"/>
      <c r="T47" s="448"/>
    </row>
    <row r="48" spans="2:24">
      <c r="B48" s="59" t="s">
        <v>88</v>
      </c>
      <c r="C48" s="335">
        <v>0</v>
      </c>
      <c r="D48" s="335">
        <v>0</v>
      </c>
      <c r="E48" s="335">
        <v>0</v>
      </c>
      <c r="F48" s="335">
        <v>0</v>
      </c>
      <c r="G48" s="337">
        <v>0</v>
      </c>
      <c r="H48" s="59">
        <f t="shared" si="12"/>
        <v>0</v>
      </c>
      <c r="O48" s="450" t="s">
        <v>549</v>
      </c>
      <c r="P48" s="450">
        <v>5000</v>
      </c>
      <c r="Q48" s="450">
        <v>507.10719999999998</v>
      </c>
    </row>
    <row r="49" spans="2:17">
      <c r="B49" s="59" t="s">
        <v>89</v>
      </c>
      <c r="C49" s="335">
        <v>0</v>
      </c>
      <c r="D49" s="335">
        <v>0</v>
      </c>
      <c r="E49" s="335">
        <v>0</v>
      </c>
      <c r="F49" s="335">
        <v>0</v>
      </c>
      <c r="G49" s="337">
        <v>0</v>
      </c>
      <c r="H49" s="59">
        <f t="shared" si="12"/>
        <v>0</v>
      </c>
      <c r="O49" s="450" t="s">
        <v>550</v>
      </c>
      <c r="P49" s="450">
        <v>8550</v>
      </c>
      <c r="Q49" s="450">
        <v>863.6807</v>
      </c>
    </row>
    <row r="50" spans="2:17">
      <c r="B50" s="59" t="s">
        <v>90</v>
      </c>
      <c r="C50" s="335">
        <v>0</v>
      </c>
      <c r="D50" s="335">
        <v>0</v>
      </c>
      <c r="E50" s="335">
        <v>0</v>
      </c>
      <c r="F50" s="335">
        <v>0</v>
      </c>
      <c r="G50" s="337">
        <v>0</v>
      </c>
      <c r="H50" s="59">
        <f t="shared" si="12"/>
        <v>0</v>
      </c>
      <c r="O50" s="450" t="s">
        <v>544</v>
      </c>
      <c r="P50" s="450">
        <v>2650</v>
      </c>
      <c r="Q50" s="450">
        <v>317.79570000000001</v>
      </c>
    </row>
    <row r="51" spans="2:17">
      <c r="B51" s="59" t="s">
        <v>91</v>
      </c>
      <c r="C51" s="335">
        <v>0</v>
      </c>
      <c r="D51" s="335">
        <v>8</v>
      </c>
      <c r="E51" s="337">
        <v>0</v>
      </c>
      <c r="F51" s="337">
        <v>0</v>
      </c>
      <c r="G51" s="337">
        <v>0</v>
      </c>
      <c r="H51" s="59">
        <f t="shared" si="12"/>
        <v>8</v>
      </c>
      <c r="O51" s="450" t="s">
        <v>539</v>
      </c>
      <c r="P51" s="450">
        <v>1850</v>
      </c>
      <c r="Q51" s="450">
        <v>246.84</v>
      </c>
    </row>
    <row r="52" spans="2:17">
      <c r="B52" s="59" t="s">
        <v>92</v>
      </c>
      <c r="C52" s="337">
        <v>1</v>
      </c>
      <c r="D52" s="337">
        <v>0</v>
      </c>
      <c r="E52" s="337">
        <v>2</v>
      </c>
      <c r="F52" s="337">
        <v>0</v>
      </c>
      <c r="G52" s="337">
        <v>0</v>
      </c>
      <c r="H52" s="59">
        <f t="shared" si="12"/>
        <v>3</v>
      </c>
      <c r="O52" s="450" t="s">
        <v>540</v>
      </c>
      <c r="P52" s="450">
        <v>1750</v>
      </c>
      <c r="Q52" s="450">
        <v>219.58</v>
      </c>
    </row>
    <row r="53" spans="2:17">
      <c r="B53" s="59" t="s">
        <v>93</v>
      </c>
      <c r="C53" s="337">
        <v>0</v>
      </c>
      <c r="D53" s="335">
        <v>1</v>
      </c>
      <c r="E53" s="337">
        <v>3</v>
      </c>
      <c r="F53" s="337">
        <v>0</v>
      </c>
      <c r="G53" s="337">
        <v>0</v>
      </c>
      <c r="H53" s="59">
        <f t="shared" si="12"/>
        <v>4</v>
      </c>
      <c r="O53" s="450" t="s">
        <v>541</v>
      </c>
      <c r="P53" s="450">
        <v>1100</v>
      </c>
      <c r="Q53" s="450">
        <v>140.47999999999999</v>
      </c>
    </row>
    <row r="54" spans="2:17">
      <c r="B54" s="59" t="s">
        <v>94</v>
      </c>
      <c r="C54" s="337">
        <v>1</v>
      </c>
      <c r="D54" s="335">
        <v>5</v>
      </c>
      <c r="E54" s="337">
        <v>5</v>
      </c>
      <c r="F54" s="337">
        <v>0</v>
      </c>
      <c r="G54" s="337">
        <v>0</v>
      </c>
      <c r="H54" s="59">
        <f t="shared" si="12"/>
        <v>11</v>
      </c>
      <c r="O54" s="450" t="s">
        <v>542</v>
      </c>
      <c r="P54" s="450">
        <v>800</v>
      </c>
      <c r="Q54" s="450">
        <v>95.475999999999999</v>
      </c>
    </row>
    <row r="55" spans="2:17">
      <c r="B55" s="343" t="s">
        <v>492</v>
      </c>
      <c r="C55" s="344">
        <v>0</v>
      </c>
      <c r="D55" s="344">
        <v>0</v>
      </c>
      <c r="E55" s="344">
        <v>0</v>
      </c>
      <c r="F55" s="344">
        <v>0</v>
      </c>
      <c r="G55" s="344">
        <v>0</v>
      </c>
      <c r="H55" s="343">
        <f t="shared" si="12"/>
        <v>0</v>
      </c>
      <c r="O55" s="291" t="s">
        <v>565</v>
      </c>
      <c r="P55" s="291">
        <v>0</v>
      </c>
      <c r="Q55" s="291">
        <v>0</v>
      </c>
    </row>
    <row r="56" spans="2:17">
      <c r="B56" s="290" t="s">
        <v>501</v>
      </c>
      <c r="C56" s="345">
        <f t="shared" ref="C56:H56" si="13">SUM(C44:C55)</f>
        <v>3</v>
      </c>
      <c r="D56" s="345">
        <f t="shared" si="13"/>
        <v>18</v>
      </c>
      <c r="E56" s="345">
        <f t="shared" si="13"/>
        <v>10</v>
      </c>
      <c r="F56" s="345">
        <f t="shared" si="13"/>
        <v>0</v>
      </c>
      <c r="G56" s="345">
        <f t="shared" si="13"/>
        <v>0</v>
      </c>
      <c r="H56" s="346">
        <f t="shared" si="13"/>
        <v>31</v>
      </c>
      <c r="O56" s="291" t="s">
        <v>564</v>
      </c>
      <c r="P56" s="291">
        <v>0</v>
      </c>
      <c r="Q56" s="291">
        <v>0</v>
      </c>
    </row>
    <row r="57" spans="2:17">
      <c r="B57" s="290" t="s">
        <v>500</v>
      </c>
      <c r="C57" s="347">
        <f>PRODUCT(C56,AB21)</f>
        <v>45</v>
      </c>
      <c r="D57" s="347">
        <f>PRODUCT(D56*AB22)</f>
        <v>294.64019999999999</v>
      </c>
      <c r="E57" s="347">
        <f>PRODUCT(E56,AB23)</f>
        <v>167.46700000000001</v>
      </c>
      <c r="F57" s="347">
        <f>PRODUCT(F56*AB24)</f>
        <v>0</v>
      </c>
      <c r="G57" s="347">
        <f>PRODUCT(G56,AB25)</f>
        <v>0</v>
      </c>
      <c r="H57" s="290">
        <f>SUM(C57:G57)</f>
        <v>507.10720000000003</v>
      </c>
      <c r="O57" s="291" t="s">
        <v>567</v>
      </c>
      <c r="P57" s="291">
        <v>0</v>
      </c>
      <c r="Q57" s="291">
        <v>0</v>
      </c>
    </row>
    <row r="58" spans="2:17">
      <c r="B58" s="290" t="s">
        <v>499</v>
      </c>
      <c r="C58" s="347">
        <f>C56*AA21</f>
        <v>300</v>
      </c>
      <c r="D58" s="347">
        <f>D56*AA22</f>
        <v>2700</v>
      </c>
      <c r="E58" s="347">
        <f>E56*AA23</f>
        <v>2000</v>
      </c>
      <c r="F58" s="347">
        <f>F56*AA24</f>
        <v>0</v>
      </c>
      <c r="G58" s="347">
        <f>G56*AA25</f>
        <v>0</v>
      </c>
      <c r="H58" s="290">
        <f>SUM(C58:G58)</f>
        <v>5000</v>
      </c>
      <c r="O58" s="291" t="s">
        <v>566</v>
      </c>
      <c r="P58" s="291">
        <v>0</v>
      </c>
      <c r="Q58" s="291">
        <v>0</v>
      </c>
    </row>
    <row r="68" spans="2:22">
      <c r="B68" s="5"/>
      <c r="C68" s="5"/>
      <c r="D68" s="5"/>
      <c r="E68" s="5"/>
      <c r="F68" s="5"/>
      <c r="G68" s="5"/>
      <c r="H68" s="5"/>
    </row>
    <row r="78" spans="2:22">
      <c r="O78" s="486"/>
      <c r="P78" s="486"/>
      <c r="Q78" s="486"/>
      <c r="T78" s="486"/>
      <c r="U78" s="486"/>
      <c r="V78" s="486"/>
    </row>
    <row r="79" spans="2:22">
      <c r="O79" s="486"/>
      <c r="P79" s="486"/>
      <c r="Q79" s="486"/>
      <c r="T79" s="486"/>
      <c r="U79" s="486"/>
      <c r="V79" s="486"/>
    </row>
    <row r="80" spans="2:22">
      <c r="O80" s="486"/>
      <c r="P80" s="486"/>
      <c r="Q80" s="486"/>
      <c r="T80" s="486"/>
      <c r="U80" s="486"/>
      <c r="V80" s="486"/>
    </row>
    <row r="81" spans="15:22">
      <c r="O81" s="486"/>
      <c r="P81" s="486"/>
      <c r="Q81" s="486"/>
      <c r="T81" s="486"/>
      <c r="U81" s="486"/>
      <c r="V81" s="486"/>
    </row>
    <row r="82" spans="15:22">
      <c r="O82" s="18"/>
      <c r="P82" s="18"/>
      <c r="Q82" s="486"/>
      <c r="T82" s="486"/>
      <c r="U82" s="486"/>
      <c r="V82" s="486"/>
    </row>
    <row r="83" spans="15:22">
      <c r="O83" s="290" t="s">
        <v>543</v>
      </c>
      <c r="P83" s="290" t="s">
        <v>606</v>
      </c>
      <c r="Q83" s="290" t="s">
        <v>607</v>
      </c>
      <c r="R83" s="290" t="s">
        <v>608</v>
      </c>
    </row>
    <row r="84" spans="15:22">
      <c r="O84" s="291" t="s">
        <v>545</v>
      </c>
      <c r="P84" s="291">
        <v>60300</v>
      </c>
      <c r="Q84" s="509">
        <v>13450</v>
      </c>
      <c r="R84" s="291">
        <v>73750</v>
      </c>
    </row>
    <row r="85" spans="15:22">
      <c r="O85" s="291" t="s">
        <v>546</v>
      </c>
      <c r="P85" s="291">
        <v>60300</v>
      </c>
      <c r="Q85" s="509">
        <v>1950</v>
      </c>
      <c r="R85" s="291">
        <v>62250</v>
      </c>
    </row>
    <row r="86" spans="15:22">
      <c r="O86" s="291" t="s">
        <v>514</v>
      </c>
      <c r="P86" s="291">
        <v>60300</v>
      </c>
      <c r="Q86" s="509">
        <v>2250</v>
      </c>
      <c r="R86" s="291">
        <v>62550</v>
      </c>
    </row>
    <row r="87" spans="15:22">
      <c r="O87" s="291" t="s">
        <v>548</v>
      </c>
      <c r="P87" s="291">
        <v>60300</v>
      </c>
      <c r="Q87" s="509">
        <v>7350</v>
      </c>
      <c r="R87" s="291">
        <v>67650</v>
      </c>
    </row>
    <row r="88" spans="15:22">
      <c r="O88" s="291" t="s">
        <v>549</v>
      </c>
      <c r="P88" s="291">
        <v>60300</v>
      </c>
      <c r="Q88" s="509">
        <v>5000</v>
      </c>
      <c r="R88" s="291">
        <v>65300</v>
      </c>
    </row>
    <row r="89" spans="15:22">
      <c r="O89" s="291" t="s">
        <v>550</v>
      </c>
      <c r="P89" s="291">
        <v>60300</v>
      </c>
      <c r="Q89" s="509">
        <v>8550</v>
      </c>
      <c r="R89" s="291">
        <v>68850</v>
      </c>
    </row>
    <row r="90" spans="15:22">
      <c r="O90" s="291" t="s">
        <v>544</v>
      </c>
      <c r="P90" s="291">
        <v>60300</v>
      </c>
      <c r="Q90" s="509">
        <v>2650</v>
      </c>
      <c r="R90" s="291">
        <v>62950</v>
      </c>
    </row>
    <row r="91" spans="15:22">
      <c r="O91" s="291" t="s">
        <v>609</v>
      </c>
      <c r="P91" s="291">
        <v>60300</v>
      </c>
      <c r="Q91" s="509">
        <v>1850</v>
      </c>
      <c r="R91" s="291">
        <v>62150</v>
      </c>
    </row>
    <row r="92" spans="15:22">
      <c r="O92" s="291" t="s">
        <v>540</v>
      </c>
      <c r="P92" s="291">
        <v>60300</v>
      </c>
      <c r="Q92" s="509">
        <v>1750</v>
      </c>
      <c r="R92" s="291">
        <v>62050</v>
      </c>
    </row>
    <row r="93" spans="15:22">
      <c r="O93" s="291" t="s">
        <v>541</v>
      </c>
      <c r="P93" s="291">
        <v>60300</v>
      </c>
      <c r="Q93" s="509">
        <v>1100</v>
      </c>
      <c r="R93" s="291">
        <v>61400</v>
      </c>
    </row>
    <row r="94" spans="15:22">
      <c r="O94" s="291" t="s">
        <v>542</v>
      </c>
      <c r="P94" s="291">
        <v>60300</v>
      </c>
      <c r="Q94" s="509">
        <v>800</v>
      </c>
      <c r="R94" s="291">
        <v>61100</v>
      </c>
    </row>
    <row r="95" spans="15:22">
      <c r="O95" s="291" t="s">
        <v>565</v>
      </c>
      <c r="P95" s="291"/>
      <c r="Q95" s="291"/>
      <c r="R95" s="291"/>
    </row>
    <row r="96" spans="15:22">
      <c r="O96" s="291" t="s">
        <v>567</v>
      </c>
      <c r="P96" s="291"/>
      <c r="Q96" s="291"/>
      <c r="R96" s="291">
        <v>56600</v>
      </c>
    </row>
    <row r="97" spans="15:18">
      <c r="O97" s="291" t="s">
        <v>564</v>
      </c>
      <c r="P97" s="291"/>
      <c r="Q97" s="291"/>
      <c r="R97" s="291"/>
    </row>
    <row r="98" spans="15:18">
      <c r="O98" s="291" t="s">
        <v>566</v>
      </c>
      <c r="P98" s="291"/>
      <c r="Q98" s="291"/>
      <c r="R98" s="291">
        <v>56600</v>
      </c>
    </row>
    <row r="99" spans="15:18">
      <c r="O99" s="266"/>
      <c r="P99" s="266"/>
      <c r="Q99" s="266"/>
    </row>
    <row r="100" spans="15:18">
      <c r="O100" s="483"/>
      <c r="P100" s="266"/>
      <c r="Q100" s="266"/>
    </row>
    <row r="101" spans="15:18">
      <c r="O101" s="290" t="s">
        <v>543</v>
      </c>
      <c r="P101" s="290" t="s">
        <v>608</v>
      </c>
      <c r="Q101" s="290" t="s">
        <v>552</v>
      </c>
    </row>
    <row r="102" spans="15:18">
      <c r="O102" s="291" t="s">
        <v>545</v>
      </c>
      <c r="P102" s="291">
        <v>73750</v>
      </c>
      <c r="Q102" s="291">
        <v>6440</v>
      </c>
    </row>
    <row r="103" spans="15:18">
      <c r="O103" s="291" t="s">
        <v>546</v>
      </c>
      <c r="P103" s="291">
        <v>62250</v>
      </c>
      <c r="Q103" s="291">
        <v>5408</v>
      </c>
    </row>
    <row r="104" spans="15:18">
      <c r="O104" s="291" t="s">
        <v>514</v>
      </c>
      <c r="P104" s="291">
        <v>62550</v>
      </c>
      <c r="Q104" s="291">
        <v>5441</v>
      </c>
    </row>
    <row r="105" spans="15:18">
      <c r="O105" s="291" t="s">
        <v>548</v>
      </c>
      <c r="P105" s="291">
        <v>67650</v>
      </c>
      <c r="Q105" s="291">
        <v>5933</v>
      </c>
    </row>
    <row r="106" spans="15:18">
      <c r="O106" s="291" t="s">
        <v>549</v>
      </c>
      <c r="P106" s="291">
        <v>65300</v>
      </c>
      <c r="Q106" s="291">
        <v>5665</v>
      </c>
    </row>
    <row r="107" spans="15:18">
      <c r="O107" s="291" t="s">
        <v>550</v>
      </c>
      <c r="P107" s="291">
        <v>68850</v>
      </c>
      <c r="Q107" s="291">
        <v>6022</v>
      </c>
    </row>
    <row r="108" spans="15:18">
      <c r="O108" s="291" t="s">
        <v>544</v>
      </c>
      <c r="P108" s="291">
        <v>62950</v>
      </c>
      <c r="Q108" s="291">
        <v>5476</v>
      </c>
    </row>
    <row r="109" spans="15:18">
      <c r="O109" s="291" t="s">
        <v>609</v>
      </c>
      <c r="P109" s="291">
        <v>62150</v>
      </c>
      <c r="Q109" s="291">
        <v>5405</v>
      </c>
    </row>
    <row r="110" spans="15:18">
      <c r="O110" s="291" t="s">
        <v>540</v>
      </c>
      <c r="P110" s="291">
        <v>62050</v>
      </c>
      <c r="Q110" s="291">
        <v>5378</v>
      </c>
    </row>
    <row r="111" spans="15:18">
      <c r="O111" s="291" t="s">
        <v>541</v>
      </c>
      <c r="P111" s="291">
        <v>61400</v>
      </c>
      <c r="Q111" s="291">
        <v>5299</v>
      </c>
    </row>
    <row r="112" spans="15:18">
      <c r="O112" s="291" t="s">
        <v>542</v>
      </c>
      <c r="P112" s="291">
        <v>61100</v>
      </c>
      <c r="Q112" s="291">
        <v>5254</v>
      </c>
    </row>
    <row r="113" spans="15:17">
      <c r="O113" s="291" t="s">
        <v>565</v>
      </c>
      <c r="P113" s="291"/>
      <c r="Q113" s="291"/>
    </row>
    <row r="114" spans="15:17">
      <c r="O114" s="291" t="s">
        <v>567</v>
      </c>
      <c r="P114" s="291">
        <v>56600</v>
      </c>
      <c r="Q114" s="291">
        <v>3429</v>
      </c>
    </row>
    <row r="115" spans="15:17">
      <c r="O115" s="291" t="s">
        <v>564</v>
      </c>
      <c r="P115" s="291"/>
      <c r="Q115" s="291"/>
    </row>
    <row r="116" spans="15:17">
      <c r="O116" s="291" t="s">
        <v>566</v>
      </c>
      <c r="P116" s="291">
        <v>56600</v>
      </c>
      <c r="Q116" s="291">
        <v>3429</v>
      </c>
    </row>
    <row r="129" spans="20:22">
      <c r="T129" s="486"/>
      <c r="U129" s="486"/>
      <c r="V129" s="486"/>
    </row>
    <row r="130" spans="20:22">
      <c r="T130" s="486"/>
      <c r="U130" s="486"/>
      <c r="V130" s="486"/>
    </row>
    <row r="131" spans="20:22">
      <c r="T131" s="486"/>
      <c r="U131" s="486"/>
      <c r="V131" s="486"/>
    </row>
  </sheetData>
  <mergeCells count="9">
    <mergeCell ref="B4:D4"/>
    <mergeCell ref="F4:G4"/>
    <mergeCell ref="Q23:T23"/>
    <mergeCell ref="J24:O24"/>
    <mergeCell ref="B6:G6"/>
    <mergeCell ref="J6:O6"/>
    <mergeCell ref="R6:W6"/>
    <mergeCell ref="R24:W24"/>
    <mergeCell ref="B24:G24"/>
  </mergeCells>
  <conditionalFormatting sqref="C8:H19">
    <cfRule type="cellIs" dxfId="7" priority="8" operator="greaterThan">
      <formula>0</formula>
    </cfRule>
  </conditionalFormatting>
  <conditionalFormatting sqref="K8:P19">
    <cfRule type="cellIs" dxfId="6" priority="7" operator="greaterThan">
      <formula>0</formula>
    </cfRule>
  </conditionalFormatting>
  <conditionalFormatting sqref="S8:X19">
    <cfRule type="cellIs" dxfId="5" priority="6" operator="greaterThan">
      <formula>0</formula>
    </cfRule>
  </conditionalFormatting>
  <conditionalFormatting sqref="S26:X37">
    <cfRule type="cellIs" dxfId="4" priority="5" operator="greaterThan">
      <formula>0</formula>
    </cfRule>
  </conditionalFormatting>
  <conditionalFormatting sqref="C44:H55">
    <cfRule type="cellIs" dxfId="3" priority="4" operator="greaterThan">
      <formula>0</formula>
    </cfRule>
  </conditionalFormatting>
  <conditionalFormatting sqref="C26:H37">
    <cfRule type="cellIs" dxfId="2" priority="3" operator="greaterThan">
      <formula>0</formula>
    </cfRule>
  </conditionalFormatting>
  <conditionalFormatting sqref="K26:P37">
    <cfRule type="cellIs" dxfId="1" priority="2" operator="greaterThan">
      <formula>0</formula>
    </cfRule>
  </conditionalFormatting>
  <conditionalFormatting sqref="Z95:Z106">
    <cfRule type="cellIs" dxfId="0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workbookViewId="0">
      <selection activeCell="R7" sqref="R7"/>
    </sheetView>
  </sheetViews>
  <sheetFormatPr defaultRowHeight="15"/>
  <cols>
    <col min="2" max="2" width="16.140625" customWidth="1"/>
    <col min="3" max="3" width="12.5703125" customWidth="1"/>
    <col min="4" max="4" width="11.42578125" customWidth="1"/>
    <col min="5" max="5" width="16.42578125" customWidth="1"/>
    <col min="7" max="7" width="13.140625" customWidth="1"/>
    <col min="8" max="8" width="15.7109375" customWidth="1"/>
    <col min="9" max="9" width="13.28515625" customWidth="1"/>
    <col min="10" max="10" width="14.85546875" customWidth="1"/>
    <col min="11" max="11" width="15.28515625" customWidth="1"/>
    <col min="12" max="12" width="13.28515625" customWidth="1"/>
    <col min="13" max="13" width="14" customWidth="1"/>
    <col min="14" max="14" width="15.7109375" customWidth="1"/>
  </cols>
  <sheetData>
    <row r="1" spans="1:15">
      <c r="A1" s="21"/>
      <c r="B1" s="21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>
      <c r="A2" s="21"/>
      <c r="B2" s="51" t="s">
        <v>81</v>
      </c>
      <c r="C2" s="33" t="s">
        <v>82</v>
      </c>
      <c r="D2" s="33" t="s">
        <v>82</v>
      </c>
      <c r="E2" s="33" t="s">
        <v>82</v>
      </c>
      <c r="F2" s="33" t="s">
        <v>82</v>
      </c>
      <c r="G2" s="33" t="s">
        <v>82</v>
      </c>
      <c r="H2" s="33" t="s">
        <v>82</v>
      </c>
      <c r="I2" s="33" t="s">
        <v>82</v>
      </c>
      <c r="J2" s="33" t="s">
        <v>82</v>
      </c>
      <c r="K2" s="33" t="s">
        <v>82</v>
      </c>
      <c r="L2" s="33" t="s">
        <v>82</v>
      </c>
      <c r="M2" s="33" t="s">
        <v>82</v>
      </c>
      <c r="N2" s="33" t="s">
        <v>82</v>
      </c>
      <c r="O2" s="35"/>
    </row>
    <row r="3" spans="1:15">
      <c r="A3" s="21"/>
      <c r="B3" s="32" t="s">
        <v>83</v>
      </c>
      <c r="C3" s="34" t="s">
        <v>84</v>
      </c>
      <c r="D3" s="34" t="s">
        <v>85</v>
      </c>
      <c r="E3" s="34" t="s">
        <v>86</v>
      </c>
      <c r="F3" s="34" t="s">
        <v>87</v>
      </c>
      <c r="G3" s="34" t="s">
        <v>88</v>
      </c>
      <c r="H3" s="34" t="s">
        <v>89</v>
      </c>
      <c r="I3" s="34" t="s">
        <v>90</v>
      </c>
      <c r="J3" s="34" t="s">
        <v>91</v>
      </c>
      <c r="K3" s="34" t="s">
        <v>92</v>
      </c>
      <c r="L3" s="34" t="s">
        <v>93</v>
      </c>
      <c r="M3" s="34" t="s">
        <v>94</v>
      </c>
      <c r="N3" s="34" t="s">
        <v>95</v>
      </c>
      <c r="O3" s="35"/>
    </row>
    <row r="4" spans="1:15">
      <c r="A4" s="23" t="s">
        <v>96</v>
      </c>
      <c r="B4" s="22" t="s">
        <v>97</v>
      </c>
      <c r="C4" s="39">
        <v>0</v>
      </c>
      <c r="D4" s="40">
        <v>46014</v>
      </c>
      <c r="E4" s="40">
        <v>8457</v>
      </c>
      <c r="F4" s="40">
        <v>160501</v>
      </c>
      <c r="G4" s="40">
        <v>30828</v>
      </c>
      <c r="H4" s="40">
        <v>10992</v>
      </c>
      <c r="I4" s="40">
        <v>3859</v>
      </c>
      <c r="J4" s="40">
        <v>16578</v>
      </c>
      <c r="K4" s="40">
        <v>31065</v>
      </c>
      <c r="L4" s="40">
        <v>62829</v>
      </c>
      <c r="M4" s="40">
        <v>11073</v>
      </c>
      <c r="N4" s="41">
        <v>2825</v>
      </c>
      <c r="O4" s="42"/>
    </row>
    <row r="5" spans="1:15">
      <c r="A5" s="21"/>
      <c r="B5" s="55" t="s">
        <v>98</v>
      </c>
      <c r="C5" s="43"/>
      <c r="D5" s="24" t="s">
        <v>99</v>
      </c>
      <c r="E5" s="36" t="s">
        <v>100</v>
      </c>
      <c r="F5" s="36" t="s">
        <v>101</v>
      </c>
      <c r="G5" s="36" t="s">
        <v>102</v>
      </c>
      <c r="H5" s="36" t="s">
        <v>103</v>
      </c>
      <c r="I5" s="36" t="s">
        <v>104</v>
      </c>
      <c r="J5" s="36" t="s">
        <v>105</v>
      </c>
      <c r="K5" s="36" t="s">
        <v>106</v>
      </c>
      <c r="L5" s="36" t="s">
        <v>107</v>
      </c>
      <c r="M5" s="36" t="s">
        <v>108</v>
      </c>
      <c r="N5" s="37" t="s">
        <v>109</v>
      </c>
      <c r="O5" s="33"/>
    </row>
    <row r="6" spans="1:15">
      <c r="A6" s="21"/>
      <c r="B6" s="55" t="s">
        <v>110</v>
      </c>
      <c r="C6" s="43"/>
      <c r="D6" s="36" t="s">
        <v>111</v>
      </c>
      <c r="E6" s="36" t="s">
        <v>112</v>
      </c>
      <c r="F6" s="24"/>
      <c r="G6" s="24"/>
      <c r="H6" s="24"/>
      <c r="I6" s="36" t="s">
        <v>113</v>
      </c>
      <c r="J6" s="24"/>
      <c r="K6" s="36" t="s">
        <v>114</v>
      </c>
      <c r="L6" s="36" t="s">
        <v>115</v>
      </c>
      <c r="M6" s="36" t="s">
        <v>116</v>
      </c>
      <c r="N6" s="37" t="s">
        <v>117</v>
      </c>
      <c r="O6" s="42"/>
    </row>
    <row r="7" spans="1:15">
      <c r="A7" s="21"/>
      <c r="B7" s="53" t="s">
        <v>118</v>
      </c>
      <c r="C7" s="43"/>
      <c r="D7" s="36" t="s">
        <v>119</v>
      </c>
      <c r="E7" s="24"/>
      <c r="F7" s="24"/>
      <c r="G7" s="24"/>
      <c r="H7" s="24"/>
      <c r="I7" s="24"/>
      <c r="J7" s="24"/>
      <c r="K7" s="24"/>
      <c r="L7" s="24"/>
      <c r="M7" s="24"/>
      <c r="N7" s="44"/>
      <c r="O7" s="42"/>
    </row>
    <row r="8" spans="1:15">
      <c r="A8" s="21"/>
      <c r="B8" s="53" t="s">
        <v>120</v>
      </c>
      <c r="C8" s="43"/>
      <c r="D8" s="36" t="s">
        <v>121</v>
      </c>
      <c r="E8" s="38"/>
      <c r="F8" s="24"/>
      <c r="G8" s="24"/>
      <c r="H8" s="24"/>
      <c r="I8" s="24"/>
      <c r="J8" s="24"/>
      <c r="K8" s="24"/>
      <c r="L8" s="24"/>
      <c r="M8" s="24"/>
      <c r="N8" s="44"/>
      <c r="O8" s="42"/>
    </row>
    <row r="9" spans="1:15">
      <c r="A9" s="21"/>
      <c r="B9" s="52"/>
      <c r="C9" s="43"/>
      <c r="D9" s="38"/>
      <c r="E9" s="38"/>
      <c r="F9" s="24"/>
      <c r="G9" s="24"/>
      <c r="H9" s="24"/>
      <c r="I9" s="24"/>
      <c r="J9" s="24"/>
      <c r="K9" s="24"/>
      <c r="L9" s="24"/>
      <c r="M9" s="24"/>
      <c r="N9" s="44"/>
      <c r="O9" s="42"/>
    </row>
    <row r="10" spans="1:15">
      <c r="A10" s="23" t="s">
        <v>96</v>
      </c>
      <c r="B10" s="22" t="s">
        <v>122</v>
      </c>
      <c r="C10" s="45">
        <v>66416</v>
      </c>
      <c r="D10" s="46">
        <v>0</v>
      </c>
      <c r="E10" s="46">
        <v>289284</v>
      </c>
      <c r="F10" s="46">
        <v>153338</v>
      </c>
      <c r="G10" s="46">
        <v>129031</v>
      </c>
      <c r="H10" s="46">
        <v>288209</v>
      </c>
      <c r="I10" s="46">
        <v>202853</v>
      </c>
      <c r="J10" s="46">
        <v>94177</v>
      </c>
      <c r="K10" s="46">
        <v>57798</v>
      </c>
      <c r="L10" s="46">
        <v>33491</v>
      </c>
      <c r="M10" s="46">
        <v>61408</v>
      </c>
      <c r="N10" s="47">
        <v>9404</v>
      </c>
      <c r="O10" s="42"/>
    </row>
    <row r="11" spans="1:15">
      <c r="A11" s="21"/>
      <c r="B11" s="55" t="s">
        <v>98</v>
      </c>
      <c r="C11" s="28" t="s">
        <v>123</v>
      </c>
      <c r="D11" s="27"/>
      <c r="E11" s="25" t="s">
        <v>124</v>
      </c>
      <c r="F11" s="25" t="s">
        <v>125</v>
      </c>
      <c r="G11" s="25" t="s">
        <v>126</v>
      </c>
      <c r="H11" s="25" t="s">
        <v>127</v>
      </c>
      <c r="I11" s="25" t="s">
        <v>128</v>
      </c>
      <c r="J11" s="25" t="s">
        <v>129</v>
      </c>
      <c r="K11" s="25" t="s">
        <v>130</v>
      </c>
      <c r="L11" s="25" t="s">
        <v>131</v>
      </c>
      <c r="M11" s="25" t="s">
        <v>132</v>
      </c>
      <c r="N11" s="26" t="s">
        <v>133</v>
      </c>
      <c r="O11" s="33"/>
    </row>
    <row r="12" spans="1:15">
      <c r="A12" s="21"/>
      <c r="B12" s="55" t="s">
        <v>110</v>
      </c>
      <c r="C12" s="28" t="s">
        <v>134</v>
      </c>
      <c r="D12" s="27"/>
      <c r="E12" s="27"/>
      <c r="F12" s="27"/>
      <c r="G12" s="27"/>
      <c r="H12" s="27"/>
      <c r="I12" s="27"/>
      <c r="J12" s="27"/>
      <c r="K12" s="27"/>
      <c r="L12" s="25" t="s">
        <v>135</v>
      </c>
      <c r="M12" s="25" t="s">
        <v>136</v>
      </c>
      <c r="N12" s="26" t="s">
        <v>137</v>
      </c>
      <c r="O12" s="42"/>
    </row>
    <row r="13" spans="1:15">
      <c r="A13" s="21"/>
      <c r="B13" s="53" t="s">
        <v>118</v>
      </c>
      <c r="C13" s="28" t="s">
        <v>138</v>
      </c>
      <c r="D13" s="27"/>
      <c r="E13" s="27"/>
      <c r="F13" s="27"/>
      <c r="G13" s="27"/>
      <c r="H13" s="27"/>
      <c r="I13" s="27"/>
      <c r="J13" s="27"/>
      <c r="K13" s="27"/>
      <c r="L13" s="27"/>
      <c r="M13" s="25" t="s">
        <v>139</v>
      </c>
      <c r="N13" s="29"/>
      <c r="O13" s="42"/>
    </row>
    <row r="14" spans="1:15">
      <c r="A14" s="21"/>
      <c r="B14" s="53" t="s">
        <v>120</v>
      </c>
      <c r="C14" s="28" t="s">
        <v>140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9"/>
      <c r="O14" s="42"/>
    </row>
    <row r="15" spans="1:15">
      <c r="A15" s="21"/>
      <c r="B15" s="21"/>
      <c r="C15" s="30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9"/>
      <c r="O15" s="42"/>
    </row>
    <row r="16" spans="1:15">
      <c r="A16" s="23" t="s">
        <v>96</v>
      </c>
      <c r="B16" s="22" t="s">
        <v>141</v>
      </c>
      <c r="C16" s="45">
        <v>1300</v>
      </c>
      <c r="D16" s="46">
        <v>20517</v>
      </c>
      <c r="E16" s="46">
        <v>0</v>
      </c>
      <c r="F16" s="46">
        <v>30950</v>
      </c>
      <c r="G16" s="46">
        <v>2570</v>
      </c>
      <c r="H16" s="46">
        <v>1392</v>
      </c>
      <c r="I16" s="46">
        <v>2056</v>
      </c>
      <c r="J16" s="46">
        <v>1381</v>
      </c>
      <c r="K16" s="46">
        <v>4927</v>
      </c>
      <c r="L16" s="46">
        <v>1987</v>
      </c>
      <c r="M16" s="46">
        <v>3137</v>
      </c>
      <c r="N16" s="47">
        <v>959</v>
      </c>
      <c r="O16" s="42"/>
    </row>
    <row r="17" spans="1:15">
      <c r="A17" s="21"/>
      <c r="B17" s="55" t="s">
        <v>98</v>
      </c>
      <c r="C17" s="31" t="s">
        <v>142</v>
      </c>
      <c r="D17" s="27" t="s">
        <v>143</v>
      </c>
      <c r="E17" s="27"/>
      <c r="F17" s="27" t="s">
        <v>144</v>
      </c>
      <c r="G17" s="27" t="s">
        <v>145</v>
      </c>
      <c r="H17" s="27" t="s">
        <v>146</v>
      </c>
      <c r="I17" s="27" t="s">
        <v>147</v>
      </c>
      <c r="J17" s="27" t="s">
        <v>148</v>
      </c>
      <c r="K17" s="27" t="s">
        <v>149</v>
      </c>
      <c r="L17" s="27" t="s">
        <v>150</v>
      </c>
      <c r="M17" s="27" t="s">
        <v>151</v>
      </c>
      <c r="N17" s="29" t="s">
        <v>152</v>
      </c>
      <c r="O17" s="42"/>
    </row>
    <row r="18" spans="1:15">
      <c r="A18" s="21"/>
      <c r="B18" s="55" t="s">
        <v>110</v>
      </c>
      <c r="C18" s="31" t="s">
        <v>153</v>
      </c>
      <c r="D18" s="27"/>
      <c r="E18" s="27"/>
      <c r="F18" s="27"/>
      <c r="G18" s="27"/>
      <c r="H18" s="27" t="s">
        <v>154</v>
      </c>
      <c r="I18" s="27" t="s">
        <v>155</v>
      </c>
      <c r="J18" s="27" t="s">
        <v>156</v>
      </c>
      <c r="K18" s="27" t="s">
        <v>157</v>
      </c>
      <c r="L18" s="27"/>
      <c r="M18" s="27"/>
      <c r="N18" s="29"/>
      <c r="O18" s="42"/>
    </row>
    <row r="19" spans="1:15">
      <c r="A19" s="21"/>
      <c r="B19" s="53" t="s">
        <v>118</v>
      </c>
      <c r="C19" s="31"/>
      <c r="D19" s="27"/>
      <c r="E19" s="27"/>
      <c r="F19" s="27"/>
      <c r="G19" s="27"/>
      <c r="H19" s="27" t="s">
        <v>158</v>
      </c>
      <c r="I19" s="27" t="s">
        <v>159</v>
      </c>
      <c r="J19" s="27" t="s">
        <v>160</v>
      </c>
      <c r="K19" s="27"/>
      <c r="L19" s="27"/>
      <c r="M19" s="27"/>
      <c r="N19" s="29"/>
      <c r="O19" s="42"/>
    </row>
    <row r="20" spans="1:15">
      <c r="A20" s="21"/>
      <c r="B20" s="54"/>
      <c r="C20" s="31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9"/>
      <c r="O20" s="42"/>
    </row>
    <row r="21" spans="1:15">
      <c r="A21" s="23" t="s">
        <v>96</v>
      </c>
      <c r="B21" s="22" t="s">
        <v>161</v>
      </c>
      <c r="C21" s="45">
        <v>326552</v>
      </c>
      <c r="D21" s="46">
        <v>187586</v>
      </c>
      <c r="E21" s="46">
        <v>248705</v>
      </c>
      <c r="F21" s="46">
        <v>0</v>
      </c>
      <c r="G21" s="46">
        <v>585106</v>
      </c>
      <c r="H21" s="46">
        <v>251547</v>
      </c>
      <c r="I21" s="46">
        <v>197741</v>
      </c>
      <c r="J21" s="46">
        <v>437475</v>
      </c>
      <c r="K21" s="46">
        <v>815546</v>
      </c>
      <c r="L21" s="46">
        <v>573542</v>
      </c>
      <c r="M21" s="46">
        <v>726204</v>
      </c>
      <c r="N21" s="47">
        <v>162990</v>
      </c>
      <c r="O21" s="42"/>
    </row>
    <row r="22" spans="1:15">
      <c r="A22" s="21"/>
      <c r="B22" s="56" t="s">
        <v>98</v>
      </c>
      <c r="C22" s="31" t="s">
        <v>162</v>
      </c>
      <c r="D22" s="27" t="s">
        <v>163</v>
      </c>
      <c r="E22" s="27" t="s">
        <v>164</v>
      </c>
      <c r="F22" s="27"/>
      <c r="G22" s="27" t="s">
        <v>165</v>
      </c>
      <c r="H22" s="27" t="s">
        <v>166</v>
      </c>
      <c r="I22" s="27" t="s">
        <v>167</v>
      </c>
      <c r="J22" s="27" t="s">
        <v>168</v>
      </c>
      <c r="K22" s="27" t="s">
        <v>169</v>
      </c>
      <c r="L22" s="27" t="s">
        <v>170</v>
      </c>
      <c r="M22" s="27" t="s">
        <v>171</v>
      </c>
      <c r="N22" s="29" t="s">
        <v>172</v>
      </c>
      <c r="O22" s="42"/>
    </row>
    <row r="23" spans="1:15">
      <c r="A23" s="21"/>
      <c r="B23" s="22"/>
      <c r="C23" s="31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9"/>
      <c r="O23" s="42"/>
    </row>
    <row r="24" spans="1:15">
      <c r="A24" s="23" t="s">
        <v>96</v>
      </c>
      <c r="B24" s="22" t="s">
        <v>173</v>
      </c>
      <c r="C24" s="45">
        <v>65451</v>
      </c>
      <c r="D24" s="46">
        <v>17912</v>
      </c>
      <c r="E24" s="46">
        <v>7330</v>
      </c>
      <c r="F24" s="46">
        <v>37049</v>
      </c>
      <c r="G24" s="46">
        <v>0</v>
      </c>
      <c r="H24" s="46">
        <v>20275</v>
      </c>
      <c r="I24" s="46">
        <v>7220</v>
      </c>
      <c r="J24" s="46">
        <v>4477</v>
      </c>
      <c r="K24" s="46">
        <v>11310</v>
      </c>
      <c r="L24" s="46">
        <v>4413</v>
      </c>
      <c r="M24" s="46">
        <v>7492</v>
      </c>
      <c r="N24" s="47">
        <v>1652</v>
      </c>
      <c r="O24" s="42"/>
    </row>
    <row r="25" spans="1:15">
      <c r="A25" s="21"/>
      <c r="B25" s="55" t="s">
        <v>98</v>
      </c>
      <c r="C25" s="31" t="s">
        <v>174</v>
      </c>
      <c r="D25" s="27" t="s">
        <v>175</v>
      </c>
      <c r="E25" s="27" t="s">
        <v>176</v>
      </c>
      <c r="F25" s="27" t="s">
        <v>177</v>
      </c>
      <c r="G25" s="27"/>
      <c r="H25" s="27" t="s">
        <v>178</v>
      </c>
      <c r="I25" s="27" t="s">
        <v>179</v>
      </c>
      <c r="J25" s="27" t="s">
        <v>180</v>
      </c>
      <c r="K25" s="27" t="s">
        <v>181</v>
      </c>
      <c r="L25" s="27" t="s">
        <v>182</v>
      </c>
      <c r="M25" s="27" t="s">
        <v>183</v>
      </c>
      <c r="N25" s="29" t="s">
        <v>184</v>
      </c>
      <c r="O25" s="42"/>
    </row>
    <row r="26" spans="1:15">
      <c r="A26" s="21"/>
      <c r="B26" s="55" t="s">
        <v>110</v>
      </c>
      <c r="C26" s="31"/>
      <c r="D26" s="27"/>
      <c r="E26" s="27"/>
      <c r="F26" s="27"/>
      <c r="G26" s="27"/>
      <c r="H26" s="27"/>
      <c r="I26" s="27"/>
      <c r="J26" s="27"/>
      <c r="K26" s="27" t="s">
        <v>185</v>
      </c>
      <c r="L26" s="27" t="s">
        <v>186</v>
      </c>
      <c r="M26" s="27" t="s">
        <v>187</v>
      </c>
      <c r="N26" s="29" t="s">
        <v>188</v>
      </c>
      <c r="O26" s="42"/>
    </row>
    <row r="27" spans="1:15">
      <c r="A27" s="21"/>
      <c r="B27" s="53" t="s">
        <v>118</v>
      </c>
      <c r="C27" s="31"/>
      <c r="D27" s="27"/>
      <c r="E27" s="27"/>
      <c r="F27" s="27"/>
      <c r="G27" s="27"/>
      <c r="H27" s="27"/>
      <c r="I27" s="27"/>
      <c r="J27" s="27"/>
      <c r="K27" s="27" t="s">
        <v>189</v>
      </c>
      <c r="L27" s="27"/>
      <c r="M27" s="27"/>
      <c r="N27" s="29"/>
      <c r="O27" s="42"/>
    </row>
    <row r="28" spans="1:15">
      <c r="A28" s="21"/>
      <c r="B28" s="22"/>
      <c r="C28" s="31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9"/>
      <c r="O28" s="42"/>
    </row>
    <row r="29" spans="1:15">
      <c r="A29" s="23" t="s">
        <v>96</v>
      </c>
      <c r="B29" s="22" t="s">
        <v>190</v>
      </c>
      <c r="C29" s="45">
        <v>40659</v>
      </c>
      <c r="D29" s="46">
        <v>64446</v>
      </c>
      <c r="E29" s="46">
        <v>12488</v>
      </c>
      <c r="F29" s="46">
        <v>107971</v>
      </c>
      <c r="G29" s="46">
        <v>51646</v>
      </c>
      <c r="H29" s="46">
        <v>0</v>
      </c>
      <c r="I29" s="46">
        <v>9051</v>
      </c>
      <c r="J29" s="46">
        <v>29511</v>
      </c>
      <c r="K29" s="46">
        <v>31521</v>
      </c>
      <c r="L29" s="46">
        <v>19068</v>
      </c>
      <c r="M29" s="46">
        <v>22522</v>
      </c>
      <c r="N29" s="47">
        <v>3887</v>
      </c>
      <c r="O29" s="42"/>
    </row>
    <row r="30" spans="1:15">
      <c r="A30" s="21"/>
      <c r="B30" s="55" t="s">
        <v>98</v>
      </c>
      <c r="C30" s="31" t="s">
        <v>191</v>
      </c>
      <c r="D30" s="27" t="s">
        <v>192</v>
      </c>
      <c r="E30" s="27" t="s">
        <v>193</v>
      </c>
      <c r="F30" s="27" t="s">
        <v>194</v>
      </c>
      <c r="G30" s="27" t="s">
        <v>195</v>
      </c>
      <c r="H30" s="27"/>
      <c r="I30" s="27" t="s">
        <v>196</v>
      </c>
      <c r="J30" s="27" t="s">
        <v>197</v>
      </c>
      <c r="K30" s="27" t="s">
        <v>198</v>
      </c>
      <c r="L30" s="27" t="s">
        <v>199</v>
      </c>
      <c r="M30" s="27" t="s">
        <v>200</v>
      </c>
      <c r="N30" s="29" t="s">
        <v>201</v>
      </c>
      <c r="O30" s="42"/>
    </row>
    <row r="31" spans="1:15">
      <c r="A31" s="21"/>
      <c r="B31" s="55" t="s">
        <v>110</v>
      </c>
      <c r="C31" s="31"/>
      <c r="D31" s="27"/>
      <c r="E31" s="27" t="s">
        <v>202</v>
      </c>
      <c r="F31" s="27"/>
      <c r="G31" s="27"/>
      <c r="H31" s="27"/>
      <c r="I31" s="27" t="s">
        <v>203</v>
      </c>
      <c r="J31" s="27"/>
      <c r="K31" s="27" t="s">
        <v>204</v>
      </c>
      <c r="L31" s="27" t="s">
        <v>205</v>
      </c>
      <c r="M31" s="27" t="s">
        <v>206</v>
      </c>
      <c r="N31" s="29" t="s">
        <v>207</v>
      </c>
      <c r="O31" s="42"/>
    </row>
    <row r="32" spans="1:15">
      <c r="A32" s="21"/>
      <c r="B32" s="53" t="s">
        <v>118</v>
      </c>
      <c r="C32" s="31"/>
      <c r="D32" s="27"/>
      <c r="E32" s="27" t="s">
        <v>208</v>
      </c>
      <c r="F32" s="27"/>
      <c r="G32" s="27"/>
      <c r="H32" s="27"/>
      <c r="I32" s="27" t="s">
        <v>209</v>
      </c>
      <c r="J32" s="27"/>
      <c r="K32" s="27" t="s">
        <v>210</v>
      </c>
      <c r="L32" s="27"/>
      <c r="M32" s="27"/>
      <c r="N32" s="29"/>
      <c r="O32" s="42"/>
    </row>
    <row r="33" spans="1:15">
      <c r="A33" s="21"/>
      <c r="B33" s="22"/>
      <c r="C33" s="31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9"/>
      <c r="O33" s="42"/>
    </row>
    <row r="34" spans="1:15">
      <c r="A34" s="23" t="s">
        <v>96</v>
      </c>
      <c r="B34" s="22" t="s">
        <v>211</v>
      </c>
      <c r="C34" s="45">
        <v>1519</v>
      </c>
      <c r="D34" s="46">
        <v>16110</v>
      </c>
      <c r="E34" s="46">
        <v>2888</v>
      </c>
      <c r="F34" s="46">
        <v>29009</v>
      </c>
      <c r="G34" s="46">
        <v>3951</v>
      </c>
      <c r="H34" s="46">
        <v>2316</v>
      </c>
      <c r="I34" s="46">
        <v>0</v>
      </c>
      <c r="J34" s="46">
        <v>2270</v>
      </c>
      <c r="K34" s="46">
        <v>5667</v>
      </c>
      <c r="L34" s="46">
        <v>2235</v>
      </c>
      <c r="M34" s="46">
        <v>4199</v>
      </c>
      <c r="N34" s="47">
        <v>1109</v>
      </c>
      <c r="O34" s="42"/>
    </row>
    <row r="35" spans="1:15">
      <c r="A35" s="21"/>
      <c r="B35" s="55" t="s">
        <v>98</v>
      </c>
      <c r="C35" s="31" t="s">
        <v>212</v>
      </c>
      <c r="D35" s="27" t="s">
        <v>213</v>
      </c>
      <c r="E35" s="27" t="s">
        <v>214</v>
      </c>
      <c r="F35" s="27" t="s">
        <v>215</v>
      </c>
      <c r="G35" s="24" t="s">
        <v>216</v>
      </c>
      <c r="H35" s="27" t="s">
        <v>217</v>
      </c>
      <c r="I35" s="27"/>
      <c r="J35" s="27" t="s">
        <v>218</v>
      </c>
      <c r="K35" s="27" t="s">
        <v>219</v>
      </c>
      <c r="L35" s="27" t="s">
        <v>220</v>
      </c>
      <c r="M35" s="27" t="s">
        <v>221</v>
      </c>
      <c r="N35" s="29" t="s">
        <v>222</v>
      </c>
      <c r="O35" s="42"/>
    </row>
    <row r="36" spans="1:15">
      <c r="A36" s="21"/>
      <c r="B36" s="55" t="s">
        <v>110</v>
      </c>
      <c r="C36" s="31" t="s">
        <v>223</v>
      </c>
      <c r="D36" s="27"/>
      <c r="E36" s="27" t="s">
        <v>224</v>
      </c>
      <c r="F36" s="27"/>
      <c r="G36" s="27"/>
      <c r="H36" s="27" t="s">
        <v>225</v>
      </c>
      <c r="I36" s="27"/>
      <c r="J36" s="27" t="s">
        <v>226</v>
      </c>
      <c r="K36" s="27" t="s">
        <v>227</v>
      </c>
      <c r="L36" s="27"/>
      <c r="M36" s="27"/>
      <c r="N36" s="29"/>
      <c r="O36" s="42"/>
    </row>
    <row r="37" spans="1:15">
      <c r="A37" s="21"/>
      <c r="B37" s="53" t="s">
        <v>118</v>
      </c>
      <c r="C37" s="31"/>
      <c r="D37" s="27"/>
      <c r="E37" s="27" t="s">
        <v>228</v>
      </c>
      <c r="F37" s="27"/>
      <c r="G37" s="27"/>
      <c r="H37" s="27" t="s">
        <v>229</v>
      </c>
      <c r="I37" s="27"/>
      <c r="J37" s="27" t="s">
        <v>230</v>
      </c>
      <c r="K37" s="27"/>
      <c r="L37" s="27"/>
      <c r="M37" s="27"/>
      <c r="N37" s="29"/>
      <c r="O37" s="42"/>
    </row>
    <row r="38" spans="1:15">
      <c r="A38" s="21"/>
      <c r="B38" s="22"/>
      <c r="C38" s="31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9"/>
      <c r="O38" s="42"/>
    </row>
    <row r="39" spans="1:15">
      <c r="A39" s="23" t="s">
        <v>96</v>
      </c>
      <c r="B39" s="22" t="s">
        <v>231</v>
      </c>
      <c r="C39" s="45">
        <v>50190</v>
      </c>
      <c r="D39" s="46">
        <v>11570</v>
      </c>
      <c r="E39" s="46">
        <v>7769</v>
      </c>
      <c r="F39" s="46">
        <v>47897</v>
      </c>
      <c r="G39" s="46">
        <v>14302</v>
      </c>
      <c r="H39" s="46">
        <v>15278</v>
      </c>
      <c r="I39" s="46">
        <v>6891</v>
      </c>
      <c r="J39" s="46">
        <v>0</v>
      </c>
      <c r="K39" s="46">
        <v>30372</v>
      </c>
      <c r="L39" s="46">
        <v>16226</v>
      </c>
      <c r="M39" s="46">
        <v>13667</v>
      </c>
      <c r="N39" s="47">
        <v>3142</v>
      </c>
      <c r="O39" s="42"/>
    </row>
    <row r="40" spans="1:15">
      <c r="A40" s="21"/>
      <c r="B40" s="55" t="s">
        <v>98</v>
      </c>
      <c r="C40" s="31" t="s">
        <v>232</v>
      </c>
      <c r="D40" s="27" t="s">
        <v>233</v>
      </c>
      <c r="E40" s="27" t="s">
        <v>234</v>
      </c>
      <c r="F40" s="27" t="s">
        <v>235</v>
      </c>
      <c r="G40" s="27" t="s">
        <v>236</v>
      </c>
      <c r="H40" s="27" t="s">
        <v>237</v>
      </c>
      <c r="I40" s="27" t="s">
        <v>238</v>
      </c>
      <c r="J40" s="27"/>
      <c r="K40" s="27" t="s">
        <v>239</v>
      </c>
      <c r="L40" s="27" t="s">
        <v>240</v>
      </c>
      <c r="M40" s="27" t="s">
        <v>241</v>
      </c>
      <c r="N40" s="29" t="s">
        <v>242</v>
      </c>
      <c r="O40" s="42"/>
    </row>
    <row r="41" spans="1:15">
      <c r="A41" s="21"/>
      <c r="B41" s="55" t="s">
        <v>110</v>
      </c>
      <c r="C41" s="31"/>
      <c r="D41" s="27"/>
      <c r="E41" s="27" t="s">
        <v>243</v>
      </c>
      <c r="F41" s="27"/>
      <c r="G41" s="27"/>
      <c r="H41" s="27"/>
      <c r="I41" s="27" t="s">
        <v>244</v>
      </c>
      <c r="J41" s="27"/>
      <c r="K41" s="27"/>
      <c r="L41" s="27"/>
      <c r="M41" s="27"/>
      <c r="N41" s="29"/>
      <c r="O41" s="42"/>
    </row>
    <row r="42" spans="1:15">
      <c r="A42" s="21"/>
      <c r="B42" s="53" t="s">
        <v>118</v>
      </c>
      <c r="C42" s="31"/>
      <c r="D42" s="27"/>
      <c r="E42" s="27" t="s">
        <v>245</v>
      </c>
      <c r="F42" s="27"/>
      <c r="G42" s="27"/>
      <c r="H42" s="27"/>
      <c r="I42" s="27" t="s">
        <v>246</v>
      </c>
      <c r="J42" s="27"/>
      <c r="K42" s="27"/>
      <c r="L42" s="27"/>
      <c r="M42" s="27"/>
      <c r="N42" s="29"/>
      <c r="O42" s="42"/>
    </row>
    <row r="43" spans="1:15">
      <c r="A43" s="21"/>
      <c r="B43" s="22"/>
      <c r="C43" s="31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9"/>
      <c r="O43" s="42"/>
    </row>
    <row r="44" spans="1:15">
      <c r="A44" s="23" t="s">
        <v>96</v>
      </c>
      <c r="B44" s="22" t="s">
        <v>247</v>
      </c>
      <c r="C44" s="45">
        <v>23902</v>
      </c>
      <c r="D44" s="46">
        <v>49682</v>
      </c>
      <c r="E44" s="46">
        <v>16896</v>
      </c>
      <c r="F44" s="46">
        <v>193599</v>
      </c>
      <c r="G44" s="46">
        <v>63875</v>
      </c>
      <c r="H44" s="46">
        <v>49388</v>
      </c>
      <c r="I44" s="46">
        <v>37546</v>
      </c>
      <c r="J44" s="46">
        <v>35882</v>
      </c>
      <c r="K44" s="46">
        <v>0</v>
      </c>
      <c r="L44" s="46">
        <v>33687</v>
      </c>
      <c r="M44" s="46">
        <v>64169</v>
      </c>
      <c r="N44" s="47">
        <v>19668</v>
      </c>
      <c r="O44" s="42"/>
    </row>
    <row r="45" spans="1:15">
      <c r="A45" s="21"/>
      <c r="B45" s="55" t="s">
        <v>98</v>
      </c>
      <c r="C45" s="31" t="s">
        <v>248</v>
      </c>
      <c r="D45" s="27" t="s">
        <v>249</v>
      </c>
      <c r="E45" s="27" t="s">
        <v>250</v>
      </c>
      <c r="F45" s="27" t="s">
        <v>251</v>
      </c>
      <c r="G45" s="27" t="s">
        <v>252</v>
      </c>
      <c r="H45" s="27" t="s">
        <v>253</v>
      </c>
      <c r="I45" s="27" t="s">
        <v>254</v>
      </c>
      <c r="J45" s="27" t="s">
        <v>255</v>
      </c>
      <c r="K45" s="27"/>
      <c r="L45" s="27" t="s">
        <v>256</v>
      </c>
      <c r="M45" s="27" t="s">
        <v>257</v>
      </c>
      <c r="N45" s="29" t="s">
        <v>258</v>
      </c>
      <c r="O45" s="42"/>
    </row>
    <row r="46" spans="1:15">
      <c r="A46" s="21"/>
      <c r="B46" s="55" t="s">
        <v>110</v>
      </c>
      <c r="C46" s="31" t="s">
        <v>259</v>
      </c>
      <c r="D46" s="27"/>
      <c r="E46" s="27" t="s">
        <v>260</v>
      </c>
      <c r="F46" s="27"/>
      <c r="G46" s="27" t="s">
        <v>261</v>
      </c>
      <c r="H46" s="27" t="s">
        <v>262</v>
      </c>
      <c r="I46" s="27" t="s">
        <v>263</v>
      </c>
      <c r="J46" s="27"/>
      <c r="K46" s="27"/>
      <c r="L46" s="27" t="s">
        <v>264</v>
      </c>
      <c r="M46" s="27"/>
      <c r="N46" s="29" t="s">
        <v>265</v>
      </c>
      <c r="O46" s="42"/>
    </row>
    <row r="47" spans="1:15">
      <c r="A47" s="21"/>
      <c r="B47" s="53" t="s">
        <v>118</v>
      </c>
      <c r="C47" s="31"/>
      <c r="D47" s="27"/>
      <c r="E47" s="27"/>
      <c r="F47" s="27"/>
      <c r="G47" s="27" t="s">
        <v>266</v>
      </c>
      <c r="H47" s="27" t="s">
        <v>267</v>
      </c>
      <c r="I47" s="27"/>
      <c r="J47" s="27"/>
      <c r="K47" s="27"/>
      <c r="L47" s="27" t="s">
        <v>268</v>
      </c>
      <c r="M47" s="27"/>
      <c r="N47" s="29"/>
      <c r="O47" s="42"/>
    </row>
    <row r="48" spans="1:15">
      <c r="A48" s="21"/>
      <c r="B48" s="22"/>
      <c r="C48" s="31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9"/>
      <c r="O48" s="42"/>
    </row>
    <row r="49" spans="1:15">
      <c r="A49" s="23" t="s">
        <v>96</v>
      </c>
      <c r="B49" s="22" t="s">
        <v>269</v>
      </c>
      <c r="C49" s="45">
        <v>2241</v>
      </c>
      <c r="D49" s="46">
        <v>2068</v>
      </c>
      <c r="E49" s="46">
        <v>3518</v>
      </c>
      <c r="F49" s="46">
        <v>108572</v>
      </c>
      <c r="G49" s="46">
        <v>6689</v>
      </c>
      <c r="H49" s="46">
        <v>4159</v>
      </c>
      <c r="I49" s="46">
        <v>3148</v>
      </c>
      <c r="J49" s="46">
        <v>12367</v>
      </c>
      <c r="K49" s="46">
        <v>15556</v>
      </c>
      <c r="L49" s="46">
        <v>0</v>
      </c>
      <c r="M49" s="46">
        <v>6077</v>
      </c>
      <c r="N49" s="47">
        <v>2524</v>
      </c>
      <c r="O49" s="42"/>
    </row>
    <row r="50" spans="1:15">
      <c r="A50" s="21"/>
      <c r="B50" s="55" t="s">
        <v>98</v>
      </c>
      <c r="C50" s="31" t="s">
        <v>270</v>
      </c>
      <c r="D50" s="27" t="s">
        <v>271</v>
      </c>
      <c r="E50" s="27" t="s">
        <v>272</v>
      </c>
      <c r="F50" s="27" t="s">
        <v>273</v>
      </c>
      <c r="G50" s="27" t="s">
        <v>274</v>
      </c>
      <c r="H50" s="27" t="s">
        <v>275</v>
      </c>
      <c r="I50" s="27" t="s">
        <v>276</v>
      </c>
      <c r="J50" s="27" t="s">
        <v>277</v>
      </c>
      <c r="K50" s="27" t="s">
        <v>278</v>
      </c>
      <c r="L50" s="27"/>
      <c r="M50" s="27" t="s">
        <v>279</v>
      </c>
      <c r="N50" s="29" t="s">
        <v>280</v>
      </c>
      <c r="O50" s="42"/>
    </row>
    <row r="51" spans="1:15">
      <c r="A51" s="21"/>
      <c r="B51" s="55" t="s">
        <v>110</v>
      </c>
      <c r="C51" s="31" t="s">
        <v>281</v>
      </c>
      <c r="D51" s="27" t="s">
        <v>282</v>
      </c>
      <c r="E51" s="27"/>
      <c r="F51" s="27"/>
      <c r="G51" s="27" t="s">
        <v>283</v>
      </c>
      <c r="H51" s="27" t="s">
        <v>284</v>
      </c>
      <c r="I51" s="27"/>
      <c r="J51" s="27"/>
      <c r="K51" s="27" t="s">
        <v>285</v>
      </c>
      <c r="L51" s="27"/>
      <c r="M51" s="27"/>
      <c r="N51" s="29" t="s">
        <v>286</v>
      </c>
      <c r="O51" s="42"/>
    </row>
    <row r="52" spans="1:15">
      <c r="A52" s="21"/>
      <c r="B52" s="53" t="s">
        <v>118</v>
      </c>
      <c r="C52" s="31"/>
      <c r="D52" s="27"/>
      <c r="E52" s="27"/>
      <c r="F52" s="27"/>
      <c r="G52" s="27"/>
      <c r="H52" s="27"/>
      <c r="I52" s="27"/>
      <c r="J52" s="27"/>
      <c r="K52" s="27" t="s">
        <v>287</v>
      </c>
      <c r="L52" s="27"/>
      <c r="M52" s="27"/>
      <c r="N52" s="29"/>
      <c r="O52" s="42"/>
    </row>
    <row r="53" spans="1:15">
      <c r="A53" s="21"/>
      <c r="B53" s="21"/>
      <c r="C53" s="31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9"/>
      <c r="O53" s="42"/>
    </row>
    <row r="54" spans="1:15">
      <c r="A54" s="23" t="s">
        <v>96</v>
      </c>
      <c r="B54" s="22" t="s">
        <v>288</v>
      </c>
      <c r="C54" s="45">
        <v>5141</v>
      </c>
      <c r="D54" s="46">
        <v>4049</v>
      </c>
      <c r="E54" s="46">
        <v>3968</v>
      </c>
      <c r="F54" s="46">
        <v>85524</v>
      </c>
      <c r="G54" s="46">
        <v>9791</v>
      </c>
      <c r="H54" s="46">
        <v>6989</v>
      </c>
      <c r="I54" s="46">
        <v>4852</v>
      </c>
      <c r="J54" s="46">
        <v>15631</v>
      </c>
      <c r="K54" s="46">
        <v>34473</v>
      </c>
      <c r="L54" s="46">
        <v>10807</v>
      </c>
      <c r="M54" s="46">
        <v>0</v>
      </c>
      <c r="N54" s="47">
        <v>3680</v>
      </c>
      <c r="O54" s="42"/>
    </row>
    <row r="55" spans="1:15">
      <c r="A55" s="21"/>
      <c r="B55" s="55" t="s">
        <v>98</v>
      </c>
      <c r="C55" s="31" t="s">
        <v>289</v>
      </c>
      <c r="D55" s="27" t="s">
        <v>290</v>
      </c>
      <c r="E55" s="27" t="s">
        <v>291</v>
      </c>
      <c r="F55" s="27" t="s">
        <v>292</v>
      </c>
      <c r="G55" s="27" t="s">
        <v>293</v>
      </c>
      <c r="H55" s="27" t="s">
        <v>294</v>
      </c>
      <c r="I55" s="27" t="s">
        <v>295</v>
      </c>
      <c r="J55" s="27" t="s">
        <v>296</v>
      </c>
      <c r="K55" s="27" t="s">
        <v>297</v>
      </c>
      <c r="L55" s="27" t="s">
        <v>298</v>
      </c>
      <c r="M55" s="27"/>
      <c r="N55" s="29" t="s">
        <v>299</v>
      </c>
      <c r="O55" s="42"/>
    </row>
    <row r="56" spans="1:15">
      <c r="A56" s="21"/>
      <c r="B56" s="55" t="s">
        <v>110</v>
      </c>
      <c r="C56" s="31" t="s">
        <v>300</v>
      </c>
      <c r="D56" s="27" t="s">
        <v>301</v>
      </c>
      <c r="E56" s="27"/>
      <c r="F56" s="27"/>
      <c r="G56" s="27" t="s">
        <v>302</v>
      </c>
      <c r="H56" s="27" t="s">
        <v>303</v>
      </c>
      <c r="I56" s="27"/>
      <c r="J56" s="27"/>
      <c r="K56" s="27"/>
      <c r="L56" s="27"/>
      <c r="M56" s="27"/>
      <c r="N56" s="29" t="s">
        <v>304</v>
      </c>
      <c r="O56" s="42"/>
    </row>
    <row r="57" spans="1:15">
      <c r="A57" s="21"/>
      <c r="B57" s="53" t="s">
        <v>118</v>
      </c>
      <c r="C57" s="31"/>
      <c r="D57" s="27" t="s">
        <v>305</v>
      </c>
      <c r="E57" s="27"/>
      <c r="F57" s="27"/>
      <c r="G57" s="27"/>
      <c r="H57" s="27"/>
      <c r="I57" s="27"/>
      <c r="J57" s="27"/>
      <c r="K57" s="27"/>
      <c r="L57" s="27"/>
      <c r="M57" s="27"/>
      <c r="N57" s="29"/>
      <c r="O57" s="42"/>
    </row>
    <row r="58" spans="1:15">
      <c r="A58" s="21"/>
      <c r="B58" s="22"/>
      <c r="C58" s="31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9"/>
      <c r="O58" s="42"/>
    </row>
    <row r="59" spans="1:15">
      <c r="A59" s="23" t="s">
        <v>96</v>
      </c>
      <c r="B59" s="22" t="s">
        <v>306</v>
      </c>
      <c r="C59" s="45">
        <v>2253</v>
      </c>
      <c r="D59" s="46">
        <v>2351</v>
      </c>
      <c r="E59" s="46">
        <v>2443</v>
      </c>
      <c r="F59" s="46">
        <v>27582</v>
      </c>
      <c r="G59" s="46">
        <v>4558</v>
      </c>
      <c r="H59" s="46">
        <v>2905</v>
      </c>
      <c r="I59" s="46">
        <v>2495</v>
      </c>
      <c r="J59" s="46">
        <v>6793</v>
      </c>
      <c r="K59" s="46">
        <v>7804</v>
      </c>
      <c r="L59" s="46">
        <v>2732</v>
      </c>
      <c r="M59" s="46">
        <v>6215</v>
      </c>
      <c r="N59" s="47">
        <v>0</v>
      </c>
      <c r="O59" s="42"/>
    </row>
    <row r="60" spans="1:15">
      <c r="A60" s="21"/>
      <c r="B60" s="55" t="s">
        <v>98</v>
      </c>
      <c r="C60" s="31" t="s">
        <v>307</v>
      </c>
      <c r="D60" s="27" t="s">
        <v>308</v>
      </c>
      <c r="E60" s="27" t="s">
        <v>309</v>
      </c>
      <c r="F60" s="27" t="s">
        <v>310</v>
      </c>
      <c r="G60" s="27" t="s">
        <v>311</v>
      </c>
      <c r="H60" s="27" t="s">
        <v>312</v>
      </c>
      <c r="I60" s="27" t="s">
        <v>313</v>
      </c>
      <c r="J60" s="27" t="s">
        <v>314</v>
      </c>
      <c r="K60" s="27" t="s">
        <v>315</v>
      </c>
      <c r="L60" s="27" t="s">
        <v>316</v>
      </c>
      <c r="M60" s="27" t="s">
        <v>317</v>
      </c>
      <c r="N60" s="29"/>
      <c r="O60" s="33"/>
    </row>
    <row r="61" spans="1:15">
      <c r="A61" s="21"/>
      <c r="B61" s="55" t="s">
        <v>110</v>
      </c>
      <c r="C61" s="48" t="s">
        <v>318</v>
      </c>
      <c r="D61" s="49" t="s">
        <v>319</v>
      </c>
      <c r="E61" s="49"/>
      <c r="F61" s="49"/>
      <c r="G61" s="49" t="s">
        <v>320</v>
      </c>
      <c r="H61" s="49" t="s">
        <v>321</v>
      </c>
      <c r="I61" s="49"/>
      <c r="J61" s="49"/>
      <c r="K61" s="49" t="s">
        <v>322</v>
      </c>
      <c r="L61" s="49" t="s">
        <v>323</v>
      </c>
      <c r="M61" s="49" t="s">
        <v>324</v>
      </c>
      <c r="N61" s="50"/>
      <c r="O61" s="33"/>
    </row>
    <row r="62" spans="1:15">
      <c r="A62" s="21"/>
      <c r="B62" s="53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3"/>
    </row>
    <row r="63" spans="1:15">
      <c r="A63" s="21"/>
      <c r="B63" s="21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3"/>
    </row>
    <row r="64" spans="1:15">
      <c r="A64" s="21"/>
      <c r="B64" s="21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3"/>
    </row>
    <row r="65" spans="3:15"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</row>
    <row r="66" spans="3:15"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</row>
    <row r="67" spans="3:15"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</row>
    <row r="68" spans="3:15"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</row>
    <row r="69" spans="3:15"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</row>
    <row r="70" spans="3:15"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</row>
    <row r="71" spans="3:15"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</row>
    <row r="72" spans="3:15"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</row>
    <row r="73" spans="3:1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</row>
    <row r="74" spans="3:1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</row>
    <row r="75" spans="3:15"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</row>
    <row r="76" spans="3:15"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</row>
    <row r="77" spans="3:15"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</row>
    <row r="78" spans="3:15"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</row>
    <row r="79" spans="3:15"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</row>
    <row r="80" spans="3:15"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</row>
    <row r="81" spans="3:15"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</row>
    <row r="82" spans="3:15"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</row>
    <row r="83" spans="3:15"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</row>
    <row r="84" spans="3:15"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</row>
    <row r="85" spans="3:15"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</row>
    <row r="86" spans="3:15"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</row>
    <row r="87" spans="3:15"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</row>
    <row r="88" spans="3:15"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</row>
    <row r="89" spans="3:15"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</row>
    <row r="90" spans="3:15"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</row>
    <row r="91" spans="3:15"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</row>
    <row r="92" spans="3:15"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</row>
    <row r="93" spans="3:15"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</row>
    <row r="94" spans="3:15"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</row>
    <row r="95" spans="3:15"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</row>
    <row r="96" spans="3:15"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</row>
    <row r="97" spans="3:15"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</row>
    <row r="98" spans="3:15"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</row>
    <row r="99" spans="3:15"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</row>
    <row r="100" spans="3:15"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</row>
    <row r="101" spans="3:15"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</row>
    <row r="102" spans="3:15"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</row>
    <row r="103" spans="3:15"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</row>
    <row r="104" spans="3:15"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</row>
    <row r="105" spans="3:15"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</row>
    <row r="106" spans="3:15"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</row>
    <row r="107" spans="3:15"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</row>
    <row r="108" spans="3:15"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</row>
    <row r="109" spans="3:15"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</row>
    <row r="110" spans="3:15"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</row>
    <row r="111" spans="3:15"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</row>
    <row r="112" spans="3:15"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</row>
    <row r="113" spans="3:15"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</row>
    <row r="114" spans="3:15"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</row>
    <row r="115" spans="3:15"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</row>
    <row r="116" spans="3:15"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</row>
    <row r="117" spans="3:15"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</row>
    <row r="118" spans="3:15"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</row>
    <row r="119" spans="3:15"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</row>
    <row r="120" spans="3:15"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</row>
    <row r="121" spans="3:15"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</row>
    <row r="122" spans="3:15"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</row>
    <row r="123" spans="3:15"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</row>
    <row r="124" spans="3:15"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</row>
    <row r="125" spans="3:15"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</row>
    <row r="126" spans="3:15"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</row>
    <row r="127" spans="3:15"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</row>
    <row r="128" spans="3:15"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</row>
    <row r="129" spans="3:15"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</row>
    <row r="130" spans="3:15"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</row>
    <row r="131" spans="3:15"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</row>
    <row r="132" spans="3:15"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</row>
    <row r="133" spans="3:15"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</row>
    <row r="134" spans="3:15"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</row>
    <row r="135" spans="3:15"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</row>
    <row r="136" spans="3:15"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</row>
    <row r="137" spans="3:15"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</row>
    <row r="138" spans="3:15"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</row>
    <row r="139" spans="3:15"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</row>
    <row r="140" spans="3:15"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</row>
    <row r="141" spans="3:15"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</row>
    <row r="142" spans="3:15"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</row>
    <row r="143" spans="3:15"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</row>
    <row r="144" spans="3:15"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</row>
    <row r="145" spans="3:15"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</row>
    <row r="146" spans="3:15"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</row>
    <row r="147" spans="3:15"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</row>
    <row r="148" spans="3:15"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</row>
    <row r="149" spans="3:15"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</row>
    <row r="150" spans="3:15"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</row>
    <row r="151" spans="3:15"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</row>
    <row r="152" spans="3:15"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</row>
    <row r="153" spans="3:15"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9"/>
  <sheetViews>
    <sheetView topLeftCell="T13" zoomScale="120" zoomScaleNormal="120" workbookViewId="0">
      <selection activeCell="V35" sqref="V35:Z46"/>
    </sheetView>
  </sheetViews>
  <sheetFormatPr defaultColWidth="9" defaultRowHeight="12.75"/>
  <cols>
    <col min="1" max="1" width="13.42578125" style="5" customWidth="1"/>
    <col min="2" max="2" width="22.7109375" style="62" customWidth="1"/>
    <col min="3" max="3" width="26.7109375" style="58" customWidth="1"/>
    <col min="4" max="4" width="16.85546875" style="58" customWidth="1"/>
    <col min="5" max="5" width="18.28515625" style="58" customWidth="1"/>
    <col min="6" max="6" width="23.7109375" style="60" customWidth="1"/>
    <col min="7" max="7" width="21.42578125" style="60" customWidth="1"/>
    <col min="8" max="8" width="23.7109375" style="60" customWidth="1"/>
    <col min="9" max="9" width="19.5703125" style="60" customWidth="1"/>
    <col min="10" max="10" width="23.7109375" style="60" customWidth="1"/>
    <col min="11" max="11" width="16.140625" style="58" customWidth="1"/>
    <col min="12" max="12" width="18.5703125" style="58" customWidth="1"/>
    <col min="13" max="13" width="28.85546875" style="58" customWidth="1"/>
    <col min="14" max="16" width="17.7109375" style="58" customWidth="1"/>
    <col min="17" max="17" width="23.28515625" style="58" customWidth="1"/>
    <col min="18" max="18" width="30.7109375" style="59" customWidth="1"/>
    <col min="19" max="19" width="28.140625" style="266" customWidth="1"/>
    <col min="20" max="20" width="23" style="57" customWidth="1"/>
    <col min="21" max="21" width="22.85546875" style="5" customWidth="1"/>
    <col min="22" max="22" width="16.140625" style="5" customWidth="1"/>
    <col min="23" max="23" width="21.5703125" style="5" customWidth="1"/>
    <col min="24" max="16384" width="9" style="5"/>
  </cols>
  <sheetData>
    <row r="1" spans="1:35" ht="14.25" customHeight="1">
      <c r="A1" s="184"/>
      <c r="B1" s="185"/>
      <c r="C1" s="572" t="s">
        <v>450</v>
      </c>
      <c r="D1" s="573"/>
      <c r="E1" s="573"/>
      <c r="F1" s="573"/>
      <c r="G1" s="573"/>
      <c r="H1" s="573"/>
      <c r="I1" s="573"/>
      <c r="J1" s="573"/>
      <c r="K1" s="574"/>
      <c r="L1" s="296"/>
      <c r="M1" s="570" t="s">
        <v>449</v>
      </c>
      <c r="N1" s="571"/>
      <c r="O1" s="571"/>
      <c r="P1" s="571"/>
      <c r="Q1" s="571"/>
      <c r="R1" s="565" t="s">
        <v>553</v>
      </c>
      <c r="S1" s="566"/>
      <c r="U1" s="561"/>
      <c r="V1" s="561"/>
      <c r="W1" s="561"/>
    </row>
    <row r="2" spans="1:35" ht="13.5" thickBot="1">
      <c r="A2" s="184" t="s">
        <v>448</v>
      </c>
      <c r="B2" s="183" t="s">
        <v>447</v>
      </c>
      <c r="C2" s="182" t="s">
        <v>446</v>
      </c>
      <c r="D2" s="181" t="s">
        <v>34</v>
      </c>
      <c r="E2" s="180" t="s">
        <v>41</v>
      </c>
      <c r="F2" s="277" t="s">
        <v>445</v>
      </c>
      <c r="G2" s="181" t="s">
        <v>456</v>
      </c>
      <c r="H2" s="181" t="s">
        <v>458</v>
      </c>
      <c r="I2" s="181" t="s">
        <v>464</v>
      </c>
      <c r="J2" s="180" t="s">
        <v>33</v>
      </c>
      <c r="K2" s="278" t="s">
        <v>442</v>
      </c>
      <c r="L2" s="314" t="s">
        <v>79</v>
      </c>
      <c r="M2" s="179" t="s">
        <v>444</v>
      </c>
      <c r="N2" s="179" t="s">
        <v>34</v>
      </c>
      <c r="O2" s="178" t="s">
        <v>465</v>
      </c>
      <c r="P2" s="177" t="s">
        <v>33</v>
      </c>
      <c r="Q2" s="178" t="s">
        <v>442</v>
      </c>
      <c r="R2" s="175" t="s">
        <v>439</v>
      </c>
      <c r="S2" s="174" t="s">
        <v>438</v>
      </c>
      <c r="U2" s="465"/>
      <c r="V2" s="465"/>
      <c r="W2" s="465"/>
    </row>
    <row r="3" spans="1:35" ht="15" customHeight="1" thickBot="1">
      <c r="A3" s="151" t="s">
        <v>436</v>
      </c>
      <c r="B3" s="172" t="s">
        <v>435</v>
      </c>
      <c r="C3" s="171" t="s">
        <v>434</v>
      </c>
      <c r="D3" s="170">
        <v>386.9</v>
      </c>
      <c r="E3" s="169">
        <f>IF(D3&lt;135,300, IF(AND(D3&gt;135,D3&lt;288),250, IF(AND(D3&gt;288,D3&lt;537),200,IF(AND(D3&gt;537,D3&lt;1096),150,100))))</f>
        <v>200</v>
      </c>
      <c r="F3" s="276">
        <v>131.95400000000001</v>
      </c>
      <c r="G3" s="169">
        <v>2.5</v>
      </c>
      <c r="H3" s="276">
        <f>F3*G3</f>
        <v>329.88499999999999</v>
      </c>
      <c r="I3" s="169">
        <f t="shared" ref="I3:I34" si="0">CEILING(H3/(0.84*E3),1)</f>
        <v>2</v>
      </c>
      <c r="J3" s="169">
        <f>I3*E3</f>
        <v>400</v>
      </c>
      <c r="K3" s="169">
        <f>J3-H3</f>
        <v>70.115000000000009</v>
      </c>
      <c r="L3" s="276">
        <f>H3/J3</f>
        <v>0.82471249999999996</v>
      </c>
      <c r="M3" s="166" t="s">
        <v>433</v>
      </c>
      <c r="N3" s="168">
        <v>598.85</v>
      </c>
      <c r="O3" s="167">
        <f>IF(N3&lt;135,300, IF(AND(N3&gt;135,N3&lt;288),250, IF(AND(N3&gt;288,N3&lt;537),200,IF(AND(N3&gt;537,N3&lt;1096),150,100))))</f>
        <v>150</v>
      </c>
      <c r="P3" s="166">
        <f>O3*I3</f>
        <v>300</v>
      </c>
      <c r="Q3" s="167">
        <f>P3-H3</f>
        <v>-29.884999999999991</v>
      </c>
      <c r="R3" s="123"/>
      <c r="S3" s="436"/>
      <c r="U3" s="339" t="s">
        <v>498</v>
      </c>
      <c r="V3" s="339" t="s">
        <v>499</v>
      </c>
      <c r="W3" s="340" t="s">
        <v>554</v>
      </c>
    </row>
    <row r="4" spans="1:35" ht="15" customHeight="1" thickBot="1">
      <c r="A4" s="562" t="s">
        <v>44</v>
      </c>
      <c r="B4" s="165" t="s">
        <v>3</v>
      </c>
      <c r="C4" s="164" t="s">
        <v>44</v>
      </c>
      <c r="D4" s="163">
        <v>424.31</v>
      </c>
      <c r="E4" s="91">
        <f t="shared" ref="E4:E56" si="1">IF(D4&lt;135,300, IF(AND(D4&gt;135,D4&lt;288),250, IF(AND(D4&gt;288,D4&lt;537),200,IF(AND(D4&gt;537,D4&lt;1096),150,100))))</f>
        <v>200</v>
      </c>
      <c r="F4" s="267">
        <v>79.758499999999998</v>
      </c>
      <c r="G4" s="81">
        <v>2.5</v>
      </c>
      <c r="H4" s="269">
        <f t="shared" ref="H4:H56" si="2">F4*G4</f>
        <v>199.39625000000001</v>
      </c>
      <c r="I4" s="81">
        <f t="shared" si="0"/>
        <v>2</v>
      </c>
      <c r="J4" s="81">
        <f t="shared" ref="J4:J56" si="3">I4*E4</f>
        <v>400</v>
      </c>
      <c r="K4" s="81">
        <f t="shared" ref="K4:K13" si="4">J4-H4</f>
        <v>200.60374999999999</v>
      </c>
      <c r="L4" s="276">
        <f t="shared" ref="L4:L56" si="5">H4/J4</f>
        <v>0.49849062500000002</v>
      </c>
      <c r="M4" s="161" t="s">
        <v>432</v>
      </c>
      <c r="N4" s="162">
        <v>561.44000000000005</v>
      </c>
      <c r="O4" s="89">
        <f t="shared" ref="O4:O56" si="6">IF(N4&lt;135,300, IF(AND(N4&gt;135,N4&lt;288),250, IF(AND(N4&gt;288,N4&lt;537),200,IF(AND(N4&gt;537,N4&lt;1096),150,100))))</f>
        <v>150</v>
      </c>
      <c r="P4" s="88">
        <f t="shared" ref="P4:P56" si="7">O4*I4</f>
        <v>300</v>
      </c>
      <c r="Q4" s="89">
        <f t="shared" ref="Q4:Q13" si="8">P4-H4</f>
        <v>100.60374999999999</v>
      </c>
      <c r="R4" s="159"/>
      <c r="S4" s="388"/>
      <c r="U4" s="60" t="s">
        <v>493</v>
      </c>
      <c r="V4" s="60">
        <v>100</v>
      </c>
      <c r="W4" s="61">
        <v>15</v>
      </c>
    </row>
    <row r="5" spans="1:35" ht="14.25" customHeight="1" thickBot="1">
      <c r="A5" s="563"/>
      <c r="B5" s="160" t="s">
        <v>25</v>
      </c>
      <c r="C5" s="111" t="s">
        <v>65</v>
      </c>
      <c r="D5" s="92">
        <v>645.40499999999997</v>
      </c>
      <c r="E5" s="91">
        <f t="shared" si="1"/>
        <v>150</v>
      </c>
      <c r="F5" s="268">
        <v>101.52370000000001</v>
      </c>
      <c r="G5" s="71">
        <v>2.5</v>
      </c>
      <c r="H5" s="271">
        <f t="shared" si="2"/>
        <v>253.80925000000002</v>
      </c>
      <c r="I5" s="71">
        <f t="shared" si="0"/>
        <v>3</v>
      </c>
      <c r="J5" s="71">
        <f t="shared" si="3"/>
        <v>450</v>
      </c>
      <c r="K5" s="71">
        <f t="shared" si="4"/>
        <v>196.19074999999998</v>
      </c>
      <c r="L5" s="276">
        <f t="shared" si="5"/>
        <v>0.56402055555555564</v>
      </c>
      <c r="M5" s="88" t="s">
        <v>427</v>
      </c>
      <c r="N5" s="90">
        <v>691.82</v>
      </c>
      <c r="O5" s="89">
        <f t="shared" si="6"/>
        <v>150</v>
      </c>
      <c r="P5" s="88">
        <f t="shared" si="7"/>
        <v>450</v>
      </c>
      <c r="Q5" s="89">
        <f t="shared" si="8"/>
        <v>196.19074999999998</v>
      </c>
      <c r="R5" s="123"/>
      <c r="S5" s="364"/>
      <c r="U5" s="341" t="s">
        <v>494</v>
      </c>
      <c r="V5" s="341">
        <v>150</v>
      </c>
      <c r="W5" s="59">
        <v>16.3689</v>
      </c>
    </row>
    <row r="6" spans="1:35" ht="14.25" customHeight="1" thickBot="1">
      <c r="A6" s="562" t="s">
        <v>431</v>
      </c>
      <c r="B6" s="84" t="s">
        <v>430</v>
      </c>
      <c r="C6" s="83" t="s">
        <v>390</v>
      </c>
      <c r="D6" s="82">
        <v>774.56</v>
      </c>
      <c r="E6" s="81">
        <f t="shared" si="1"/>
        <v>150</v>
      </c>
      <c r="F6" s="269">
        <v>593.39</v>
      </c>
      <c r="G6" s="91">
        <v>2.5</v>
      </c>
      <c r="H6" s="268">
        <f t="shared" si="2"/>
        <v>1483.4749999999999</v>
      </c>
      <c r="I6" s="91">
        <f t="shared" si="0"/>
        <v>12</v>
      </c>
      <c r="J6" s="91">
        <f t="shared" si="3"/>
        <v>1800</v>
      </c>
      <c r="K6" s="91">
        <f t="shared" si="4"/>
        <v>316.52500000000009</v>
      </c>
      <c r="L6" s="276">
        <f t="shared" si="5"/>
        <v>0.82415277777777773</v>
      </c>
      <c r="M6" s="98" t="s">
        <v>429</v>
      </c>
      <c r="N6" s="80">
        <v>778.62</v>
      </c>
      <c r="O6" s="79">
        <f t="shared" si="6"/>
        <v>150</v>
      </c>
      <c r="P6" s="98">
        <f t="shared" si="7"/>
        <v>1800</v>
      </c>
      <c r="Q6" s="79">
        <f t="shared" si="8"/>
        <v>316.52500000000009</v>
      </c>
      <c r="R6" s="117"/>
      <c r="S6" s="437"/>
      <c r="U6" s="341" t="s">
        <v>495</v>
      </c>
      <c r="V6" s="341">
        <v>200</v>
      </c>
      <c r="W6" s="59">
        <v>16.746700000000001</v>
      </c>
    </row>
    <row r="7" spans="1:35" ht="14.25" customHeight="1" thickBot="1">
      <c r="A7" s="564"/>
      <c r="B7" s="94" t="s">
        <v>4</v>
      </c>
      <c r="C7" s="93" t="s">
        <v>45</v>
      </c>
      <c r="D7" s="105">
        <v>221.095</v>
      </c>
      <c r="E7" s="91">
        <f t="shared" si="1"/>
        <v>250</v>
      </c>
      <c r="F7" s="273">
        <v>165.54</v>
      </c>
      <c r="G7" s="91">
        <v>2.5</v>
      </c>
      <c r="H7" s="268">
        <f t="shared" si="2"/>
        <v>413.84999999999997</v>
      </c>
      <c r="I7" s="91">
        <f t="shared" si="0"/>
        <v>2</v>
      </c>
      <c r="J7" s="91">
        <f t="shared" si="3"/>
        <v>500</v>
      </c>
      <c r="K7" s="91">
        <f t="shared" si="4"/>
        <v>86.150000000000034</v>
      </c>
      <c r="L7" s="276">
        <f t="shared" si="5"/>
        <v>0.82769999999999988</v>
      </c>
      <c r="M7" s="99" t="s">
        <v>428</v>
      </c>
      <c r="N7" s="104">
        <v>904.18</v>
      </c>
      <c r="O7" s="89">
        <f t="shared" si="6"/>
        <v>150</v>
      </c>
      <c r="P7" s="88">
        <f t="shared" si="7"/>
        <v>300</v>
      </c>
      <c r="Q7" s="89">
        <f t="shared" si="8"/>
        <v>-113.84999999999997</v>
      </c>
      <c r="R7" s="137"/>
      <c r="S7" s="438"/>
      <c r="U7" s="341" t="s">
        <v>496</v>
      </c>
      <c r="V7" s="341">
        <v>250</v>
      </c>
      <c r="W7" s="59">
        <v>16.886600000000001</v>
      </c>
    </row>
    <row r="8" spans="1:35" ht="14.25" customHeight="1" thickBot="1">
      <c r="A8" s="564"/>
      <c r="B8" s="94" t="s">
        <v>25</v>
      </c>
      <c r="C8" s="93" t="s">
        <v>65</v>
      </c>
      <c r="D8" s="92">
        <v>645.40499999999997</v>
      </c>
      <c r="E8" s="71">
        <f t="shared" si="1"/>
        <v>150</v>
      </c>
      <c r="F8" s="268">
        <v>101.52370000000001</v>
      </c>
      <c r="G8" s="91">
        <v>2.5</v>
      </c>
      <c r="H8" s="268">
        <f t="shared" si="2"/>
        <v>253.80925000000002</v>
      </c>
      <c r="I8" s="91">
        <f t="shared" si="0"/>
        <v>3</v>
      </c>
      <c r="J8" s="91">
        <f t="shared" si="3"/>
        <v>450</v>
      </c>
      <c r="K8" s="91">
        <f t="shared" si="4"/>
        <v>196.19074999999998</v>
      </c>
      <c r="L8" s="276">
        <f t="shared" si="5"/>
        <v>0.56402055555555564</v>
      </c>
      <c r="M8" s="88" t="s">
        <v>427</v>
      </c>
      <c r="N8" s="90">
        <v>691.82</v>
      </c>
      <c r="O8" s="115">
        <f t="shared" si="6"/>
        <v>150</v>
      </c>
      <c r="P8" s="69">
        <f t="shared" si="7"/>
        <v>450</v>
      </c>
      <c r="Q8" s="115">
        <f t="shared" si="8"/>
        <v>196.19074999999998</v>
      </c>
      <c r="R8" s="113"/>
      <c r="S8" s="439"/>
      <c r="U8" s="342" t="s">
        <v>497</v>
      </c>
      <c r="V8" s="342">
        <v>400</v>
      </c>
      <c r="W8" s="343">
        <v>17</v>
      </c>
    </row>
    <row r="9" spans="1:35" ht="14.25" customHeight="1" thickBot="1">
      <c r="A9" s="562" t="s">
        <v>46</v>
      </c>
      <c r="B9" s="84" t="s">
        <v>5</v>
      </c>
      <c r="C9" s="83" t="s">
        <v>46</v>
      </c>
      <c r="D9" s="82">
        <v>87.444999999999993</v>
      </c>
      <c r="E9" s="91">
        <f t="shared" si="1"/>
        <v>300</v>
      </c>
      <c r="F9" s="269">
        <v>330.03719999999998</v>
      </c>
      <c r="G9" s="81">
        <v>2.5</v>
      </c>
      <c r="H9" s="269">
        <f t="shared" si="2"/>
        <v>825.09299999999996</v>
      </c>
      <c r="I9" s="81">
        <f t="shared" si="0"/>
        <v>4</v>
      </c>
      <c r="J9" s="81">
        <f t="shared" si="3"/>
        <v>1200</v>
      </c>
      <c r="K9" s="81">
        <f t="shared" si="4"/>
        <v>374.90700000000004</v>
      </c>
      <c r="L9" s="276">
        <f t="shared" si="5"/>
        <v>0.68757749999999995</v>
      </c>
      <c r="M9" s="98" t="s">
        <v>426</v>
      </c>
      <c r="N9" s="80">
        <v>243.73500000000001</v>
      </c>
      <c r="O9" s="89">
        <f t="shared" si="6"/>
        <v>250</v>
      </c>
      <c r="P9" s="88">
        <f t="shared" si="7"/>
        <v>1000</v>
      </c>
      <c r="Q9" s="89">
        <f t="shared" si="8"/>
        <v>174.90700000000004</v>
      </c>
      <c r="R9" s="159"/>
      <c r="S9" s="437"/>
      <c r="U9" s="329"/>
      <c r="V9" s="329"/>
    </row>
    <row r="10" spans="1:35" ht="14.25" customHeight="1" thickBot="1">
      <c r="A10" s="564"/>
      <c r="B10" s="94" t="s">
        <v>7</v>
      </c>
      <c r="C10" s="93" t="s">
        <v>48</v>
      </c>
      <c r="D10" s="105">
        <v>457.755</v>
      </c>
      <c r="E10" s="91">
        <f t="shared" si="1"/>
        <v>200</v>
      </c>
      <c r="F10" s="273">
        <v>200.11</v>
      </c>
      <c r="G10" s="91">
        <v>2.5</v>
      </c>
      <c r="H10" s="268">
        <f t="shared" si="2"/>
        <v>500.27500000000003</v>
      </c>
      <c r="I10" s="91">
        <f t="shared" si="0"/>
        <v>3</v>
      </c>
      <c r="J10" s="91">
        <f t="shared" si="3"/>
        <v>600</v>
      </c>
      <c r="K10" s="91">
        <f t="shared" si="4"/>
        <v>99.724999999999966</v>
      </c>
      <c r="L10" s="276">
        <f t="shared" si="5"/>
        <v>0.83379166666666671</v>
      </c>
      <c r="M10" s="99" t="s">
        <v>425</v>
      </c>
      <c r="N10" s="104">
        <v>614.06500000000005</v>
      </c>
      <c r="O10" s="89">
        <f t="shared" si="6"/>
        <v>150</v>
      </c>
      <c r="P10" s="88">
        <f t="shared" si="7"/>
        <v>450</v>
      </c>
      <c r="Q10" s="89">
        <f t="shared" si="8"/>
        <v>-50.275000000000034</v>
      </c>
      <c r="R10" s="137"/>
      <c r="S10" s="438"/>
      <c r="U10" s="329"/>
      <c r="V10" s="329"/>
    </row>
    <row r="11" spans="1:35" ht="14.25" customHeight="1" thickBot="1">
      <c r="A11" s="564"/>
      <c r="B11" s="94" t="s">
        <v>8</v>
      </c>
      <c r="C11" s="93" t="s">
        <v>74</v>
      </c>
      <c r="D11" s="105">
        <v>632.29</v>
      </c>
      <c r="E11" s="91">
        <f t="shared" si="1"/>
        <v>150</v>
      </c>
      <c r="F11" s="273">
        <v>416.14780000000002</v>
      </c>
      <c r="G11" s="91">
        <v>2.5</v>
      </c>
      <c r="H11" s="268">
        <f t="shared" si="2"/>
        <v>1040.3695</v>
      </c>
      <c r="I11" s="91">
        <f t="shared" si="0"/>
        <v>9</v>
      </c>
      <c r="J11" s="91">
        <f t="shared" si="3"/>
        <v>1350</v>
      </c>
      <c r="K11" s="91">
        <f t="shared" si="4"/>
        <v>309.63049999999998</v>
      </c>
      <c r="L11" s="276">
        <f t="shared" si="5"/>
        <v>0.77064407407407409</v>
      </c>
      <c r="M11" s="99" t="s">
        <v>424</v>
      </c>
      <c r="N11" s="104">
        <v>692.19500000000005</v>
      </c>
      <c r="O11" s="89">
        <f t="shared" si="6"/>
        <v>150</v>
      </c>
      <c r="P11" s="88">
        <f t="shared" si="7"/>
        <v>1350</v>
      </c>
      <c r="Q11" s="89">
        <f t="shared" si="8"/>
        <v>309.63049999999998</v>
      </c>
      <c r="R11" s="137"/>
      <c r="S11" s="438"/>
      <c r="U11" s="18"/>
      <c r="V11" s="329"/>
    </row>
    <row r="12" spans="1:35" ht="14.25" customHeight="1" thickBot="1">
      <c r="A12" s="564"/>
      <c r="B12" s="94" t="s">
        <v>12</v>
      </c>
      <c r="C12" s="93" t="s">
        <v>52</v>
      </c>
      <c r="D12" s="105">
        <v>428.91</v>
      </c>
      <c r="E12" s="91">
        <f t="shared" si="1"/>
        <v>200</v>
      </c>
      <c r="F12" s="273">
        <v>320.77999999999997</v>
      </c>
      <c r="G12" s="91">
        <v>2.5</v>
      </c>
      <c r="H12" s="268">
        <f t="shared" si="2"/>
        <v>801.94999999999993</v>
      </c>
      <c r="I12" s="91">
        <f t="shared" si="0"/>
        <v>5</v>
      </c>
      <c r="J12" s="91">
        <f t="shared" si="3"/>
        <v>1000</v>
      </c>
      <c r="K12" s="91">
        <f t="shared" si="4"/>
        <v>198.05000000000007</v>
      </c>
      <c r="L12" s="276">
        <f t="shared" si="5"/>
        <v>0.80194999999999994</v>
      </c>
      <c r="M12" s="99" t="s">
        <v>418</v>
      </c>
      <c r="N12" s="104">
        <v>440.09</v>
      </c>
      <c r="O12" s="89">
        <f t="shared" si="6"/>
        <v>200</v>
      </c>
      <c r="P12" s="88">
        <f t="shared" si="7"/>
        <v>1000</v>
      </c>
      <c r="Q12" s="89">
        <f t="shared" si="8"/>
        <v>198.05000000000007</v>
      </c>
      <c r="R12" s="137"/>
      <c r="S12" s="438"/>
      <c r="U12" s="329"/>
      <c r="V12" s="329"/>
    </row>
    <row r="13" spans="1:35" ht="14.25" customHeight="1" thickBot="1">
      <c r="A13" s="564"/>
      <c r="B13" s="94" t="s">
        <v>394</v>
      </c>
      <c r="C13" s="93" t="s">
        <v>63</v>
      </c>
      <c r="D13" s="92">
        <v>530.30999999999995</v>
      </c>
      <c r="E13" s="91">
        <f t="shared" si="1"/>
        <v>200</v>
      </c>
      <c r="F13" s="268">
        <v>22.35</v>
      </c>
      <c r="G13" s="71">
        <v>2.5</v>
      </c>
      <c r="H13" s="271">
        <f t="shared" si="2"/>
        <v>55.875</v>
      </c>
      <c r="I13" s="71">
        <f t="shared" si="0"/>
        <v>1</v>
      </c>
      <c r="J13" s="71">
        <f t="shared" si="3"/>
        <v>200</v>
      </c>
      <c r="K13" s="71">
        <f t="shared" si="4"/>
        <v>144.125</v>
      </c>
      <c r="L13" s="276">
        <f t="shared" si="5"/>
        <v>0.27937499999999998</v>
      </c>
      <c r="M13" s="88" t="s">
        <v>416</v>
      </c>
      <c r="N13" s="90">
        <v>541.49</v>
      </c>
      <c r="O13" s="89">
        <f t="shared" si="6"/>
        <v>150</v>
      </c>
      <c r="P13" s="88">
        <f t="shared" si="7"/>
        <v>150</v>
      </c>
      <c r="Q13" s="89">
        <f t="shared" si="8"/>
        <v>94.125</v>
      </c>
      <c r="R13" s="123"/>
      <c r="S13" s="439"/>
      <c r="U13" s="557" t="s">
        <v>570</v>
      </c>
      <c r="V13" s="558"/>
      <c r="W13" s="558"/>
      <c r="X13" s="558"/>
      <c r="Y13" s="558"/>
      <c r="Z13" s="559"/>
      <c r="AA13" s="154"/>
      <c r="AF13" s="486"/>
      <c r="AG13" s="486"/>
      <c r="AH13" s="486"/>
      <c r="AI13" s="486"/>
    </row>
    <row r="14" spans="1:35" ht="13.5" thickBot="1">
      <c r="A14" s="109" t="s">
        <v>424</v>
      </c>
      <c r="B14" s="84" t="s">
        <v>351</v>
      </c>
      <c r="C14" s="150"/>
      <c r="D14" s="82"/>
      <c r="E14" s="169">
        <f t="shared" si="1"/>
        <v>300</v>
      </c>
      <c r="F14" s="269"/>
      <c r="G14" s="91">
        <v>2.5</v>
      </c>
      <c r="H14" s="268">
        <f t="shared" si="2"/>
        <v>0</v>
      </c>
      <c r="I14" s="91">
        <f t="shared" si="0"/>
        <v>0</v>
      </c>
      <c r="J14" s="91">
        <f t="shared" si="3"/>
        <v>0</v>
      </c>
      <c r="K14" s="91"/>
      <c r="L14" s="276"/>
      <c r="M14" s="98"/>
      <c r="N14" s="80"/>
      <c r="O14" s="167">
        <f t="shared" si="6"/>
        <v>300</v>
      </c>
      <c r="P14" s="166">
        <f t="shared" si="7"/>
        <v>0</v>
      </c>
      <c r="Q14" s="167"/>
      <c r="R14" s="149"/>
      <c r="S14" s="158"/>
      <c r="U14" s="331" t="s">
        <v>491</v>
      </c>
      <c r="V14" s="333" t="s">
        <v>493</v>
      </c>
      <c r="W14" s="333" t="s">
        <v>494</v>
      </c>
      <c r="X14" s="333" t="s">
        <v>495</v>
      </c>
      <c r="Y14" s="333" t="s">
        <v>496</v>
      </c>
      <c r="Z14" s="334" t="s">
        <v>562</v>
      </c>
      <c r="AA14" s="290" t="s">
        <v>415</v>
      </c>
      <c r="AF14" s="486"/>
      <c r="AG14" s="486"/>
      <c r="AH14" s="486"/>
      <c r="AI14" s="491"/>
    </row>
    <row r="15" spans="1:35" ht="14.25" customHeight="1" thickBot="1">
      <c r="A15" s="562" t="s">
        <v>49</v>
      </c>
      <c r="B15" s="84" t="s">
        <v>423</v>
      </c>
      <c r="C15" s="83" t="s">
        <v>47</v>
      </c>
      <c r="D15" s="82">
        <v>341.36500000000001</v>
      </c>
      <c r="E15" s="91">
        <f t="shared" si="1"/>
        <v>200</v>
      </c>
      <c r="F15" s="269">
        <v>414.50749999999999</v>
      </c>
      <c r="G15" s="81">
        <v>2.5</v>
      </c>
      <c r="H15" s="269">
        <f t="shared" si="2"/>
        <v>1036.26875</v>
      </c>
      <c r="I15" s="81">
        <f t="shared" si="0"/>
        <v>7</v>
      </c>
      <c r="J15" s="81">
        <f t="shared" si="3"/>
        <v>1400</v>
      </c>
      <c r="K15" s="81">
        <f>J15-H15</f>
        <v>363.73125000000005</v>
      </c>
      <c r="L15" s="276">
        <f t="shared" si="5"/>
        <v>0.74019196428571421</v>
      </c>
      <c r="M15" s="98" t="s">
        <v>422</v>
      </c>
      <c r="N15" s="80">
        <v>527.53499999999997</v>
      </c>
      <c r="O15" s="89">
        <f t="shared" si="6"/>
        <v>200</v>
      </c>
      <c r="P15" s="88">
        <f t="shared" si="7"/>
        <v>1400</v>
      </c>
      <c r="Q15" s="89">
        <f>P15-H15</f>
        <v>363.73125000000005</v>
      </c>
      <c r="R15" s="117"/>
      <c r="S15" s="567"/>
      <c r="U15" s="59" t="s">
        <v>84</v>
      </c>
      <c r="V15" s="335">
        <v>0</v>
      </c>
      <c r="W15" s="335">
        <v>0</v>
      </c>
      <c r="X15" s="336">
        <v>1</v>
      </c>
      <c r="Y15" s="336">
        <v>0</v>
      </c>
      <c r="Z15" s="337">
        <v>0</v>
      </c>
      <c r="AA15" s="338">
        <f>SUM(V15:Z15)</f>
        <v>1</v>
      </c>
      <c r="AF15" s="486"/>
      <c r="AG15" s="486"/>
      <c r="AH15" s="486"/>
      <c r="AI15" s="486"/>
    </row>
    <row r="16" spans="1:35" ht="14.25" customHeight="1" thickBot="1">
      <c r="A16" s="564"/>
      <c r="B16" s="94" t="s">
        <v>9</v>
      </c>
      <c r="C16" s="93" t="s">
        <v>421</v>
      </c>
      <c r="D16" s="105">
        <v>72.555000000000007</v>
      </c>
      <c r="E16" s="91">
        <f t="shared" si="1"/>
        <v>300</v>
      </c>
      <c r="F16" s="273">
        <v>249.06020000000001</v>
      </c>
      <c r="G16" s="91">
        <v>2.5</v>
      </c>
      <c r="H16" s="268">
        <f t="shared" si="2"/>
        <v>622.65049999999997</v>
      </c>
      <c r="I16" s="91">
        <f t="shared" si="0"/>
        <v>3</v>
      </c>
      <c r="J16" s="91">
        <f t="shared" si="3"/>
        <v>900</v>
      </c>
      <c r="K16" s="91">
        <f t="shared" ref="K16:K24" si="9">J16-H16</f>
        <v>277.34950000000003</v>
      </c>
      <c r="L16" s="276">
        <f t="shared" si="5"/>
        <v>0.69183388888888886</v>
      </c>
      <c r="M16" s="99" t="s">
        <v>420</v>
      </c>
      <c r="N16" s="104">
        <v>258.625</v>
      </c>
      <c r="O16" s="89">
        <f t="shared" si="6"/>
        <v>250</v>
      </c>
      <c r="P16" s="88">
        <f t="shared" si="7"/>
        <v>750</v>
      </c>
      <c r="Q16" s="89">
        <f t="shared" ref="Q16:Q24" si="10">P16-H16</f>
        <v>127.34950000000003</v>
      </c>
      <c r="R16" s="137"/>
      <c r="S16" s="568"/>
      <c r="U16" s="59" t="s">
        <v>85</v>
      </c>
      <c r="V16" s="335">
        <v>1</v>
      </c>
      <c r="W16" s="335">
        <v>5</v>
      </c>
      <c r="X16" s="335">
        <v>0</v>
      </c>
      <c r="Y16" s="335">
        <v>0</v>
      </c>
      <c r="Z16" s="337">
        <v>0</v>
      </c>
      <c r="AA16" s="59">
        <f t="shared" ref="AA16:AA26" si="11">SUM(V16:Z16)</f>
        <v>6</v>
      </c>
      <c r="AF16" s="486"/>
      <c r="AG16" s="486"/>
      <c r="AH16" s="486"/>
      <c r="AI16" s="486"/>
    </row>
    <row r="17" spans="1:35" ht="14.25" customHeight="1" thickBot="1">
      <c r="A17" s="564"/>
      <c r="B17" s="94" t="s">
        <v>10</v>
      </c>
      <c r="C17" s="93" t="s">
        <v>384</v>
      </c>
      <c r="D17" s="105">
        <v>894.93</v>
      </c>
      <c r="E17" s="91">
        <f t="shared" si="1"/>
        <v>150</v>
      </c>
      <c r="F17" s="273">
        <v>185.4342</v>
      </c>
      <c r="G17" s="91">
        <v>2.5</v>
      </c>
      <c r="H17" s="268">
        <f t="shared" si="2"/>
        <v>463.58550000000002</v>
      </c>
      <c r="I17" s="91">
        <f t="shared" si="0"/>
        <v>4</v>
      </c>
      <c r="J17" s="91">
        <f t="shared" si="3"/>
        <v>600</v>
      </c>
      <c r="K17" s="91">
        <f t="shared" si="9"/>
        <v>136.41449999999998</v>
      </c>
      <c r="L17" s="276">
        <f t="shared" si="5"/>
        <v>0.77264250000000001</v>
      </c>
      <c r="M17" s="99" t="s">
        <v>383</v>
      </c>
      <c r="N17" s="104">
        <v>975.03499999999997</v>
      </c>
      <c r="O17" s="89">
        <f t="shared" si="6"/>
        <v>150</v>
      </c>
      <c r="P17" s="88">
        <f t="shared" si="7"/>
        <v>600</v>
      </c>
      <c r="Q17" s="89">
        <f t="shared" si="10"/>
        <v>136.41449999999998</v>
      </c>
      <c r="R17" s="137"/>
      <c r="S17" s="568"/>
      <c r="U17" s="59" t="s">
        <v>86</v>
      </c>
      <c r="V17" s="335">
        <v>1</v>
      </c>
      <c r="W17" s="335">
        <v>1</v>
      </c>
      <c r="X17" s="335">
        <v>2</v>
      </c>
      <c r="Y17" s="335">
        <v>0</v>
      </c>
      <c r="Z17" s="337">
        <v>0</v>
      </c>
      <c r="AA17" s="59">
        <f t="shared" si="11"/>
        <v>4</v>
      </c>
      <c r="AC17" s="481" t="s">
        <v>498</v>
      </c>
      <c r="AD17" s="481" t="s">
        <v>499</v>
      </c>
      <c r="AE17" s="340" t="s">
        <v>500</v>
      </c>
      <c r="AF17" s="486"/>
      <c r="AG17" s="486"/>
    </row>
    <row r="18" spans="1:35" ht="14.25" customHeight="1" thickBot="1">
      <c r="A18" s="564"/>
      <c r="B18" s="94" t="s">
        <v>11</v>
      </c>
      <c r="C18" s="93" t="s">
        <v>377</v>
      </c>
      <c r="D18" s="105">
        <v>839.23</v>
      </c>
      <c r="E18" s="91">
        <f t="shared" si="1"/>
        <v>150</v>
      </c>
      <c r="F18" s="273">
        <v>213.84829999999999</v>
      </c>
      <c r="G18" s="91">
        <v>2.5</v>
      </c>
      <c r="H18" s="268">
        <f t="shared" si="2"/>
        <v>534.62075000000004</v>
      </c>
      <c r="I18" s="91">
        <f t="shared" si="0"/>
        <v>5</v>
      </c>
      <c r="J18" s="91">
        <f t="shared" si="3"/>
        <v>750</v>
      </c>
      <c r="K18" s="91">
        <f t="shared" si="9"/>
        <v>215.37924999999996</v>
      </c>
      <c r="L18" s="276">
        <f t="shared" si="5"/>
        <v>0.71282766666666675</v>
      </c>
      <c r="M18" s="99" t="s">
        <v>419</v>
      </c>
      <c r="N18" s="104">
        <v>1025.3</v>
      </c>
      <c r="O18" s="89">
        <f t="shared" si="6"/>
        <v>150</v>
      </c>
      <c r="P18" s="88">
        <f t="shared" si="7"/>
        <v>750</v>
      </c>
      <c r="Q18" s="89">
        <f t="shared" si="10"/>
        <v>215.37924999999996</v>
      </c>
      <c r="R18" s="137"/>
      <c r="S18" s="568"/>
      <c r="U18" s="59" t="s">
        <v>87</v>
      </c>
      <c r="V18" s="335">
        <v>1</v>
      </c>
      <c r="W18" s="335">
        <v>1</v>
      </c>
      <c r="X18" s="335">
        <v>6</v>
      </c>
      <c r="Y18" s="335">
        <v>0</v>
      </c>
      <c r="Z18" s="337">
        <v>0</v>
      </c>
      <c r="AA18" s="59">
        <f t="shared" si="11"/>
        <v>8</v>
      </c>
      <c r="AC18" s="60" t="s">
        <v>493</v>
      </c>
      <c r="AD18" s="60">
        <v>100</v>
      </c>
      <c r="AE18" s="492">
        <v>15</v>
      </c>
      <c r="AF18" s="486"/>
      <c r="AG18" s="486"/>
    </row>
    <row r="19" spans="1:35" ht="14.25" customHeight="1" thickBot="1">
      <c r="A19" s="564"/>
      <c r="B19" s="94" t="s">
        <v>12</v>
      </c>
      <c r="C19" s="93" t="s">
        <v>52</v>
      </c>
      <c r="D19" s="105">
        <v>428.91</v>
      </c>
      <c r="E19" s="91">
        <f t="shared" si="1"/>
        <v>200</v>
      </c>
      <c r="F19" s="273">
        <v>320.7817</v>
      </c>
      <c r="G19" s="91">
        <v>2.5</v>
      </c>
      <c r="H19" s="268">
        <f t="shared" si="2"/>
        <v>801.95425</v>
      </c>
      <c r="I19" s="91">
        <f t="shared" si="0"/>
        <v>5</v>
      </c>
      <c r="J19" s="91">
        <f t="shared" si="3"/>
        <v>1000</v>
      </c>
      <c r="K19" s="91">
        <f t="shared" si="9"/>
        <v>198.04575</v>
      </c>
      <c r="L19" s="276">
        <f t="shared" si="5"/>
        <v>0.80195424999999998</v>
      </c>
      <c r="M19" s="99" t="s">
        <v>418</v>
      </c>
      <c r="N19" s="104">
        <v>440.09</v>
      </c>
      <c r="O19" s="89">
        <f t="shared" si="6"/>
        <v>200</v>
      </c>
      <c r="P19" s="88">
        <f t="shared" si="7"/>
        <v>1000</v>
      </c>
      <c r="Q19" s="89">
        <f t="shared" si="10"/>
        <v>198.04575</v>
      </c>
      <c r="R19" s="117"/>
      <c r="S19" s="568"/>
      <c r="U19" s="59" t="s">
        <v>88</v>
      </c>
      <c r="V19" s="335">
        <v>1</v>
      </c>
      <c r="W19" s="335">
        <v>4</v>
      </c>
      <c r="X19" s="335">
        <v>9</v>
      </c>
      <c r="Y19" s="335">
        <v>1</v>
      </c>
      <c r="Z19" s="337">
        <v>0</v>
      </c>
      <c r="AA19" s="59">
        <f t="shared" si="11"/>
        <v>15</v>
      </c>
      <c r="AC19" s="341" t="s">
        <v>494</v>
      </c>
      <c r="AD19" s="341">
        <v>150</v>
      </c>
      <c r="AE19" s="493">
        <v>16.3689</v>
      </c>
      <c r="AF19" s="486"/>
      <c r="AG19" s="486"/>
      <c r="AI19" s="486"/>
    </row>
    <row r="20" spans="1:35" ht="14.25" customHeight="1" thickBot="1">
      <c r="A20" s="564"/>
      <c r="B20" s="94" t="s">
        <v>417</v>
      </c>
      <c r="C20" s="93" t="s">
        <v>409</v>
      </c>
      <c r="D20" s="92">
        <v>530.30999999999995</v>
      </c>
      <c r="E20" s="91">
        <f t="shared" si="1"/>
        <v>200</v>
      </c>
      <c r="F20" s="268">
        <v>22.35</v>
      </c>
      <c r="G20" s="71">
        <v>2.5</v>
      </c>
      <c r="H20" s="271">
        <f t="shared" si="2"/>
        <v>55.875</v>
      </c>
      <c r="I20" s="71">
        <f t="shared" si="0"/>
        <v>1</v>
      </c>
      <c r="J20" s="71">
        <f t="shared" si="3"/>
        <v>200</v>
      </c>
      <c r="K20" s="71">
        <f t="shared" si="9"/>
        <v>144.125</v>
      </c>
      <c r="L20" s="276">
        <f t="shared" si="5"/>
        <v>0.27937499999999998</v>
      </c>
      <c r="M20" s="88" t="s">
        <v>416</v>
      </c>
      <c r="N20" s="90">
        <v>541.49</v>
      </c>
      <c r="O20" s="89">
        <f t="shared" si="6"/>
        <v>150</v>
      </c>
      <c r="P20" s="88">
        <f t="shared" si="7"/>
        <v>150</v>
      </c>
      <c r="Q20" s="89">
        <f t="shared" si="10"/>
        <v>94.125</v>
      </c>
      <c r="R20" s="113"/>
      <c r="S20" s="569"/>
      <c r="U20" s="59" t="s">
        <v>89</v>
      </c>
      <c r="V20" s="335">
        <v>0</v>
      </c>
      <c r="W20" s="335">
        <v>0</v>
      </c>
      <c r="X20" s="335">
        <v>0</v>
      </c>
      <c r="Y20" s="335">
        <v>1</v>
      </c>
      <c r="Z20" s="337">
        <v>0</v>
      </c>
      <c r="AA20" s="59">
        <f t="shared" si="11"/>
        <v>1</v>
      </c>
      <c r="AC20" s="341" t="s">
        <v>495</v>
      </c>
      <c r="AD20" s="341">
        <v>200</v>
      </c>
      <c r="AE20" s="493">
        <v>16.746700000000001</v>
      </c>
      <c r="AF20" s="486"/>
      <c r="AG20" s="486"/>
      <c r="AI20" s="486"/>
    </row>
    <row r="21" spans="1:35" ht="14.25" customHeight="1" thickBot="1">
      <c r="A21" s="562" t="s">
        <v>411</v>
      </c>
      <c r="B21" s="84" t="s">
        <v>7</v>
      </c>
      <c r="C21" s="83" t="s">
        <v>48</v>
      </c>
      <c r="D21" s="82">
        <v>457.755</v>
      </c>
      <c r="E21" s="81">
        <f t="shared" si="1"/>
        <v>200</v>
      </c>
      <c r="F21" s="269">
        <v>200.1122</v>
      </c>
      <c r="G21" s="91">
        <v>2.5</v>
      </c>
      <c r="H21" s="268">
        <f t="shared" si="2"/>
        <v>500.28050000000002</v>
      </c>
      <c r="I21" s="91">
        <f t="shared" si="0"/>
        <v>3</v>
      </c>
      <c r="J21" s="91">
        <f t="shared" si="3"/>
        <v>600</v>
      </c>
      <c r="K21" s="91">
        <f t="shared" si="9"/>
        <v>99.719499999999982</v>
      </c>
      <c r="L21" s="276">
        <f t="shared" si="5"/>
        <v>0.83380083333333332</v>
      </c>
      <c r="M21" s="98" t="s">
        <v>414</v>
      </c>
      <c r="N21" s="80">
        <v>733.18499999999995</v>
      </c>
      <c r="O21" s="79">
        <f t="shared" si="6"/>
        <v>150</v>
      </c>
      <c r="P21" s="98">
        <f t="shared" si="7"/>
        <v>450</v>
      </c>
      <c r="Q21" s="79">
        <f t="shared" si="10"/>
        <v>-50.280500000000018</v>
      </c>
      <c r="R21" s="117"/>
      <c r="S21" s="437"/>
      <c r="U21" s="59" t="s">
        <v>90</v>
      </c>
      <c r="V21" s="335">
        <v>0</v>
      </c>
      <c r="W21" s="335">
        <v>1</v>
      </c>
      <c r="X21" s="335">
        <v>2</v>
      </c>
      <c r="Y21" s="335">
        <v>0</v>
      </c>
      <c r="Z21" s="337">
        <v>0</v>
      </c>
      <c r="AA21" s="59">
        <f t="shared" si="11"/>
        <v>3</v>
      </c>
      <c r="AC21" s="341" t="s">
        <v>496</v>
      </c>
      <c r="AD21" s="341">
        <v>250</v>
      </c>
      <c r="AE21" s="493">
        <v>16.886600000000001</v>
      </c>
      <c r="AF21" s="486"/>
      <c r="AG21" s="486"/>
      <c r="AI21" s="486"/>
    </row>
    <row r="22" spans="1:35" ht="14.25" customHeight="1" thickBot="1">
      <c r="A22" s="564"/>
      <c r="B22" s="94" t="s">
        <v>413</v>
      </c>
      <c r="C22" s="93" t="s">
        <v>74</v>
      </c>
      <c r="D22" s="105">
        <v>632.29</v>
      </c>
      <c r="E22" s="91">
        <f t="shared" si="1"/>
        <v>150</v>
      </c>
      <c r="F22" s="273">
        <v>416.14780000000002</v>
      </c>
      <c r="G22" s="91">
        <v>2.5</v>
      </c>
      <c r="H22" s="268">
        <f t="shared" si="2"/>
        <v>1040.3695</v>
      </c>
      <c r="I22" s="91">
        <f t="shared" si="0"/>
        <v>9</v>
      </c>
      <c r="J22" s="91">
        <f t="shared" si="3"/>
        <v>1350</v>
      </c>
      <c r="K22" s="91">
        <f t="shared" si="9"/>
        <v>309.63049999999998</v>
      </c>
      <c r="L22" s="276">
        <f t="shared" si="5"/>
        <v>0.77064407407407409</v>
      </c>
      <c r="M22" s="99" t="s">
        <v>361</v>
      </c>
      <c r="N22" s="104">
        <v>692.19500000000005</v>
      </c>
      <c r="O22" s="89">
        <f t="shared" si="6"/>
        <v>150</v>
      </c>
      <c r="P22" s="88">
        <f t="shared" si="7"/>
        <v>1350</v>
      </c>
      <c r="Q22" s="89">
        <f t="shared" si="10"/>
        <v>309.63049999999998</v>
      </c>
      <c r="R22" s="137"/>
      <c r="S22" s="392"/>
      <c r="U22" s="59" t="s">
        <v>91</v>
      </c>
      <c r="V22" s="335">
        <v>1</v>
      </c>
      <c r="W22" s="335">
        <v>8</v>
      </c>
      <c r="X22" s="337">
        <v>4</v>
      </c>
      <c r="Y22" s="337">
        <v>0</v>
      </c>
      <c r="Z22" s="337">
        <v>0</v>
      </c>
      <c r="AA22" s="59">
        <f t="shared" si="11"/>
        <v>13</v>
      </c>
      <c r="AC22" s="342" t="s">
        <v>562</v>
      </c>
      <c r="AD22" s="342">
        <v>300</v>
      </c>
      <c r="AE22" s="494">
        <v>17</v>
      </c>
      <c r="AF22" s="486"/>
      <c r="AG22" s="486"/>
      <c r="AI22" s="486"/>
    </row>
    <row r="23" spans="1:35" ht="14.25" customHeight="1" thickBot="1">
      <c r="A23" s="564"/>
      <c r="B23" s="94" t="s">
        <v>412</v>
      </c>
      <c r="C23" s="93" t="s">
        <v>411</v>
      </c>
      <c r="D23" s="105">
        <v>370.31</v>
      </c>
      <c r="E23" s="91">
        <f t="shared" si="1"/>
        <v>200</v>
      </c>
      <c r="F23" s="273">
        <v>24.103000000000002</v>
      </c>
      <c r="G23" s="91">
        <v>2.5</v>
      </c>
      <c r="H23" s="268">
        <f t="shared" si="2"/>
        <v>60.257500000000007</v>
      </c>
      <c r="I23" s="91">
        <f t="shared" si="0"/>
        <v>1</v>
      </c>
      <c r="J23" s="91">
        <f t="shared" si="3"/>
        <v>200</v>
      </c>
      <c r="K23" s="91">
        <f t="shared" si="9"/>
        <v>139.74250000000001</v>
      </c>
      <c r="L23" s="276">
        <f t="shared" si="5"/>
        <v>0.30128750000000004</v>
      </c>
      <c r="M23" s="99" t="s">
        <v>410</v>
      </c>
      <c r="N23" s="104">
        <v>820.63</v>
      </c>
      <c r="O23" s="89">
        <f t="shared" si="6"/>
        <v>150</v>
      </c>
      <c r="P23" s="88">
        <f t="shared" si="7"/>
        <v>150</v>
      </c>
      <c r="Q23" s="89">
        <f t="shared" si="10"/>
        <v>89.742499999999993</v>
      </c>
      <c r="R23" s="137"/>
      <c r="S23" s="392"/>
      <c r="U23" s="59" t="s">
        <v>92</v>
      </c>
      <c r="V23" s="337">
        <v>1</v>
      </c>
      <c r="W23" s="337">
        <v>0</v>
      </c>
      <c r="X23" s="337">
        <v>2</v>
      </c>
      <c r="Y23" s="337">
        <v>0</v>
      </c>
      <c r="Z23" s="337">
        <v>0</v>
      </c>
      <c r="AA23" s="59">
        <f t="shared" si="11"/>
        <v>3</v>
      </c>
      <c r="AC23" s="486"/>
      <c r="AD23" s="486"/>
      <c r="AF23" s="486"/>
      <c r="AG23" s="486"/>
      <c r="AI23" s="486"/>
    </row>
    <row r="24" spans="1:35" ht="14.25" customHeight="1" thickBot="1">
      <c r="A24" s="564"/>
      <c r="B24" s="94" t="s">
        <v>394</v>
      </c>
      <c r="C24" s="93" t="s">
        <v>409</v>
      </c>
      <c r="D24" s="92">
        <v>530.30999999999995</v>
      </c>
      <c r="E24" s="71">
        <f t="shared" si="1"/>
        <v>200</v>
      </c>
      <c r="F24" s="268">
        <v>22.35</v>
      </c>
      <c r="G24" s="91">
        <v>2.5</v>
      </c>
      <c r="H24" s="268">
        <f t="shared" si="2"/>
        <v>55.875</v>
      </c>
      <c r="I24" s="91">
        <f t="shared" si="0"/>
        <v>1</v>
      </c>
      <c r="J24" s="91">
        <f t="shared" si="3"/>
        <v>200</v>
      </c>
      <c r="K24" s="91">
        <f t="shared" si="9"/>
        <v>144.125</v>
      </c>
      <c r="L24" s="276">
        <f t="shared" si="5"/>
        <v>0.27937499999999998</v>
      </c>
      <c r="M24" s="88" t="s">
        <v>408</v>
      </c>
      <c r="N24" s="90">
        <v>660.63</v>
      </c>
      <c r="O24" s="115">
        <f t="shared" si="6"/>
        <v>150</v>
      </c>
      <c r="P24" s="69">
        <f t="shared" si="7"/>
        <v>150</v>
      </c>
      <c r="Q24" s="115">
        <f t="shared" si="10"/>
        <v>94.125</v>
      </c>
      <c r="R24" s="113"/>
      <c r="S24" s="393"/>
      <c r="U24" s="59" t="s">
        <v>93</v>
      </c>
      <c r="V24" s="337">
        <v>0</v>
      </c>
      <c r="W24" s="335">
        <v>1</v>
      </c>
      <c r="X24" s="337">
        <v>8</v>
      </c>
      <c r="Y24" s="337">
        <v>0</v>
      </c>
      <c r="Z24" s="337">
        <v>0</v>
      </c>
      <c r="AA24" s="59">
        <f t="shared" si="11"/>
        <v>9</v>
      </c>
      <c r="AC24" s="486"/>
      <c r="AD24" s="486"/>
      <c r="AF24" s="486"/>
      <c r="AG24" s="486"/>
      <c r="AH24" s="495"/>
      <c r="AI24" s="486"/>
    </row>
    <row r="25" spans="1:35" ht="15" customHeight="1" thickBot="1">
      <c r="A25" s="151" t="s">
        <v>407</v>
      </c>
      <c r="B25" s="84" t="s">
        <v>406</v>
      </c>
      <c r="C25" s="150"/>
      <c r="D25" s="82"/>
      <c r="E25" s="91">
        <f t="shared" si="1"/>
        <v>300</v>
      </c>
      <c r="F25" s="269"/>
      <c r="G25" s="169">
        <v>2.5</v>
      </c>
      <c r="H25" s="276">
        <f t="shared" si="2"/>
        <v>0</v>
      </c>
      <c r="I25" s="169">
        <f t="shared" si="0"/>
        <v>0</v>
      </c>
      <c r="J25" s="169">
        <f t="shared" si="3"/>
        <v>0</v>
      </c>
      <c r="K25" s="169"/>
      <c r="L25" s="276"/>
      <c r="M25" s="98"/>
      <c r="N25" s="80"/>
      <c r="O25" s="89">
        <f t="shared" si="6"/>
        <v>300</v>
      </c>
      <c r="P25" s="88">
        <f t="shared" si="7"/>
        <v>0</v>
      </c>
      <c r="Q25" s="89"/>
      <c r="R25" s="149"/>
      <c r="S25" s="387"/>
      <c r="U25" s="59" t="s">
        <v>94</v>
      </c>
      <c r="V25" s="337">
        <v>1</v>
      </c>
      <c r="W25" s="335">
        <v>5</v>
      </c>
      <c r="X25" s="337">
        <v>5</v>
      </c>
      <c r="Y25" s="337">
        <v>0</v>
      </c>
      <c r="Z25" s="337">
        <v>0</v>
      </c>
      <c r="AA25" s="59">
        <f t="shared" si="11"/>
        <v>11</v>
      </c>
      <c r="AC25" s="18"/>
      <c r="AD25" s="486"/>
      <c r="AF25" s="486"/>
      <c r="AG25" s="486"/>
      <c r="AI25" s="486"/>
    </row>
    <row r="26" spans="1:35" ht="13.5" thickBot="1">
      <c r="A26" s="575" t="s">
        <v>405</v>
      </c>
      <c r="B26" s="148" t="s">
        <v>14</v>
      </c>
      <c r="C26" s="83" t="s">
        <v>404</v>
      </c>
      <c r="D26" s="82">
        <v>391.72</v>
      </c>
      <c r="E26" s="81">
        <f t="shared" si="1"/>
        <v>200</v>
      </c>
      <c r="F26" s="269">
        <v>664.51419999999996</v>
      </c>
      <c r="G26" s="91">
        <v>2.5</v>
      </c>
      <c r="H26" s="268">
        <f t="shared" si="2"/>
        <v>1661.2855</v>
      </c>
      <c r="I26" s="91">
        <f t="shared" si="0"/>
        <v>10</v>
      </c>
      <c r="J26" s="91">
        <f t="shared" si="3"/>
        <v>2000</v>
      </c>
      <c r="K26" s="91">
        <f>J26-H26</f>
        <v>338.71450000000004</v>
      </c>
      <c r="L26" s="276">
        <f t="shared" si="5"/>
        <v>0.83064274999999999</v>
      </c>
      <c r="M26" s="98" t="s">
        <v>403</v>
      </c>
      <c r="N26" s="80">
        <v>799.22</v>
      </c>
      <c r="O26" s="79">
        <f t="shared" si="6"/>
        <v>150</v>
      </c>
      <c r="P26" s="98">
        <f t="shared" si="7"/>
        <v>1500</v>
      </c>
      <c r="Q26" s="188">
        <f>P26-H26</f>
        <v>-161.28549999999996</v>
      </c>
      <c r="R26" s="117" t="s">
        <v>515</v>
      </c>
      <c r="S26" s="390" t="s">
        <v>516</v>
      </c>
      <c r="U26" s="343" t="s">
        <v>492</v>
      </c>
      <c r="V26" s="344">
        <v>1</v>
      </c>
      <c r="W26" s="344">
        <v>3</v>
      </c>
      <c r="X26" s="344">
        <v>0</v>
      </c>
      <c r="Y26" s="344">
        <v>0</v>
      </c>
      <c r="Z26" s="344">
        <v>0</v>
      </c>
      <c r="AA26" s="343">
        <f t="shared" si="11"/>
        <v>4</v>
      </c>
      <c r="AC26" s="557" t="s">
        <v>572</v>
      </c>
      <c r="AD26" s="558"/>
      <c r="AE26" s="558"/>
      <c r="AF26" s="558"/>
      <c r="AG26" s="558"/>
      <c r="AH26" s="559"/>
      <c r="AI26" s="154"/>
    </row>
    <row r="27" spans="1:35" ht="14.25" customHeight="1" thickBot="1">
      <c r="A27" s="576"/>
      <c r="B27" s="74" t="s">
        <v>360</v>
      </c>
      <c r="C27" s="73" t="s">
        <v>55</v>
      </c>
      <c r="D27" s="146">
        <v>566.26</v>
      </c>
      <c r="E27" s="71">
        <f t="shared" si="1"/>
        <v>150</v>
      </c>
      <c r="F27" s="275">
        <v>424.66829999999999</v>
      </c>
      <c r="G27" s="91">
        <v>2.5</v>
      </c>
      <c r="H27" s="268">
        <f t="shared" si="2"/>
        <v>1061.67075</v>
      </c>
      <c r="I27" s="91">
        <f t="shared" si="0"/>
        <v>9</v>
      </c>
      <c r="J27" s="91">
        <f t="shared" si="3"/>
        <v>1350</v>
      </c>
      <c r="K27" s="91">
        <f t="shared" ref="K27:K56" si="12">J27-H27</f>
        <v>288.32925</v>
      </c>
      <c r="L27" s="276">
        <f t="shared" si="5"/>
        <v>0.7864227777777778</v>
      </c>
      <c r="M27" s="246" t="s">
        <v>402</v>
      </c>
      <c r="N27" s="145">
        <v>973.76</v>
      </c>
      <c r="O27" s="115">
        <f t="shared" si="6"/>
        <v>150</v>
      </c>
      <c r="P27" s="69">
        <f t="shared" si="7"/>
        <v>1350</v>
      </c>
      <c r="Q27" s="288">
        <f t="shared" ref="Q27:Q56" si="13">P27-H27</f>
        <v>288.32925</v>
      </c>
      <c r="R27" s="113" t="s">
        <v>517</v>
      </c>
      <c r="S27" s="143" t="s">
        <v>518</v>
      </c>
      <c r="U27" s="290" t="s">
        <v>501</v>
      </c>
      <c r="V27" s="345">
        <f t="shared" ref="V27:AA27" si="14">SUM(V15:V26)</f>
        <v>8</v>
      </c>
      <c r="W27" s="345">
        <f t="shared" si="14"/>
        <v>29</v>
      </c>
      <c r="X27" s="345">
        <f t="shared" si="14"/>
        <v>39</v>
      </c>
      <c r="Y27" s="345">
        <f t="shared" si="14"/>
        <v>2</v>
      </c>
      <c r="Z27" s="345">
        <f t="shared" si="14"/>
        <v>0</v>
      </c>
      <c r="AA27" s="346">
        <f t="shared" si="14"/>
        <v>78</v>
      </c>
      <c r="AC27" s="331" t="s">
        <v>491</v>
      </c>
      <c r="AD27" s="333" t="s">
        <v>493</v>
      </c>
      <c r="AE27" s="333" t="s">
        <v>494</v>
      </c>
      <c r="AF27" s="333" t="s">
        <v>495</v>
      </c>
      <c r="AG27" s="333" t="s">
        <v>496</v>
      </c>
      <c r="AH27" s="334" t="s">
        <v>562</v>
      </c>
      <c r="AI27" s="290" t="s">
        <v>415</v>
      </c>
    </row>
    <row r="28" spans="1:35" ht="13.5" thickBot="1">
      <c r="A28" s="564" t="s">
        <v>401</v>
      </c>
      <c r="B28" s="62" t="s">
        <v>6</v>
      </c>
      <c r="C28" s="111" t="s">
        <v>47</v>
      </c>
      <c r="D28" s="92">
        <v>341.46499999999997</v>
      </c>
      <c r="E28" s="91">
        <f t="shared" si="1"/>
        <v>200</v>
      </c>
      <c r="F28" s="268">
        <v>414.50749999999999</v>
      </c>
      <c r="G28" s="81">
        <v>2.5</v>
      </c>
      <c r="H28" s="269">
        <f t="shared" si="2"/>
        <v>1036.26875</v>
      </c>
      <c r="I28" s="81">
        <f t="shared" si="0"/>
        <v>7</v>
      </c>
      <c r="J28" s="81">
        <f t="shared" si="3"/>
        <v>1400</v>
      </c>
      <c r="K28" s="81">
        <f t="shared" si="12"/>
        <v>363.73125000000005</v>
      </c>
      <c r="L28" s="276">
        <f t="shared" si="5"/>
        <v>0.74019196428571421</v>
      </c>
      <c r="M28" s="88" t="s">
        <v>400</v>
      </c>
      <c r="N28" s="90">
        <v>849.47500000000002</v>
      </c>
      <c r="O28" s="89">
        <f t="shared" si="6"/>
        <v>150</v>
      </c>
      <c r="P28" s="88">
        <f t="shared" si="7"/>
        <v>1050</v>
      </c>
      <c r="Q28" s="289">
        <f t="shared" si="13"/>
        <v>13.731250000000045</v>
      </c>
      <c r="R28" s="117" t="s">
        <v>521</v>
      </c>
      <c r="S28" s="391" t="s">
        <v>522</v>
      </c>
      <c r="U28" s="290" t="s">
        <v>500</v>
      </c>
      <c r="V28" s="347">
        <f>PRODUCT(V27*AE18)</f>
        <v>120</v>
      </c>
      <c r="W28" s="489">
        <f>PRODUCT(W27*W5)</f>
        <v>474.69810000000001</v>
      </c>
      <c r="X28" s="489">
        <f>PRODUCT(X27*AE20)</f>
        <v>653.12130000000002</v>
      </c>
      <c r="Y28" s="489">
        <f>PRODUCT(Y27*AE21)</f>
        <v>33.773200000000003</v>
      </c>
      <c r="Z28" s="489">
        <f>PRODUCT(Z27*AE22)</f>
        <v>0</v>
      </c>
      <c r="AA28" s="490">
        <f>SUM(V28:Z28)</f>
        <v>1281.5926000000002</v>
      </c>
      <c r="AC28" s="59" t="s">
        <v>84</v>
      </c>
      <c r="AD28" s="337">
        <f>V15+V35</f>
        <v>0</v>
      </c>
      <c r="AE28" s="337">
        <f t="shared" ref="AE28:AH39" si="15">W15+W35</f>
        <v>12</v>
      </c>
      <c r="AF28" s="337">
        <f t="shared" si="15"/>
        <v>5</v>
      </c>
      <c r="AG28" s="337">
        <f t="shared" si="15"/>
        <v>2</v>
      </c>
      <c r="AH28" s="337">
        <f t="shared" si="15"/>
        <v>0</v>
      </c>
      <c r="AI28" s="338">
        <f>SUM(AD28:AH28)</f>
        <v>19</v>
      </c>
    </row>
    <row r="29" spans="1:35" ht="14.25" customHeight="1" thickBot="1">
      <c r="A29" s="564"/>
      <c r="B29" s="62" t="s">
        <v>399</v>
      </c>
      <c r="C29" s="111" t="s">
        <v>384</v>
      </c>
      <c r="D29" s="92">
        <v>894.93</v>
      </c>
      <c r="E29" s="91">
        <f t="shared" si="1"/>
        <v>150</v>
      </c>
      <c r="F29" s="268">
        <v>185.4342</v>
      </c>
      <c r="G29" s="91">
        <v>2.5</v>
      </c>
      <c r="H29" s="268">
        <f t="shared" si="2"/>
        <v>463.58550000000002</v>
      </c>
      <c r="I29" s="91">
        <f t="shared" si="0"/>
        <v>4</v>
      </c>
      <c r="J29" s="91">
        <f t="shared" si="3"/>
        <v>600</v>
      </c>
      <c r="K29" s="91">
        <f t="shared" si="12"/>
        <v>136.41449999999998</v>
      </c>
      <c r="L29" s="276">
        <f t="shared" si="5"/>
        <v>0.77264250000000001</v>
      </c>
      <c r="M29" s="88" t="s">
        <v>383</v>
      </c>
      <c r="N29" s="90">
        <v>975.03499999999997</v>
      </c>
      <c r="O29" s="89">
        <f t="shared" si="6"/>
        <v>150</v>
      </c>
      <c r="P29" s="88">
        <f t="shared" si="7"/>
        <v>600</v>
      </c>
      <c r="Q29" s="289">
        <f t="shared" si="13"/>
        <v>136.41449999999998</v>
      </c>
      <c r="R29" s="137" t="s">
        <v>523</v>
      </c>
      <c r="S29" s="391" t="s">
        <v>524</v>
      </c>
      <c r="U29" s="290" t="s">
        <v>499</v>
      </c>
      <c r="V29" s="347">
        <f>V27*AD18</f>
        <v>800</v>
      </c>
      <c r="W29" s="347">
        <f>W27*AD19</f>
        <v>4350</v>
      </c>
      <c r="X29" s="347">
        <f>X27*AD20</f>
        <v>7800</v>
      </c>
      <c r="Y29" s="347">
        <f>Y27*AD21</f>
        <v>500</v>
      </c>
      <c r="Z29" s="347">
        <f>Z27*AD22</f>
        <v>0</v>
      </c>
      <c r="AA29" s="290">
        <f>SUM(V29:Z29)</f>
        <v>13450</v>
      </c>
      <c r="AC29" s="59" t="s">
        <v>85</v>
      </c>
      <c r="AD29" s="337">
        <f t="shared" ref="AD29:AD39" si="16">V16+V36</f>
        <v>1</v>
      </c>
      <c r="AE29" s="337">
        <f t="shared" si="15"/>
        <v>23</v>
      </c>
      <c r="AF29" s="337">
        <f t="shared" si="15"/>
        <v>10</v>
      </c>
      <c r="AG29" s="337">
        <f t="shared" si="15"/>
        <v>0</v>
      </c>
      <c r="AH29" s="337">
        <f t="shared" si="15"/>
        <v>7</v>
      </c>
      <c r="AI29" s="59">
        <f t="shared" ref="AI29:AI39" si="17">SUM(AD29:AH29)</f>
        <v>41</v>
      </c>
    </row>
    <row r="30" spans="1:35" ht="14.25" customHeight="1" thickBot="1">
      <c r="A30" s="564"/>
      <c r="B30" s="94" t="s">
        <v>398</v>
      </c>
      <c r="C30" s="93" t="s">
        <v>377</v>
      </c>
      <c r="D30" s="105">
        <v>839.23</v>
      </c>
      <c r="E30" s="91">
        <f t="shared" si="1"/>
        <v>150</v>
      </c>
      <c r="F30" s="273">
        <v>213.84829999999999</v>
      </c>
      <c r="G30" s="91">
        <v>2.5</v>
      </c>
      <c r="H30" s="268">
        <f t="shared" si="2"/>
        <v>534.62075000000004</v>
      </c>
      <c r="I30" s="91">
        <f t="shared" si="0"/>
        <v>5</v>
      </c>
      <c r="J30" s="91">
        <f t="shared" si="3"/>
        <v>750</v>
      </c>
      <c r="K30" s="91">
        <f t="shared" si="12"/>
        <v>215.37924999999996</v>
      </c>
      <c r="L30" s="276">
        <f t="shared" si="5"/>
        <v>0.71282766666666675</v>
      </c>
      <c r="M30" s="99" t="s">
        <v>397</v>
      </c>
      <c r="N30" s="104">
        <v>1347.24</v>
      </c>
      <c r="O30" s="89">
        <f t="shared" si="6"/>
        <v>100</v>
      </c>
      <c r="P30" s="88">
        <f t="shared" si="7"/>
        <v>500</v>
      </c>
      <c r="Q30" s="289">
        <f t="shared" si="13"/>
        <v>-34.620750000000044</v>
      </c>
      <c r="R30" s="117" t="s">
        <v>525</v>
      </c>
      <c r="S30" s="391" t="s">
        <v>526</v>
      </c>
      <c r="AC30" s="59" t="s">
        <v>86</v>
      </c>
      <c r="AD30" s="337">
        <f t="shared" si="16"/>
        <v>1</v>
      </c>
      <c r="AE30" s="337">
        <f t="shared" si="15"/>
        <v>1</v>
      </c>
      <c r="AF30" s="337">
        <f t="shared" si="15"/>
        <v>8</v>
      </c>
      <c r="AG30" s="337">
        <f t="shared" si="15"/>
        <v>0</v>
      </c>
      <c r="AH30" s="337">
        <f t="shared" si="15"/>
        <v>4</v>
      </c>
      <c r="AI30" s="59">
        <f t="shared" si="17"/>
        <v>14</v>
      </c>
    </row>
    <row r="31" spans="1:35" ht="14.25" customHeight="1" thickBot="1">
      <c r="A31" s="564"/>
      <c r="B31" s="94" t="s">
        <v>396</v>
      </c>
      <c r="C31" s="93" t="s">
        <v>52</v>
      </c>
      <c r="D31" s="92">
        <v>428.91</v>
      </c>
      <c r="E31" s="91">
        <f t="shared" si="1"/>
        <v>200</v>
      </c>
      <c r="F31" s="268">
        <v>320.7817</v>
      </c>
      <c r="G31" s="91">
        <v>2.5</v>
      </c>
      <c r="H31" s="268">
        <f t="shared" si="2"/>
        <v>801.95425</v>
      </c>
      <c r="I31" s="91">
        <f t="shared" si="0"/>
        <v>5</v>
      </c>
      <c r="J31" s="91">
        <f t="shared" si="3"/>
        <v>1000</v>
      </c>
      <c r="K31" s="91">
        <f t="shared" si="12"/>
        <v>198.04575</v>
      </c>
      <c r="L31" s="276">
        <f t="shared" si="5"/>
        <v>0.80195424999999998</v>
      </c>
      <c r="M31" s="88" t="s">
        <v>395</v>
      </c>
      <c r="N31" s="90">
        <v>762.03</v>
      </c>
      <c r="O31" s="89">
        <f t="shared" si="6"/>
        <v>150</v>
      </c>
      <c r="P31" s="88">
        <f t="shared" si="7"/>
        <v>750</v>
      </c>
      <c r="Q31" s="289">
        <f t="shared" si="13"/>
        <v>-51.954250000000002</v>
      </c>
      <c r="R31" s="137" t="s">
        <v>519</v>
      </c>
      <c r="S31" s="391">
        <v>1330</v>
      </c>
      <c r="AC31" s="59" t="s">
        <v>87</v>
      </c>
      <c r="AD31" s="337">
        <f t="shared" si="16"/>
        <v>1</v>
      </c>
      <c r="AE31" s="337">
        <f t="shared" si="15"/>
        <v>32</v>
      </c>
      <c r="AF31" s="337">
        <f t="shared" si="15"/>
        <v>50</v>
      </c>
      <c r="AG31" s="337">
        <f t="shared" si="15"/>
        <v>25</v>
      </c>
      <c r="AH31" s="337">
        <f t="shared" si="15"/>
        <v>0</v>
      </c>
      <c r="AI31" s="59">
        <f t="shared" si="17"/>
        <v>108</v>
      </c>
    </row>
    <row r="32" spans="1:35" ht="14.25" customHeight="1" thickBot="1">
      <c r="A32" s="564"/>
      <c r="B32" s="94" t="s">
        <v>393</v>
      </c>
      <c r="C32" s="93" t="s">
        <v>56</v>
      </c>
      <c r="D32" s="92">
        <v>268.91000000000003</v>
      </c>
      <c r="E32" s="91">
        <f t="shared" si="1"/>
        <v>250</v>
      </c>
      <c r="F32" s="268">
        <v>277.57420000000002</v>
      </c>
      <c r="G32" s="71">
        <v>2.5</v>
      </c>
      <c r="H32" s="271">
        <f t="shared" si="2"/>
        <v>693.93550000000005</v>
      </c>
      <c r="I32" s="71">
        <f t="shared" si="0"/>
        <v>4</v>
      </c>
      <c r="J32" s="71">
        <f t="shared" si="3"/>
        <v>1000</v>
      </c>
      <c r="K32" s="71">
        <f t="shared" si="12"/>
        <v>306.06449999999995</v>
      </c>
      <c r="L32" s="276">
        <f t="shared" si="5"/>
        <v>0.69393550000000004</v>
      </c>
      <c r="M32" s="88" t="s">
        <v>392</v>
      </c>
      <c r="N32" s="90">
        <v>922.03</v>
      </c>
      <c r="O32" s="89">
        <f t="shared" si="6"/>
        <v>150</v>
      </c>
      <c r="P32" s="88">
        <f t="shared" si="7"/>
        <v>600</v>
      </c>
      <c r="Q32" s="289">
        <f t="shared" si="13"/>
        <v>-93.935500000000047</v>
      </c>
      <c r="R32" s="113" t="s">
        <v>520</v>
      </c>
      <c r="S32" s="391">
        <v>10</v>
      </c>
      <c r="AC32" s="59" t="s">
        <v>88</v>
      </c>
      <c r="AD32" s="337">
        <f t="shared" si="16"/>
        <v>1</v>
      </c>
      <c r="AE32" s="337">
        <f t="shared" si="15"/>
        <v>4</v>
      </c>
      <c r="AF32" s="337">
        <f t="shared" si="15"/>
        <v>28</v>
      </c>
      <c r="AG32" s="337">
        <f t="shared" si="15"/>
        <v>2</v>
      </c>
      <c r="AH32" s="337">
        <f t="shared" si="15"/>
        <v>0</v>
      </c>
      <c r="AI32" s="59">
        <f t="shared" si="17"/>
        <v>35</v>
      </c>
    </row>
    <row r="33" spans="1:35" ht="13.5" thickBot="1">
      <c r="A33" s="562" t="s">
        <v>380</v>
      </c>
      <c r="B33" s="84" t="s">
        <v>391</v>
      </c>
      <c r="C33" s="83" t="s">
        <v>390</v>
      </c>
      <c r="D33" s="82">
        <v>774.56</v>
      </c>
      <c r="E33" s="81">
        <f t="shared" si="1"/>
        <v>150</v>
      </c>
      <c r="F33" s="269">
        <v>593.39</v>
      </c>
      <c r="G33" s="91">
        <v>2.5</v>
      </c>
      <c r="H33" s="268">
        <f t="shared" si="2"/>
        <v>1483.4749999999999</v>
      </c>
      <c r="I33" s="91">
        <f t="shared" si="0"/>
        <v>12</v>
      </c>
      <c r="J33" s="91">
        <f t="shared" si="3"/>
        <v>1800</v>
      </c>
      <c r="K33" s="91">
        <f t="shared" si="12"/>
        <v>316.52500000000009</v>
      </c>
      <c r="L33" s="276">
        <f t="shared" si="5"/>
        <v>0.82415277777777773</v>
      </c>
      <c r="M33" s="98" t="s">
        <v>389</v>
      </c>
      <c r="N33" s="80">
        <v>778.62</v>
      </c>
      <c r="O33" s="79">
        <f t="shared" si="6"/>
        <v>150</v>
      </c>
      <c r="P33" s="98">
        <f t="shared" si="7"/>
        <v>1800</v>
      </c>
      <c r="Q33" s="188">
        <f t="shared" si="13"/>
        <v>316.52500000000009</v>
      </c>
      <c r="R33" s="133"/>
      <c r="S33" s="440"/>
      <c r="U33" s="557" t="s">
        <v>571</v>
      </c>
      <c r="V33" s="558"/>
      <c r="W33" s="558"/>
      <c r="X33" s="558"/>
      <c r="Y33" s="558"/>
      <c r="Z33" s="559"/>
      <c r="AA33" s="154"/>
      <c r="AC33" s="59" t="s">
        <v>89</v>
      </c>
      <c r="AD33" s="337">
        <f t="shared" si="16"/>
        <v>0</v>
      </c>
      <c r="AE33" s="337">
        <f t="shared" si="15"/>
        <v>21</v>
      </c>
      <c r="AF33" s="337">
        <f t="shared" si="15"/>
        <v>2</v>
      </c>
      <c r="AG33" s="337">
        <f t="shared" si="15"/>
        <v>2</v>
      </c>
      <c r="AH33" s="337">
        <f t="shared" si="15"/>
        <v>0</v>
      </c>
      <c r="AI33" s="59">
        <f t="shared" si="17"/>
        <v>25</v>
      </c>
    </row>
    <row r="34" spans="1:35" ht="14.25" customHeight="1" thickBot="1">
      <c r="A34" s="564"/>
      <c r="B34" s="94" t="s">
        <v>385</v>
      </c>
      <c r="C34" s="93" t="s">
        <v>384</v>
      </c>
      <c r="D34" s="105">
        <v>894.93</v>
      </c>
      <c r="E34" s="91">
        <f t="shared" si="1"/>
        <v>150</v>
      </c>
      <c r="F34" s="273">
        <v>185.4342</v>
      </c>
      <c r="G34" s="91">
        <v>2.5</v>
      </c>
      <c r="H34" s="268">
        <f t="shared" si="2"/>
        <v>463.58550000000002</v>
      </c>
      <c r="I34" s="91">
        <f t="shared" si="0"/>
        <v>4</v>
      </c>
      <c r="J34" s="91">
        <f t="shared" si="3"/>
        <v>600</v>
      </c>
      <c r="K34" s="91">
        <f t="shared" si="12"/>
        <v>136.41449999999998</v>
      </c>
      <c r="L34" s="276">
        <f t="shared" si="5"/>
        <v>0.77264250000000001</v>
      </c>
      <c r="M34" s="99" t="s">
        <v>383</v>
      </c>
      <c r="N34" s="104">
        <v>975.03499999999997</v>
      </c>
      <c r="O34" s="89">
        <f t="shared" si="6"/>
        <v>150</v>
      </c>
      <c r="P34" s="88">
        <f t="shared" si="7"/>
        <v>600</v>
      </c>
      <c r="Q34" s="289">
        <f t="shared" si="13"/>
        <v>136.41449999999998</v>
      </c>
      <c r="R34" s="77"/>
      <c r="S34" s="128"/>
      <c r="U34" s="331" t="s">
        <v>491</v>
      </c>
      <c r="V34" s="333" t="s">
        <v>493</v>
      </c>
      <c r="W34" s="333" t="s">
        <v>494</v>
      </c>
      <c r="X34" s="333" t="s">
        <v>495</v>
      </c>
      <c r="Y34" s="333" t="s">
        <v>496</v>
      </c>
      <c r="Z34" s="334" t="s">
        <v>562</v>
      </c>
      <c r="AA34" s="290" t="s">
        <v>415</v>
      </c>
      <c r="AC34" s="59" t="s">
        <v>90</v>
      </c>
      <c r="AD34" s="337">
        <f t="shared" si="16"/>
        <v>0</v>
      </c>
      <c r="AE34" s="337">
        <f t="shared" si="15"/>
        <v>1</v>
      </c>
      <c r="AF34" s="337">
        <f t="shared" si="15"/>
        <v>3</v>
      </c>
      <c r="AG34" s="337">
        <f t="shared" si="15"/>
        <v>4</v>
      </c>
      <c r="AH34" s="337">
        <f t="shared" si="15"/>
        <v>3</v>
      </c>
      <c r="AI34" s="59">
        <f t="shared" si="17"/>
        <v>11</v>
      </c>
    </row>
    <row r="35" spans="1:35" ht="14.25" customHeight="1" thickBot="1">
      <c r="A35" s="564"/>
      <c r="B35" s="94" t="s">
        <v>381</v>
      </c>
      <c r="C35" s="93" t="s">
        <v>380</v>
      </c>
      <c r="D35" s="92">
        <v>553.46500000000003</v>
      </c>
      <c r="E35" s="71">
        <f t="shared" si="1"/>
        <v>150</v>
      </c>
      <c r="F35" s="268">
        <v>491.47570000000002</v>
      </c>
      <c r="G35" s="91">
        <v>2.5</v>
      </c>
      <c r="H35" s="268">
        <f t="shared" si="2"/>
        <v>1228.6892500000001</v>
      </c>
      <c r="I35" s="91">
        <f t="shared" ref="I35:I56" si="18">CEILING(H35/(0.84*E35),1)</f>
        <v>10</v>
      </c>
      <c r="J35" s="91">
        <f t="shared" si="3"/>
        <v>1500</v>
      </c>
      <c r="K35" s="91">
        <f t="shared" si="12"/>
        <v>271.31074999999987</v>
      </c>
      <c r="L35" s="276">
        <f t="shared" si="5"/>
        <v>0.81912616666666671</v>
      </c>
      <c r="M35" s="88" t="s">
        <v>379</v>
      </c>
      <c r="N35" s="90">
        <v>660.12</v>
      </c>
      <c r="O35" s="115">
        <f t="shared" si="6"/>
        <v>150</v>
      </c>
      <c r="P35" s="69">
        <f t="shared" si="7"/>
        <v>1500</v>
      </c>
      <c r="Q35" s="288">
        <f t="shared" si="13"/>
        <v>271.31074999999987</v>
      </c>
      <c r="R35" s="67"/>
      <c r="S35" s="128"/>
      <c r="U35" s="59" t="s">
        <v>84</v>
      </c>
      <c r="V35" s="337">
        <v>0</v>
      </c>
      <c r="W35" s="337">
        <f>12</f>
        <v>12</v>
      </c>
      <c r="X35" s="487">
        <f>2+2</f>
        <v>4</v>
      </c>
      <c r="Y35" s="487">
        <f>2</f>
        <v>2</v>
      </c>
      <c r="Z35" s="337">
        <v>0</v>
      </c>
      <c r="AA35" s="338">
        <f>SUM(V35:Z35)</f>
        <v>18</v>
      </c>
      <c r="AC35" s="59" t="s">
        <v>91</v>
      </c>
      <c r="AD35" s="337">
        <f t="shared" si="16"/>
        <v>1</v>
      </c>
      <c r="AE35" s="337">
        <f t="shared" si="15"/>
        <v>32</v>
      </c>
      <c r="AF35" s="337">
        <f t="shared" si="15"/>
        <v>8</v>
      </c>
      <c r="AG35" s="337">
        <f t="shared" si="15"/>
        <v>2</v>
      </c>
      <c r="AH35" s="337">
        <f t="shared" si="15"/>
        <v>0</v>
      </c>
      <c r="AI35" s="59">
        <f t="shared" si="17"/>
        <v>43</v>
      </c>
    </row>
    <row r="36" spans="1:35" ht="13.5" thickBot="1">
      <c r="A36" s="562" t="s">
        <v>374</v>
      </c>
      <c r="B36" s="84" t="s">
        <v>378</v>
      </c>
      <c r="C36" s="83" t="s">
        <v>377</v>
      </c>
      <c r="D36" s="82">
        <v>839.23</v>
      </c>
      <c r="E36" s="91">
        <f t="shared" si="1"/>
        <v>150</v>
      </c>
      <c r="F36" s="269">
        <v>213.84829999999999</v>
      </c>
      <c r="G36" s="81">
        <v>2.5</v>
      </c>
      <c r="H36" s="269">
        <f t="shared" si="2"/>
        <v>534.62075000000004</v>
      </c>
      <c r="I36" s="81">
        <f t="shared" si="18"/>
        <v>5</v>
      </c>
      <c r="J36" s="81">
        <f t="shared" si="3"/>
        <v>750</v>
      </c>
      <c r="K36" s="81">
        <f t="shared" si="12"/>
        <v>215.37924999999996</v>
      </c>
      <c r="L36" s="276">
        <f t="shared" si="5"/>
        <v>0.71282766666666675</v>
      </c>
      <c r="M36" s="98" t="s">
        <v>376</v>
      </c>
      <c r="N36" s="80">
        <v>844.89</v>
      </c>
      <c r="O36" s="89">
        <f t="shared" si="6"/>
        <v>150</v>
      </c>
      <c r="P36" s="88">
        <f t="shared" si="7"/>
        <v>750</v>
      </c>
      <c r="Q36" s="289">
        <f t="shared" si="13"/>
        <v>215.37924999999996</v>
      </c>
      <c r="R36" s="77"/>
      <c r="S36" s="213"/>
      <c r="U36" s="59" t="s">
        <v>85</v>
      </c>
      <c r="V36" s="337">
        <v>0</v>
      </c>
      <c r="W36" s="337">
        <f>9+4+5</f>
        <v>18</v>
      </c>
      <c r="X36" s="337">
        <f>7+3</f>
        <v>10</v>
      </c>
      <c r="Y36" s="337">
        <v>0</v>
      </c>
      <c r="Z36" s="337">
        <f>4+3</f>
        <v>7</v>
      </c>
      <c r="AA36" s="59">
        <f t="shared" ref="AA36:AA46" si="19">SUM(V36:Z36)</f>
        <v>35</v>
      </c>
      <c r="AC36" s="59" t="s">
        <v>92</v>
      </c>
      <c r="AD36" s="337">
        <f t="shared" si="16"/>
        <v>1</v>
      </c>
      <c r="AE36" s="337">
        <f t="shared" si="15"/>
        <v>9</v>
      </c>
      <c r="AF36" s="337">
        <f t="shared" si="15"/>
        <v>23</v>
      </c>
      <c r="AG36" s="337">
        <f t="shared" si="15"/>
        <v>0</v>
      </c>
      <c r="AH36" s="337">
        <f t="shared" si="15"/>
        <v>0</v>
      </c>
      <c r="AI36" s="59">
        <f t="shared" si="17"/>
        <v>33</v>
      </c>
    </row>
    <row r="37" spans="1:35" ht="14.25" customHeight="1" thickBot="1">
      <c r="A37" s="564"/>
      <c r="B37" s="94" t="s">
        <v>375</v>
      </c>
      <c r="C37" s="93" t="s">
        <v>374</v>
      </c>
      <c r="D37" s="92">
        <v>497.76499999999999</v>
      </c>
      <c r="E37" s="91">
        <f t="shared" si="1"/>
        <v>200</v>
      </c>
      <c r="F37" s="268">
        <v>1151.328</v>
      </c>
      <c r="G37" s="71">
        <v>2.5</v>
      </c>
      <c r="H37" s="271">
        <f t="shared" si="2"/>
        <v>2878.3199999999997</v>
      </c>
      <c r="I37" s="71">
        <f t="shared" si="18"/>
        <v>18</v>
      </c>
      <c r="J37" s="71">
        <f t="shared" si="3"/>
        <v>3600</v>
      </c>
      <c r="K37" s="71">
        <f t="shared" si="12"/>
        <v>721.68000000000029</v>
      </c>
      <c r="L37" s="276">
        <f t="shared" si="5"/>
        <v>0.79953333333333321</v>
      </c>
      <c r="M37" s="88" t="s">
        <v>373</v>
      </c>
      <c r="N37" s="90">
        <v>503.42500000000001</v>
      </c>
      <c r="O37" s="89">
        <f t="shared" si="6"/>
        <v>200</v>
      </c>
      <c r="P37" s="88">
        <f t="shared" si="7"/>
        <v>3600</v>
      </c>
      <c r="Q37" s="289">
        <f t="shared" si="13"/>
        <v>721.68000000000029</v>
      </c>
      <c r="R37" s="67"/>
      <c r="S37" s="224"/>
      <c r="U37" s="59" t="s">
        <v>86</v>
      </c>
      <c r="V37" s="337">
        <v>0</v>
      </c>
      <c r="W37" s="337">
        <v>0</v>
      </c>
      <c r="X37" s="335">
        <f>5+1</f>
        <v>6</v>
      </c>
      <c r="Y37" s="337">
        <v>0</v>
      </c>
      <c r="Z37" s="337">
        <f>4</f>
        <v>4</v>
      </c>
      <c r="AA37" s="59">
        <f t="shared" si="19"/>
        <v>10</v>
      </c>
      <c r="AC37" s="59" t="s">
        <v>93</v>
      </c>
      <c r="AD37" s="337">
        <f t="shared" si="16"/>
        <v>0</v>
      </c>
      <c r="AE37" s="337">
        <f t="shared" si="15"/>
        <v>1</v>
      </c>
      <c r="AF37" s="337">
        <f t="shared" si="15"/>
        <v>11</v>
      </c>
      <c r="AG37" s="337">
        <f t="shared" si="15"/>
        <v>10</v>
      </c>
      <c r="AH37" s="337">
        <f t="shared" si="15"/>
        <v>0</v>
      </c>
      <c r="AI37" s="59">
        <f t="shared" si="17"/>
        <v>22</v>
      </c>
    </row>
    <row r="38" spans="1:35" ht="13.5" thickBot="1">
      <c r="A38" s="109" t="s">
        <v>371</v>
      </c>
      <c r="B38" s="84" t="s">
        <v>372</v>
      </c>
      <c r="C38" s="83" t="s">
        <v>371</v>
      </c>
      <c r="D38" s="82">
        <v>285.27999999999997</v>
      </c>
      <c r="E38" s="169">
        <f t="shared" si="1"/>
        <v>250</v>
      </c>
      <c r="F38" s="269">
        <v>779.52329999999995</v>
      </c>
      <c r="G38" s="91">
        <v>2.5</v>
      </c>
      <c r="H38" s="268">
        <f t="shared" si="2"/>
        <v>1948.8082499999998</v>
      </c>
      <c r="I38" s="91">
        <f t="shared" si="18"/>
        <v>10</v>
      </c>
      <c r="J38" s="91">
        <f t="shared" si="3"/>
        <v>2500</v>
      </c>
      <c r="K38" s="91">
        <f t="shared" si="12"/>
        <v>551.19175000000018</v>
      </c>
      <c r="L38" s="276">
        <f t="shared" si="5"/>
        <v>0.77952329999999992</v>
      </c>
      <c r="M38" s="98" t="s">
        <v>370</v>
      </c>
      <c r="N38" s="80">
        <v>539.80499999999995</v>
      </c>
      <c r="O38" s="167">
        <f t="shared" si="6"/>
        <v>150</v>
      </c>
      <c r="P38" s="166">
        <f t="shared" si="7"/>
        <v>1500</v>
      </c>
      <c r="Q38" s="228">
        <f t="shared" si="13"/>
        <v>-448.80824999999982</v>
      </c>
      <c r="R38" s="123" t="s">
        <v>527</v>
      </c>
      <c r="S38" s="441" t="s">
        <v>528</v>
      </c>
      <c r="U38" s="59" t="s">
        <v>87</v>
      </c>
      <c r="V38" s="337">
        <v>0</v>
      </c>
      <c r="W38" s="488">
        <f>12+9+10</f>
        <v>31</v>
      </c>
      <c r="X38" s="337">
        <f>7+5+10+18+4</f>
        <v>44</v>
      </c>
      <c r="Y38" s="337">
        <f>4+10+11</f>
        <v>25</v>
      </c>
      <c r="Z38" s="337">
        <v>0</v>
      </c>
      <c r="AA38" s="59">
        <f t="shared" si="19"/>
        <v>100</v>
      </c>
      <c r="AC38" s="59" t="s">
        <v>94</v>
      </c>
      <c r="AD38" s="337">
        <f t="shared" si="16"/>
        <v>1</v>
      </c>
      <c r="AE38" s="337">
        <f t="shared" si="15"/>
        <v>7</v>
      </c>
      <c r="AF38" s="337">
        <f t="shared" si="15"/>
        <v>9</v>
      </c>
      <c r="AG38" s="337">
        <f t="shared" si="15"/>
        <v>11</v>
      </c>
      <c r="AH38" s="337">
        <f t="shared" si="15"/>
        <v>0</v>
      </c>
      <c r="AI38" s="59">
        <f t="shared" si="17"/>
        <v>28</v>
      </c>
    </row>
    <row r="39" spans="1:35" ht="13.5" thickBot="1">
      <c r="A39" s="562" t="s">
        <v>60</v>
      </c>
      <c r="B39" s="84" t="s">
        <v>368</v>
      </c>
      <c r="C39" s="83" t="s">
        <v>367</v>
      </c>
      <c r="D39" s="82">
        <v>239.47</v>
      </c>
      <c r="E39" s="91">
        <f t="shared" si="1"/>
        <v>250</v>
      </c>
      <c r="F39" s="269">
        <v>886.15449999999998</v>
      </c>
      <c r="G39" s="81">
        <v>2.5</v>
      </c>
      <c r="H39" s="269">
        <f t="shared" si="2"/>
        <v>2215.38625</v>
      </c>
      <c r="I39" s="81">
        <f t="shared" si="18"/>
        <v>11</v>
      </c>
      <c r="J39" s="81">
        <f t="shared" si="3"/>
        <v>2750</v>
      </c>
      <c r="K39" s="81">
        <f t="shared" si="12"/>
        <v>534.61374999999998</v>
      </c>
      <c r="L39" s="276">
        <f t="shared" si="5"/>
        <v>0.80559500000000006</v>
      </c>
      <c r="M39" s="98" t="s">
        <v>366</v>
      </c>
      <c r="N39" s="80">
        <v>585.61500000000001</v>
      </c>
      <c r="O39" s="89">
        <f t="shared" si="6"/>
        <v>150</v>
      </c>
      <c r="P39" s="88">
        <f t="shared" si="7"/>
        <v>1650</v>
      </c>
      <c r="Q39" s="289">
        <f t="shared" si="13"/>
        <v>-565.38625000000002</v>
      </c>
      <c r="R39" s="117" t="s">
        <v>529</v>
      </c>
      <c r="S39" s="390" t="s">
        <v>530</v>
      </c>
      <c r="U39" s="59" t="s">
        <v>88</v>
      </c>
      <c r="V39" s="337">
        <v>0</v>
      </c>
      <c r="W39" s="337">
        <v>0</v>
      </c>
      <c r="X39" s="337">
        <f>2+3+1+10+1+2</f>
        <v>19</v>
      </c>
      <c r="Y39" s="337">
        <f>1</f>
        <v>1</v>
      </c>
      <c r="Z39" s="337">
        <v>0</v>
      </c>
      <c r="AA39" s="59">
        <f t="shared" si="19"/>
        <v>20</v>
      </c>
      <c r="AC39" s="343" t="s">
        <v>492</v>
      </c>
      <c r="AD39" s="337">
        <f t="shared" si="16"/>
        <v>1</v>
      </c>
      <c r="AE39" s="337">
        <f t="shared" si="15"/>
        <v>4</v>
      </c>
      <c r="AF39" s="337">
        <f t="shared" si="15"/>
        <v>4</v>
      </c>
      <c r="AG39" s="337">
        <f t="shared" si="15"/>
        <v>0</v>
      </c>
      <c r="AH39" s="337">
        <f t="shared" si="15"/>
        <v>0</v>
      </c>
      <c r="AI39" s="343">
        <f t="shared" si="17"/>
        <v>9</v>
      </c>
    </row>
    <row r="40" spans="1:35" ht="14.25" customHeight="1" thickBot="1">
      <c r="A40" s="563"/>
      <c r="B40" s="74" t="s">
        <v>364</v>
      </c>
      <c r="C40" s="73" t="s">
        <v>61</v>
      </c>
      <c r="D40" s="72">
        <v>381.34</v>
      </c>
      <c r="E40" s="91">
        <f t="shared" si="1"/>
        <v>200</v>
      </c>
      <c r="F40" s="271">
        <v>233.80699999999999</v>
      </c>
      <c r="G40" s="71">
        <v>2.5</v>
      </c>
      <c r="H40" s="271">
        <f t="shared" si="2"/>
        <v>584.51749999999993</v>
      </c>
      <c r="I40" s="71">
        <f t="shared" si="18"/>
        <v>4</v>
      </c>
      <c r="J40" s="71">
        <f t="shared" si="3"/>
        <v>800</v>
      </c>
      <c r="K40" s="71">
        <f t="shared" si="12"/>
        <v>215.48250000000007</v>
      </c>
      <c r="L40" s="276">
        <f t="shared" si="5"/>
        <v>0.73064687499999992</v>
      </c>
      <c r="M40" s="69" t="s">
        <v>328</v>
      </c>
      <c r="N40" s="70">
        <v>673.16499999999996</v>
      </c>
      <c r="O40" s="89">
        <f t="shared" si="6"/>
        <v>150</v>
      </c>
      <c r="P40" s="88">
        <f t="shared" si="7"/>
        <v>600</v>
      </c>
      <c r="Q40" s="289">
        <f t="shared" si="13"/>
        <v>15.482500000000073</v>
      </c>
      <c r="R40" s="113" t="s">
        <v>531</v>
      </c>
      <c r="S40" s="143" t="s">
        <v>532</v>
      </c>
      <c r="U40" s="59" t="s">
        <v>89</v>
      </c>
      <c r="V40" s="337">
        <v>0</v>
      </c>
      <c r="W40" s="337">
        <f>9+9+3</f>
        <v>21</v>
      </c>
      <c r="X40" s="337">
        <f>2</f>
        <v>2</v>
      </c>
      <c r="Y40" s="337">
        <f>1</f>
        <v>1</v>
      </c>
      <c r="Z40" s="337">
        <v>0</v>
      </c>
      <c r="AA40" s="59">
        <f t="shared" si="19"/>
        <v>24</v>
      </c>
      <c r="AC40" s="290" t="s">
        <v>501</v>
      </c>
      <c r="AD40" s="345">
        <f t="shared" ref="AD40:AI40" si="20">SUM(AD28:AD39)</f>
        <v>8</v>
      </c>
      <c r="AE40" s="345">
        <f t="shared" si="20"/>
        <v>147</v>
      </c>
      <c r="AF40" s="345">
        <f t="shared" si="20"/>
        <v>161</v>
      </c>
      <c r="AG40" s="345">
        <f t="shared" si="20"/>
        <v>58</v>
      </c>
      <c r="AH40" s="345">
        <f t="shared" si="20"/>
        <v>14</v>
      </c>
      <c r="AI40" s="346">
        <f t="shared" si="20"/>
        <v>388</v>
      </c>
    </row>
    <row r="41" spans="1:35" ht="13.5" thickBot="1">
      <c r="A41" s="564" t="s">
        <v>363</v>
      </c>
      <c r="B41" s="62" t="s">
        <v>362</v>
      </c>
      <c r="C41" s="111" t="s">
        <v>74</v>
      </c>
      <c r="D41" s="92">
        <v>632.29499999999996</v>
      </c>
      <c r="E41" s="81">
        <f t="shared" si="1"/>
        <v>150</v>
      </c>
      <c r="F41" s="268">
        <v>416.14780000000002</v>
      </c>
      <c r="G41" s="91">
        <v>2.5</v>
      </c>
      <c r="H41" s="268">
        <f t="shared" si="2"/>
        <v>1040.3695</v>
      </c>
      <c r="I41" s="91">
        <f t="shared" si="18"/>
        <v>9</v>
      </c>
      <c r="J41" s="91">
        <f t="shared" si="3"/>
        <v>1350</v>
      </c>
      <c r="K41" s="91">
        <f t="shared" si="12"/>
        <v>309.63049999999998</v>
      </c>
      <c r="L41" s="276">
        <f t="shared" si="5"/>
        <v>0.77064407407407409</v>
      </c>
      <c r="M41" s="88" t="s">
        <v>361</v>
      </c>
      <c r="N41" s="90">
        <v>692.19500000000005</v>
      </c>
      <c r="O41" s="79">
        <f t="shared" si="6"/>
        <v>150</v>
      </c>
      <c r="P41" s="98">
        <f t="shared" si="7"/>
        <v>1350</v>
      </c>
      <c r="Q41" s="188">
        <f t="shared" si="13"/>
        <v>309.63049999999998</v>
      </c>
      <c r="R41" s="77"/>
      <c r="S41" s="391"/>
      <c r="U41" s="59" t="s">
        <v>90</v>
      </c>
      <c r="V41" s="337">
        <v>0</v>
      </c>
      <c r="W41" s="335">
        <v>0</v>
      </c>
      <c r="X41" s="335">
        <f>1</f>
        <v>1</v>
      </c>
      <c r="Y41" s="337">
        <f>4</f>
        <v>4</v>
      </c>
      <c r="Z41" s="337">
        <f>3</f>
        <v>3</v>
      </c>
      <c r="AA41" s="59">
        <f t="shared" si="19"/>
        <v>8</v>
      </c>
      <c r="AC41" s="290" t="s">
        <v>500</v>
      </c>
      <c r="AD41" s="347">
        <f>PRODUCT(AD40*AE18)</f>
        <v>120</v>
      </c>
      <c r="AE41" s="489">
        <f>PRODUCT(AE40*AE19)</f>
        <v>2406.2283000000002</v>
      </c>
      <c r="AF41" s="489">
        <f>PRODUCT(AF40*AE20)</f>
        <v>2696.2186999999999</v>
      </c>
      <c r="AG41" s="489">
        <f>PRODUCT(AG40*AE21)</f>
        <v>979.42280000000005</v>
      </c>
      <c r="AH41" s="489">
        <f>PRODUCT(AH40*AE22)</f>
        <v>238</v>
      </c>
      <c r="AI41" s="490">
        <f>SUM(AD41:AH41)</f>
        <v>6439.8698000000004</v>
      </c>
    </row>
    <row r="42" spans="1:35" ht="14.25" customHeight="1" thickBot="1">
      <c r="A42" s="564"/>
      <c r="B42" s="94" t="s">
        <v>360</v>
      </c>
      <c r="C42" s="93" t="s">
        <v>55</v>
      </c>
      <c r="D42" s="105">
        <v>566.26</v>
      </c>
      <c r="E42" s="91">
        <f t="shared" si="1"/>
        <v>150</v>
      </c>
      <c r="F42" s="273">
        <v>424.66829999999999</v>
      </c>
      <c r="G42" s="91">
        <v>2.5</v>
      </c>
      <c r="H42" s="268">
        <f t="shared" si="2"/>
        <v>1061.67075</v>
      </c>
      <c r="I42" s="91">
        <f t="shared" si="18"/>
        <v>9</v>
      </c>
      <c r="J42" s="91">
        <f t="shared" si="3"/>
        <v>1350</v>
      </c>
      <c r="K42" s="91">
        <f t="shared" si="12"/>
        <v>288.32925</v>
      </c>
      <c r="L42" s="276">
        <f t="shared" si="5"/>
        <v>0.7864227777777778</v>
      </c>
      <c r="M42" s="99" t="s">
        <v>359</v>
      </c>
      <c r="N42" s="104">
        <v>1033.6600000000001</v>
      </c>
      <c r="O42" s="89">
        <f t="shared" si="6"/>
        <v>150</v>
      </c>
      <c r="P42" s="88">
        <f t="shared" si="7"/>
        <v>1350</v>
      </c>
      <c r="Q42" s="302">
        <f t="shared" si="13"/>
        <v>288.32925</v>
      </c>
      <c r="R42" s="96"/>
      <c r="S42" s="318"/>
      <c r="U42" s="59" t="s">
        <v>91</v>
      </c>
      <c r="V42" s="337">
        <v>0</v>
      </c>
      <c r="W42" s="335">
        <f>4+10+3+4+2+1</f>
        <v>24</v>
      </c>
      <c r="X42" s="337">
        <f>2+2</f>
        <v>4</v>
      </c>
      <c r="Y42" s="337">
        <f>2</f>
        <v>2</v>
      </c>
      <c r="Z42" s="337">
        <v>0</v>
      </c>
      <c r="AA42" s="59">
        <f t="shared" si="19"/>
        <v>30</v>
      </c>
      <c r="AC42" s="290" t="s">
        <v>563</v>
      </c>
      <c r="AD42" s="347">
        <f>AD40*AD18</f>
        <v>800</v>
      </c>
      <c r="AE42" s="347">
        <f>AE40*AD19</f>
        <v>22050</v>
      </c>
      <c r="AF42" s="347">
        <f>AF40*AD20</f>
        <v>32200</v>
      </c>
      <c r="AG42" s="347">
        <f>AG40*AD21</f>
        <v>14500</v>
      </c>
      <c r="AH42" s="347">
        <f>AH40*AD22</f>
        <v>4200</v>
      </c>
      <c r="AI42" s="290">
        <f>SUM(AD42:AH42)</f>
        <v>73750</v>
      </c>
    </row>
    <row r="43" spans="1:35" ht="14.25" customHeight="1" thickBot="1">
      <c r="A43" s="564"/>
      <c r="B43" s="94" t="s">
        <v>358</v>
      </c>
      <c r="C43" s="93" t="s">
        <v>62</v>
      </c>
      <c r="D43" s="92">
        <v>174.54</v>
      </c>
      <c r="E43" s="71">
        <f t="shared" si="1"/>
        <v>250</v>
      </c>
      <c r="F43" s="268">
        <v>80.336669999999998</v>
      </c>
      <c r="G43" s="91">
        <v>2.5</v>
      </c>
      <c r="H43" s="268">
        <f t="shared" si="2"/>
        <v>200.84167500000001</v>
      </c>
      <c r="I43" s="91">
        <f t="shared" si="18"/>
        <v>1</v>
      </c>
      <c r="J43" s="91">
        <f t="shared" si="3"/>
        <v>250</v>
      </c>
      <c r="K43" s="91">
        <f t="shared" si="12"/>
        <v>49.158324999999991</v>
      </c>
      <c r="L43" s="276">
        <f t="shared" si="5"/>
        <v>0.80336669999999999</v>
      </c>
      <c r="M43" s="88" t="s">
        <v>357</v>
      </c>
      <c r="N43" s="90">
        <v>811.21</v>
      </c>
      <c r="O43" s="115">
        <f t="shared" si="6"/>
        <v>150</v>
      </c>
      <c r="P43" s="69">
        <f t="shared" si="7"/>
        <v>150</v>
      </c>
      <c r="Q43" s="288">
        <f t="shared" si="13"/>
        <v>-50.841675000000009</v>
      </c>
      <c r="R43" s="67"/>
      <c r="S43" s="391"/>
      <c r="U43" s="59" t="s">
        <v>92</v>
      </c>
      <c r="V43" s="337">
        <v>0</v>
      </c>
      <c r="W43" s="335">
        <f>5+4</f>
        <v>9</v>
      </c>
      <c r="X43" s="337">
        <f>18+3</f>
        <v>21</v>
      </c>
      <c r="Y43" s="337">
        <v>0</v>
      </c>
      <c r="Z43" s="337">
        <v>0</v>
      </c>
      <c r="AA43" s="59">
        <f t="shared" si="19"/>
        <v>30</v>
      </c>
      <c r="AB43" s="464"/>
      <c r="AD43" s="486"/>
      <c r="AE43" s="335"/>
      <c r="AF43" s="335"/>
      <c r="AG43" s="337"/>
      <c r="AH43" s="337"/>
      <c r="AI43" s="337"/>
    </row>
    <row r="44" spans="1:35" ht="13.5" thickBot="1">
      <c r="A44" s="109" t="s">
        <v>355</v>
      </c>
      <c r="B44" s="84" t="s">
        <v>356</v>
      </c>
      <c r="C44" s="83" t="s">
        <v>355</v>
      </c>
      <c r="D44" s="82">
        <v>517.28</v>
      </c>
      <c r="E44" s="91">
        <f t="shared" si="1"/>
        <v>200</v>
      </c>
      <c r="F44" s="269">
        <v>67.241829999999993</v>
      </c>
      <c r="G44" s="169">
        <v>2.5</v>
      </c>
      <c r="H44" s="276">
        <f t="shared" si="2"/>
        <v>168.10457499999998</v>
      </c>
      <c r="I44" s="169">
        <f t="shared" si="18"/>
        <v>2</v>
      </c>
      <c r="J44" s="169">
        <f t="shared" si="3"/>
        <v>400</v>
      </c>
      <c r="K44" s="169">
        <f t="shared" si="12"/>
        <v>231.89542500000002</v>
      </c>
      <c r="L44" s="276">
        <f t="shared" si="5"/>
        <v>0.42026143749999995</v>
      </c>
      <c r="M44" s="98" t="s">
        <v>354</v>
      </c>
      <c r="N44" s="80">
        <v>607.995</v>
      </c>
      <c r="O44" s="89">
        <f t="shared" si="6"/>
        <v>150</v>
      </c>
      <c r="P44" s="88">
        <f t="shared" si="7"/>
        <v>300</v>
      </c>
      <c r="Q44" s="289">
        <f t="shared" si="13"/>
        <v>131.89542500000002</v>
      </c>
      <c r="R44" s="108"/>
      <c r="S44" s="397"/>
      <c r="U44" s="59" t="s">
        <v>93</v>
      </c>
      <c r="V44" s="337">
        <v>0</v>
      </c>
      <c r="W44" s="335">
        <v>0</v>
      </c>
      <c r="X44" s="337">
        <f>2+1</f>
        <v>3</v>
      </c>
      <c r="Y44" s="337">
        <f>10</f>
        <v>10</v>
      </c>
      <c r="Z44" s="337">
        <v>0</v>
      </c>
      <c r="AA44" s="59">
        <f t="shared" si="19"/>
        <v>13</v>
      </c>
      <c r="AB44" s="467"/>
      <c r="AD44" s="486"/>
      <c r="AE44" s="337"/>
      <c r="AF44" s="337"/>
      <c r="AG44" s="337"/>
      <c r="AH44" s="337"/>
      <c r="AI44" s="337"/>
    </row>
    <row r="45" spans="1:35" ht="15.75" thickBot="1">
      <c r="A45" s="562" t="s">
        <v>349</v>
      </c>
      <c r="B45" s="84" t="s">
        <v>353</v>
      </c>
      <c r="C45" s="83" t="s">
        <v>342</v>
      </c>
      <c r="D45" s="82">
        <v>592.98500000000001</v>
      </c>
      <c r="E45" s="81">
        <f t="shared" si="1"/>
        <v>150</v>
      </c>
      <c r="F45" s="269">
        <v>175.91919999999999</v>
      </c>
      <c r="G45" s="91">
        <v>2.5</v>
      </c>
      <c r="H45" s="268">
        <f t="shared" si="2"/>
        <v>439.798</v>
      </c>
      <c r="I45" s="91">
        <f t="shared" si="18"/>
        <v>4</v>
      </c>
      <c r="J45" s="91">
        <f t="shared" si="3"/>
        <v>600</v>
      </c>
      <c r="K45" s="91">
        <f t="shared" si="12"/>
        <v>160.202</v>
      </c>
      <c r="L45" s="276">
        <f t="shared" si="5"/>
        <v>0.73299666666666663</v>
      </c>
      <c r="M45" s="98" t="s">
        <v>352</v>
      </c>
      <c r="N45" s="80">
        <v>1051.23</v>
      </c>
      <c r="O45" s="79">
        <f t="shared" si="6"/>
        <v>150</v>
      </c>
      <c r="P45" s="98">
        <f t="shared" si="7"/>
        <v>600</v>
      </c>
      <c r="Q45" s="188">
        <f t="shared" si="13"/>
        <v>160.202</v>
      </c>
      <c r="R45" s="77"/>
      <c r="S45" s="213"/>
      <c r="U45" s="59" t="s">
        <v>94</v>
      </c>
      <c r="V45" s="337">
        <v>0</v>
      </c>
      <c r="W45" s="488">
        <f>2</f>
        <v>2</v>
      </c>
      <c r="X45" s="337">
        <f>3+1</f>
        <v>4</v>
      </c>
      <c r="Y45" s="337">
        <f>11</f>
        <v>11</v>
      </c>
      <c r="Z45" s="337">
        <v>0</v>
      </c>
      <c r="AA45" s="59">
        <f t="shared" si="19"/>
        <v>17</v>
      </c>
      <c r="AB45" s="335"/>
      <c r="AC45" s="435">
        <f>AA27+AA47</f>
        <v>388</v>
      </c>
      <c r="AD45" s="486"/>
      <c r="AE45" s="337"/>
      <c r="AF45" s="335"/>
      <c r="AG45" s="337"/>
      <c r="AH45" s="337"/>
      <c r="AI45" s="337"/>
    </row>
    <row r="46" spans="1:35" ht="14.25" customHeight="1" thickBot="1">
      <c r="A46" s="564"/>
      <c r="B46" s="94" t="s">
        <v>350</v>
      </c>
      <c r="C46" s="93" t="s">
        <v>349</v>
      </c>
      <c r="D46" s="105">
        <v>374.84</v>
      </c>
      <c r="E46" s="91">
        <f t="shared" si="1"/>
        <v>200</v>
      </c>
      <c r="F46" s="273">
        <v>115.1143</v>
      </c>
      <c r="G46" s="91">
        <v>2.5</v>
      </c>
      <c r="H46" s="268">
        <f t="shared" si="2"/>
        <v>287.78575000000001</v>
      </c>
      <c r="I46" s="91">
        <f t="shared" si="18"/>
        <v>2</v>
      </c>
      <c r="J46" s="91">
        <f t="shared" si="3"/>
        <v>400</v>
      </c>
      <c r="K46" s="91">
        <f t="shared" si="12"/>
        <v>112.21424999999999</v>
      </c>
      <c r="L46" s="276">
        <f t="shared" si="5"/>
        <v>0.71946437500000004</v>
      </c>
      <c r="M46" s="99" t="s">
        <v>348</v>
      </c>
      <c r="N46" s="104">
        <v>838.745</v>
      </c>
      <c r="O46" s="89">
        <f t="shared" si="6"/>
        <v>150</v>
      </c>
      <c r="P46" s="88">
        <f t="shared" si="7"/>
        <v>300</v>
      </c>
      <c r="Q46" s="289">
        <f t="shared" si="13"/>
        <v>12.214249999999993</v>
      </c>
      <c r="R46" s="96"/>
      <c r="S46" s="442"/>
      <c r="U46" s="343" t="s">
        <v>492</v>
      </c>
      <c r="V46" s="337">
        <v>0</v>
      </c>
      <c r="W46" s="344">
        <f>1</f>
        <v>1</v>
      </c>
      <c r="X46" s="344">
        <f>4</f>
        <v>4</v>
      </c>
      <c r="Y46" s="344">
        <v>0</v>
      </c>
      <c r="Z46" s="337">
        <v>0</v>
      </c>
      <c r="AA46" s="343">
        <f t="shared" si="19"/>
        <v>5</v>
      </c>
      <c r="AB46" s="335"/>
      <c r="AC46" s="496">
        <f>AA28+AA48</f>
        <v>6439.8697999999995</v>
      </c>
      <c r="AD46" s="486"/>
      <c r="AE46" s="337"/>
      <c r="AF46" s="335"/>
      <c r="AG46" s="337"/>
      <c r="AH46" s="337"/>
      <c r="AI46" s="337"/>
    </row>
    <row r="47" spans="1:35" ht="14.25" customHeight="1" thickBot="1">
      <c r="A47" s="564"/>
      <c r="B47" s="94" t="s">
        <v>347</v>
      </c>
      <c r="C47" s="93" t="s">
        <v>335</v>
      </c>
      <c r="D47" s="105">
        <v>675.17499999999995</v>
      </c>
      <c r="E47" s="91">
        <f t="shared" si="1"/>
        <v>150</v>
      </c>
      <c r="F47" s="273">
        <v>87.5685</v>
      </c>
      <c r="G47" s="91">
        <v>2.5</v>
      </c>
      <c r="H47" s="268">
        <f t="shared" si="2"/>
        <v>218.92124999999999</v>
      </c>
      <c r="I47" s="91">
        <f t="shared" si="18"/>
        <v>2</v>
      </c>
      <c r="J47" s="91">
        <f t="shared" si="3"/>
        <v>300</v>
      </c>
      <c r="K47" s="91">
        <f t="shared" si="12"/>
        <v>81.078750000000014</v>
      </c>
      <c r="L47" s="276">
        <f t="shared" si="5"/>
        <v>0.72973749999999993</v>
      </c>
      <c r="M47" s="99" t="s">
        <v>346</v>
      </c>
      <c r="N47" s="104">
        <v>792.93499999999995</v>
      </c>
      <c r="O47" s="89">
        <f t="shared" si="6"/>
        <v>150</v>
      </c>
      <c r="P47" s="88">
        <f t="shared" si="7"/>
        <v>300</v>
      </c>
      <c r="Q47" s="289">
        <f t="shared" si="13"/>
        <v>81.078750000000014</v>
      </c>
      <c r="R47" s="96"/>
      <c r="S47" s="442"/>
      <c r="U47" s="290" t="s">
        <v>501</v>
      </c>
      <c r="V47" s="345">
        <f t="shared" ref="V47:AA47" si="21">SUM(V35:V46)</f>
        <v>0</v>
      </c>
      <c r="W47" s="345">
        <f t="shared" si="21"/>
        <v>118</v>
      </c>
      <c r="X47" s="345">
        <f t="shared" si="21"/>
        <v>122</v>
      </c>
      <c r="Y47" s="345">
        <f t="shared" si="21"/>
        <v>56</v>
      </c>
      <c r="Z47" s="345">
        <f t="shared" si="21"/>
        <v>14</v>
      </c>
      <c r="AA47" s="346">
        <f t="shared" si="21"/>
        <v>310</v>
      </c>
      <c r="AB47" s="335"/>
      <c r="AC47" s="337">
        <f>AA29+AA49</f>
        <v>73750</v>
      </c>
      <c r="AD47" s="486"/>
      <c r="AE47" s="337"/>
      <c r="AF47" s="337"/>
      <c r="AG47" s="337"/>
      <c r="AH47" s="337"/>
      <c r="AI47" s="337"/>
    </row>
    <row r="48" spans="1:35" ht="14.25" customHeight="1" thickBot="1">
      <c r="A48" s="564"/>
      <c r="B48" s="94" t="s">
        <v>339</v>
      </c>
      <c r="C48" s="93" t="s">
        <v>338</v>
      </c>
      <c r="D48" s="92">
        <v>768.38499999999999</v>
      </c>
      <c r="E48" s="71">
        <f t="shared" si="1"/>
        <v>150</v>
      </c>
      <c r="F48" s="268">
        <v>46.164000000000001</v>
      </c>
      <c r="G48" s="91">
        <v>2.5</v>
      </c>
      <c r="H48" s="268">
        <f t="shared" si="2"/>
        <v>115.41</v>
      </c>
      <c r="I48" s="91">
        <f t="shared" si="18"/>
        <v>1</v>
      </c>
      <c r="J48" s="91">
        <f t="shared" si="3"/>
        <v>150</v>
      </c>
      <c r="K48" s="91">
        <f t="shared" si="12"/>
        <v>34.590000000000003</v>
      </c>
      <c r="L48" s="276">
        <f t="shared" si="5"/>
        <v>0.76939999999999997</v>
      </c>
      <c r="M48" s="88" t="s">
        <v>345</v>
      </c>
      <c r="N48" s="90">
        <v>934.80499999999995</v>
      </c>
      <c r="O48" s="115">
        <f t="shared" si="6"/>
        <v>150</v>
      </c>
      <c r="P48" s="69">
        <f t="shared" si="7"/>
        <v>150</v>
      </c>
      <c r="Q48" s="288">
        <f t="shared" si="13"/>
        <v>34.590000000000003</v>
      </c>
      <c r="R48" s="67"/>
      <c r="S48" s="399"/>
      <c r="U48" s="290" t="s">
        <v>500</v>
      </c>
      <c r="V48" s="489">
        <f>PRODUCT(V47*AE18)</f>
        <v>0</v>
      </c>
      <c r="W48" s="489">
        <f>PRODUCT(W47*AE19)</f>
        <v>1931.5301999999999</v>
      </c>
      <c r="X48" s="489">
        <f>PRODUCT(X47*AE20)</f>
        <v>2043.0974000000001</v>
      </c>
      <c r="Y48" s="489">
        <f>PRODUCT(Y47*AE21)</f>
        <v>945.64960000000008</v>
      </c>
      <c r="Z48" s="489">
        <f>PRODUCT(Z47*AE22)</f>
        <v>238</v>
      </c>
      <c r="AA48" s="490">
        <f>SUM(V48:Z48)</f>
        <v>5158.2771999999995</v>
      </c>
      <c r="AB48" s="335"/>
    </row>
    <row r="49" spans="1:35" ht="13.5" thickBot="1">
      <c r="A49" s="562" t="s">
        <v>344</v>
      </c>
      <c r="B49" s="84" t="s">
        <v>343</v>
      </c>
      <c r="C49" s="83" t="s">
        <v>342</v>
      </c>
      <c r="D49" s="82">
        <v>592.98500000000001</v>
      </c>
      <c r="E49" s="91">
        <f t="shared" si="1"/>
        <v>150</v>
      </c>
      <c r="F49" s="269">
        <v>175.91919999999999</v>
      </c>
      <c r="G49" s="81">
        <v>2.5</v>
      </c>
      <c r="H49" s="269">
        <f t="shared" si="2"/>
        <v>439.798</v>
      </c>
      <c r="I49" s="81">
        <f t="shared" si="18"/>
        <v>4</v>
      </c>
      <c r="J49" s="81">
        <f t="shared" si="3"/>
        <v>600</v>
      </c>
      <c r="K49" s="81">
        <f t="shared" si="12"/>
        <v>160.202</v>
      </c>
      <c r="L49" s="276">
        <f t="shared" si="5"/>
        <v>0.73299666666666663</v>
      </c>
      <c r="M49" s="98" t="s">
        <v>341</v>
      </c>
      <c r="N49" s="80">
        <v>992.44500000000005</v>
      </c>
      <c r="O49" s="89">
        <f t="shared" si="6"/>
        <v>150</v>
      </c>
      <c r="P49" s="88">
        <f t="shared" si="7"/>
        <v>600</v>
      </c>
      <c r="Q49" s="289">
        <f t="shared" si="13"/>
        <v>160.202</v>
      </c>
      <c r="R49" s="77"/>
      <c r="S49" s="213"/>
      <c r="U49" s="290" t="s">
        <v>563</v>
      </c>
      <c r="V49" s="347">
        <f>V47*AD18</f>
        <v>0</v>
      </c>
      <c r="W49" s="347">
        <f>W47*AD19</f>
        <v>17700</v>
      </c>
      <c r="X49" s="347">
        <f>X47*AD20</f>
        <v>24400</v>
      </c>
      <c r="Y49" s="347">
        <f>Y47*AD21</f>
        <v>14000</v>
      </c>
      <c r="Z49" s="347">
        <f>Z47*AD22</f>
        <v>4200</v>
      </c>
      <c r="AA49" s="290">
        <f>SUM(V49:Z49)</f>
        <v>60300</v>
      </c>
      <c r="AB49" s="335"/>
      <c r="AC49" s="235"/>
      <c r="AD49" s="235"/>
      <c r="AE49" s="235"/>
      <c r="AF49" s="235"/>
      <c r="AG49" s="235"/>
      <c r="AH49" s="235"/>
      <c r="AI49" s="235"/>
    </row>
    <row r="50" spans="1:35" ht="14.25" customHeight="1" thickBot="1">
      <c r="A50" s="564"/>
      <c r="B50" s="94" t="s">
        <v>339</v>
      </c>
      <c r="C50" s="93" t="s">
        <v>338</v>
      </c>
      <c r="D50" s="92">
        <v>768.38499999999999</v>
      </c>
      <c r="E50" s="91">
        <f t="shared" si="1"/>
        <v>150</v>
      </c>
      <c r="F50" s="268">
        <v>46.164000000000001</v>
      </c>
      <c r="G50" s="71">
        <v>2.5</v>
      </c>
      <c r="H50" s="271">
        <f t="shared" si="2"/>
        <v>115.41</v>
      </c>
      <c r="I50" s="71">
        <f t="shared" si="18"/>
        <v>1</v>
      </c>
      <c r="J50" s="71">
        <f t="shared" si="3"/>
        <v>150</v>
      </c>
      <c r="K50" s="71">
        <f t="shared" si="12"/>
        <v>34.590000000000003</v>
      </c>
      <c r="L50" s="276">
        <f t="shared" si="5"/>
        <v>0.76939999999999997</v>
      </c>
      <c r="M50" s="88" t="s">
        <v>337</v>
      </c>
      <c r="N50" s="90">
        <v>817.04499999999996</v>
      </c>
      <c r="O50" s="89">
        <f t="shared" si="6"/>
        <v>150</v>
      </c>
      <c r="P50" s="88">
        <f t="shared" si="7"/>
        <v>150</v>
      </c>
      <c r="Q50" s="289">
        <f t="shared" si="13"/>
        <v>34.590000000000003</v>
      </c>
      <c r="R50" s="96"/>
      <c r="S50" s="442"/>
      <c r="U50" s="266"/>
      <c r="V50" s="266"/>
      <c r="W50" s="266"/>
      <c r="Y50" s="465"/>
      <c r="Z50" s="335"/>
      <c r="AA50" s="335"/>
      <c r="AB50" s="335"/>
      <c r="AC50" s="335"/>
      <c r="AD50" s="337"/>
      <c r="AE50" s="465"/>
      <c r="AF50" s="328"/>
    </row>
    <row r="51" spans="1:35" ht="13.5" thickBot="1">
      <c r="A51" s="562" t="s">
        <v>340</v>
      </c>
      <c r="B51" s="84" t="s">
        <v>339</v>
      </c>
      <c r="C51" s="83" t="s">
        <v>338</v>
      </c>
      <c r="D51" s="82">
        <v>768.38499999999999</v>
      </c>
      <c r="E51" s="81">
        <f t="shared" si="1"/>
        <v>150</v>
      </c>
      <c r="F51" s="269">
        <v>46.164000000000001</v>
      </c>
      <c r="G51" s="91">
        <v>2.5</v>
      </c>
      <c r="H51" s="268">
        <f t="shared" si="2"/>
        <v>115.41</v>
      </c>
      <c r="I51" s="91">
        <f t="shared" si="18"/>
        <v>1</v>
      </c>
      <c r="J51" s="91">
        <f t="shared" si="3"/>
        <v>150</v>
      </c>
      <c r="K51" s="91">
        <f t="shared" si="12"/>
        <v>34.590000000000003</v>
      </c>
      <c r="L51" s="276">
        <f t="shared" si="5"/>
        <v>0.76939999999999997</v>
      </c>
      <c r="M51" s="98" t="s">
        <v>337</v>
      </c>
      <c r="N51" s="80">
        <v>817.04499999999996</v>
      </c>
      <c r="O51" s="79">
        <f t="shared" si="6"/>
        <v>150</v>
      </c>
      <c r="P51" s="98">
        <f t="shared" si="7"/>
        <v>150</v>
      </c>
      <c r="Q51" s="188">
        <f t="shared" si="13"/>
        <v>34.590000000000003</v>
      </c>
      <c r="R51" s="96"/>
      <c r="S51" s="10"/>
      <c r="U51" s="266"/>
      <c r="V51" s="266"/>
      <c r="W51" s="266"/>
      <c r="Y51" s="465"/>
      <c r="Z51" s="335"/>
      <c r="AA51" s="335"/>
      <c r="AB51" s="335"/>
      <c r="AC51" s="335"/>
      <c r="AD51" s="337"/>
      <c r="AE51" s="465"/>
      <c r="AF51" s="328"/>
    </row>
    <row r="52" spans="1:35" ht="14.25" customHeight="1" thickBot="1">
      <c r="A52" s="564"/>
      <c r="B52" s="94" t="s">
        <v>30</v>
      </c>
      <c r="C52" s="93" t="s">
        <v>326</v>
      </c>
      <c r="D52" s="92">
        <v>317.27</v>
      </c>
      <c r="E52" s="71">
        <f t="shared" si="1"/>
        <v>200</v>
      </c>
      <c r="F52" s="268">
        <v>136.87530000000001</v>
      </c>
      <c r="G52" s="91">
        <v>2.5</v>
      </c>
      <c r="H52" s="268">
        <f t="shared" si="2"/>
        <v>342.18825000000004</v>
      </c>
      <c r="I52" s="91">
        <f t="shared" si="18"/>
        <v>3</v>
      </c>
      <c r="J52" s="91">
        <f t="shared" si="3"/>
        <v>600</v>
      </c>
      <c r="K52" s="91">
        <f t="shared" si="12"/>
        <v>257.81174999999996</v>
      </c>
      <c r="L52" s="276">
        <f t="shared" si="5"/>
        <v>0.57031375000000006</v>
      </c>
      <c r="M52" s="88" t="s">
        <v>325</v>
      </c>
      <c r="N52" s="90">
        <v>518.48</v>
      </c>
      <c r="O52" s="115">
        <f t="shared" si="6"/>
        <v>200</v>
      </c>
      <c r="P52" s="69">
        <f t="shared" si="7"/>
        <v>600</v>
      </c>
      <c r="Q52" s="288">
        <f t="shared" si="13"/>
        <v>257.81174999999996</v>
      </c>
      <c r="R52" s="96"/>
      <c r="S52" s="10"/>
      <c r="U52" s="266"/>
      <c r="V52" s="266"/>
      <c r="W52" s="266"/>
      <c r="Y52" s="465"/>
      <c r="Z52" s="335"/>
      <c r="AA52" s="335"/>
      <c r="AB52" s="337"/>
      <c r="AC52" s="337"/>
      <c r="AD52" s="337"/>
      <c r="AE52" s="465"/>
      <c r="AF52" s="329"/>
    </row>
    <row r="53" spans="1:35" ht="13.5" thickBot="1">
      <c r="A53" s="562" t="s">
        <v>336</v>
      </c>
      <c r="B53" s="84" t="s">
        <v>28</v>
      </c>
      <c r="C53" s="83" t="s">
        <v>335</v>
      </c>
      <c r="D53" s="82">
        <v>675.17499999999995</v>
      </c>
      <c r="E53" s="91">
        <f t="shared" si="1"/>
        <v>150</v>
      </c>
      <c r="F53" s="269">
        <v>87.5685</v>
      </c>
      <c r="G53" s="81">
        <v>2.5</v>
      </c>
      <c r="H53" s="269">
        <f t="shared" si="2"/>
        <v>218.92124999999999</v>
      </c>
      <c r="I53" s="81">
        <f t="shared" si="18"/>
        <v>2</v>
      </c>
      <c r="J53" s="81">
        <f t="shared" si="3"/>
        <v>300</v>
      </c>
      <c r="K53" s="81">
        <f t="shared" si="12"/>
        <v>81.078750000000014</v>
      </c>
      <c r="L53" s="276">
        <f t="shared" si="5"/>
        <v>0.72973749999999993</v>
      </c>
      <c r="M53" s="98" t="s">
        <v>334</v>
      </c>
      <c r="N53" s="80">
        <v>792.93499999999995</v>
      </c>
      <c r="O53" s="89">
        <f t="shared" si="6"/>
        <v>150</v>
      </c>
      <c r="P53" s="88">
        <f t="shared" si="7"/>
        <v>300</v>
      </c>
      <c r="Q53" s="289">
        <f t="shared" si="13"/>
        <v>81.078750000000014</v>
      </c>
      <c r="R53" s="96"/>
      <c r="S53" s="399"/>
      <c r="U53" s="266"/>
      <c r="V53" s="266"/>
      <c r="W53" s="266"/>
      <c r="Y53" s="465"/>
      <c r="Z53" s="337"/>
      <c r="AA53" s="337"/>
      <c r="AB53" s="337"/>
      <c r="AC53" s="337"/>
      <c r="AD53" s="337"/>
      <c r="AE53" s="465"/>
      <c r="AF53" s="329"/>
    </row>
    <row r="54" spans="1:35" ht="13.5" thickBot="1">
      <c r="A54" s="564"/>
      <c r="B54" s="94" t="s">
        <v>333</v>
      </c>
      <c r="C54" s="93" t="s">
        <v>332</v>
      </c>
      <c r="D54" s="92">
        <v>300.33499999999998</v>
      </c>
      <c r="E54" s="91">
        <f t="shared" si="1"/>
        <v>200</v>
      </c>
      <c r="F54" s="268">
        <v>33.29833</v>
      </c>
      <c r="G54" s="71">
        <v>2.5</v>
      </c>
      <c r="H54" s="271">
        <f t="shared" si="2"/>
        <v>83.245824999999996</v>
      </c>
      <c r="I54" s="71">
        <f t="shared" si="18"/>
        <v>1</v>
      </c>
      <c r="J54" s="71">
        <f t="shared" si="3"/>
        <v>200</v>
      </c>
      <c r="K54" s="71">
        <f t="shared" si="12"/>
        <v>116.754175</v>
      </c>
      <c r="L54" s="276">
        <f t="shared" si="5"/>
        <v>0.41622912499999998</v>
      </c>
      <c r="M54" s="88" t="s">
        <v>331</v>
      </c>
      <c r="N54" s="90">
        <v>524.75</v>
      </c>
      <c r="O54" s="89">
        <f t="shared" si="6"/>
        <v>200</v>
      </c>
      <c r="P54" s="88">
        <f t="shared" si="7"/>
        <v>200</v>
      </c>
      <c r="Q54" s="289">
        <f t="shared" si="13"/>
        <v>116.754175</v>
      </c>
      <c r="R54" s="67"/>
      <c r="S54" s="399"/>
      <c r="U54" s="266"/>
      <c r="V54" s="266"/>
      <c r="W54" s="266"/>
      <c r="Y54" s="465"/>
      <c r="Z54" s="337"/>
      <c r="AA54" s="335"/>
      <c r="AB54" s="337"/>
      <c r="AC54" s="337"/>
      <c r="AD54" s="337"/>
      <c r="AE54" s="465"/>
      <c r="AF54" s="329"/>
    </row>
    <row r="55" spans="1:35" ht="13.5" thickBot="1">
      <c r="A55" s="562" t="s">
        <v>330</v>
      </c>
      <c r="B55" s="84" t="s">
        <v>329</v>
      </c>
      <c r="C55" s="83" t="s">
        <v>61</v>
      </c>
      <c r="D55" s="82">
        <v>381.34</v>
      </c>
      <c r="E55" s="81">
        <f t="shared" si="1"/>
        <v>200</v>
      </c>
      <c r="F55" s="269">
        <v>233.80699999999999</v>
      </c>
      <c r="G55" s="81">
        <v>2.5</v>
      </c>
      <c r="H55" s="269">
        <f t="shared" si="2"/>
        <v>584.51749999999993</v>
      </c>
      <c r="I55" s="81">
        <f t="shared" si="18"/>
        <v>4</v>
      </c>
      <c r="J55" s="81">
        <f t="shared" si="3"/>
        <v>800</v>
      </c>
      <c r="K55" s="81">
        <f t="shared" si="12"/>
        <v>215.48250000000007</v>
      </c>
      <c r="L55" s="276">
        <f t="shared" si="5"/>
        <v>0.73064687499999992</v>
      </c>
      <c r="M55" s="98" t="s">
        <v>328</v>
      </c>
      <c r="N55" s="80">
        <v>673.16499999999996</v>
      </c>
      <c r="O55" s="79">
        <f t="shared" si="6"/>
        <v>150</v>
      </c>
      <c r="P55" s="98">
        <f t="shared" si="7"/>
        <v>600</v>
      </c>
      <c r="Q55" s="188">
        <f t="shared" si="13"/>
        <v>15.482500000000073</v>
      </c>
      <c r="R55" s="77"/>
      <c r="S55" s="213"/>
      <c r="U55" s="266"/>
      <c r="V55" s="266"/>
      <c r="W55" s="266"/>
      <c r="Y55" s="465"/>
      <c r="Z55" s="337"/>
      <c r="AA55" s="335"/>
      <c r="AB55" s="337"/>
      <c r="AC55" s="337"/>
      <c r="AD55" s="337"/>
      <c r="AE55" s="465"/>
      <c r="AF55" s="18"/>
    </row>
    <row r="56" spans="1:35" ht="14.25" customHeight="1" thickBot="1">
      <c r="A56" s="563"/>
      <c r="B56" s="74" t="s">
        <v>30</v>
      </c>
      <c r="C56" s="73" t="s">
        <v>326</v>
      </c>
      <c r="D56" s="72">
        <v>317.27</v>
      </c>
      <c r="E56" s="71">
        <f t="shared" si="1"/>
        <v>200</v>
      </c>
      <c r="F56" s="271">
        <v>136.87530000000001</v>
      </c>
      <c r="G56" s="71">
        <v>2.5</v>
      </c>
      <c r="H56" s="271">
        <f t="shared" si="2"/>
        <v>342.18825000000004</v>
      </c>
      <c r="I56" s="71">
        <f t="shared" si="18"/>
        <v>3</v>
      </c>
      <c r="J56" s="71">
        <f t="shared" si="3"/>
        <v>600</v>
      </c>
      <c r="K56" s="71">
        <f t="shared" si="12"/>
        <v>257.81174999999996</v>
      </c>
      <c r="L56" s="276">
        <f t="shared" si="5"/>
        <v>0.57031375000000006</v>
      </c>
      <c r="M56" s="69" t="s">
        <v>325</v>
      </c>
      <c r="N56" s="70">
        <v>518.48</v>
      </c>
      <c r="O56" s="115">
        <f t="shared" si="6"/>
        <v>200</v>
      </c>
      <c r="P56" s="69">
        <f t="shared" si="7"/>
        <v>600</v>
      </c>
      <c r="Q56" s="288">
        <f t="shared" si="13"/>
        <v>257.81174999999996</v>
      </c>
      <c r="R56" s="67"/>
      <c r="S56" s="224"/>
      <c r="U56" s="266"/>
      <c r="V56" s="266"/>
      <c r="W56" s="266"/>
      <c r="Y56" s="465"/>
      <c r="Z56" s="337"/>
      <c r="AA56" s="337"/>
      <c r="AB56" s="337"/>
      <c r="AC56" s="337"/>
      <c r="AD56" s="337"/>
      <c r="AE56" s="465"/>
      <c r="AF56" s="329"/>
    </row>
    <row r="57" spans="1:35">
      <c r="A57" s="20"/>
      <c r="B57" s="63"/>
      <c r="C57" s="20"/>
      <c r="D57" s="20"/>
      <c r="E57" s="266"/>
      <c r="F57" s="63"/>
      <c r="G57" s="63"/>
      <c r="H57" s="63"/>
      <c r="I57" s="63"/>
      <c r="J57" s="63"/>
      <c r="K57" s="20"/>
      <c r="L57" s="266"/>
      <c r="M57" s="20"/>
      <c r="N57" s="20"/>
      <c r="O57" s="266"/>
      <c r="P57" s="266"/>
      <c r="Q57" s="20"/>
      <c r="R57" s="12"/>
      <c r="U57" s="266"/>
      <c r="V57" s="266"/>
      <c r="W57" s="266"/>
      <c r="Y57" s="464"/>
      <c r="Z57" s="337"/>
      <c r="AA57" s="337"/>
      <c r="AB57" s="337"/>
      <c r="AC57" s="337"/>
      <c r="AD57" s="337"/>
      <c r="AE57" s="468"/>
      <c r="AF57" s="329"/>
    </row>
    <row r="58" spans="1:35">
      <c r="A58" s="20"/>
      <c r="B58" s="63"/>
      <c r="C58" s="20"/>
      <c r="D58" s="20"/>
      <c r="E58" s="266"/>
      <c r="F58" s="63"/>
      <c r="G58" s="63"/>
      <c r="H58" s="63"/>
      <c r="I58" s="63"/>
      <c r="J58" s="63"/>
      <c r="K58" s="20"/>
      <c r="L58" s="266"/>
      <c r="M58" s="20"/>
      <c r="N58" s="20"/>
      <c r="O58" s="266"/>
      <c r="P58" s="266"/>
      <c r="Q58" s="20"/>
      <c r="R58" s="12"/>
      <c r="U58" s="266"/>
      <c r="V58" s="266"/>
      <c r="W58" s="266"/>
      <c r="Y58" s="464"/>
      <c r="Z58" s="465"/>
      <c r="AA58" s="465"/>
      <c r="AB58" s="465"/>
      <c r="AC58" s="465"/>
      <c r="AD58" s="465"/>
      <c r="AE58" s="464"/>
      <c r="AF58" s="329"/>
    </row>
    <row r="59" spans="1:35">
      <c r="A59" s="20"/>
      <c r="B59" s="63"/>
      <c r="C59" s="20"/>
      <c r="D59" s="20"/>
      <c r="E59" s="266"/>
      <c r="F59" s="63"/>
      <c r="G59" s="63"/>
      <c r="H59" s="63"/>
      <c r="I59" s="63"/>
      <c r="J59" s="63"/>
      <c r="K59" s="20"/>
      <c r="L59" s="266"/>
      <c r="M59" s="20"/>
      <c r="N59" s="20"/>
      <c r="O59" s="266"/>
      <c r="P59" s="266"/>
      <c r="Q59" s="20"/>
      <c r="R59" s="12"/>
      <c r="U59" s="266"/>
      <c r="V59" s="266"/>
      <c r="W59" s="266"/>
      <c r="Y59" s="464"/>
      <c r="Z59" s="465"/>
      <c r="AA59" s="465"/>
      <c r="AB59" s="465"/>
      <c r="AC59" s="465"/>
      <c r="AD59" s="465"/>
      <c r="AE59" s="464"/>
      <c r="AF59" s="329"/>
    </row>
    <row r="60" spans="1:35">
      <c r="A60" s="20"/>
      <c r="B60" s="63"/>
      <c r="C60" s="20"/>
      <c r="D60" s="20"/>
      <c r="E60" s="266"/>
      <c r="F60" s="63"/>
      <c r="G60" s="63"/>
      <c r="H60" s="63"/>
      <c r="I60" s="63"/>
      <c r="J60" s="63"/>
      <c r="K60" s="20"/>
      <c r="L60" s="266"/>
      <c r="M60" s="20"/>
      <c r="N60" s="20"/>
      <c r="O60" s="266"/>
      <c r="P60" s="266"/>
      <c r="Q60" s="20"/>
      <c r="R60" s="12"/>
      <c r="U60" s="184"/>
      <c r="V60" s="266"/>
      <c r="W60" s="266"/>
      <c r="Y60" s="465"/>
      <c r="Z60" s="465"/>
      <c r="AA60" s="465"/>
      <c r="AB60" s="465"/>
      <c r="AC60" s="465"/>
      <c r="AD60" s="465"/>
      <c r="AE60" s="465"/>
    </row>
    <row r="61" spans="1:35">
      <c r="A61" s="20"/>
      <c r="B61" s="63"/>
      <c r="C61" s="20"/>
      <c r="D61" s="20"/>
      <c r="E61" s="266"/>
      <c r="F61" s="63"/>
      <c r="G61" s="63"/>
      <c r="H61" s="63"/>
      <c r="I61" s="63"/>
      <c r="J61" s="63"/>
      <c r="K61" s="20"/>
      <c r="L61" s="266"/>
      <c r="M61" s="20"/>
      <c r="N61" s="20"/>
      <c r="O61" s="266"/>
      <c r="P61" s="266"/>
      <c r="Q61" s="20"/>
      <c r="R61" s="12"/>
      <c r="U61" s="266"/>
      <c r="V61" s="266"/>
      <c r="W61" s="266"/>
      <c r="Y61" s="560"/>
      <c r="Z61" s="560"/>
      <c r="AA61" s="560"/>
      <c r="AB61" s="560"/>
      <c r="AC61" s="560"/>
      <c r="AD61" s="560"/>
      <c r="AE61" s="465"/>
    </row>
    <row r="62" spans="1:35">
      <c r="A62" s="20"/>
      <c r="B62" s="64"/>
      <c r="C62" s="20"/>
      <c r="D62" s="20"/>
      <c r="E62" s="266"/>
      <c r="F62" s="63"/>
      <c r="G62" s="63"/>
      <c r="H62" s="63"/>
      <c r="I62" s="63"/>
      <c r="J62" s="63"/>
      <c r="K62" s="20"/>
      <c r="L62" s="266"/>
      <c r="M62" s="20"/>
      <c r="N62" s="20"/>
      <c r="O62" s="266"/>
      <c r="P62" s="266"/>
      <c r="Q62" s="20"/>
      <c r="R62" s="12"/>
      <c r="Y62" s="466"/>
      <c r="Z62" s="467"/>
      <c r="AA62" s="467"/>
      <c r="AB62" s="467"/>
      <c r="AC62" s="464"/>
      <c r="AD62" s="464"/>
      <c r="AE62" s="464"/>
    </row>
    <row r="63" spans="1:35">
      <c r="A63" s="20"/>
      <c r="B63" s="64"/>
      <c r="C63" s="20"/>
      <c r="D63" s="20"/>
      <c r="E63" s="266"/>
      <c r="F63" s="63"/>
      <c r="G63" s="63"/>
      <c r="H63" s="63"/>
      <c r="I63" s="63"/>
      <c r="J63" s="63"/>
      <c r="K63" s="20"/>
      <c r="L63" s="266"/>
      <c r="M63" s="20"/>
      <c r="N63" s="20"/>
      <c r="O63" s="266"/>
      <c r="P63" s="266"/>
      <c r="Q63" s="20"/>
      <c r="R63" s="12"/>
      <c r="Y63" s="465"/>
      <c r="Z63" s="335"/>
      <c r="AA63" s="335"/>
      <c r="AB63" s="335"/>
      <c r="AC63" s="335"/>
      <c r="AD63" s="337"/>
      <c r="AE63" s="465"/>
    </row>
    <row r="64" spans="1:35">
      <c r="A64" s="20"/>
      <c r="B64" s="64"/>
      <c r="C64" s="20"/>
      <c r="D64" s="20"/>
      <c r="E64" s="266"/>
      <c r="F64" s="63"/>
      <c r="G64" s="63"/>
      <c r="H64" s="63"/>
      <c r="I64" s="63"/>
      <c r="J64" s="63"/>
      <c r="K64" s="20"/>
      <c r="L64" s="266"/>
      <c r="M64" s="20"/>
      <c r="N64" s="20"/>
      <c r="O64" s="266"/>
      <c r="P64" s="266"/>
      <c r="Q64" s="20"/>
      <c r="R64" s="12"/>
      <c r="Y64" s="465"/>
      <c r="Z64" s="335"/>
      <c r="AA64" s="335"/>
      <c r="AB64" s="335"/>
      <c r="AC64" s="335"/>
      <c r="AD64" s="337"/>
      <c r="AE64" s="465"/>
    </row>
    <row r="65" spans="1:31">
      <c r="A65" s="20"/>
      <c r="B65" s="63"/>
      <c r="C65" s="20"/>
      <c r="D65" s="20"/>
      <c r="E65" s="266"/>
      <c r="O65" s="266"/>
      <c r="P65" s="266"/>
      <c r="R65" s="12"/>
      <c r="Y65" s="465"/>
      <c r="Z65" s="335"/>
      <c r="AA65" s="335"/>
      <c r="AB65" s="335"/>
      <c r="AC65" s="335"/>
      <c r="AD65" s="337"/>
      <c r="AE65" s="465"/>
    </row>
    <row r="66" spans="1:31">
      <c r="A66" s="20"/>
      <c r="B66" s="63"/>
      <c r="C66" s="20"/>
      <c r="D66" s="20"/>
      <c r="E66" s="266"/>
      <c r="O66" s="266"/>
      <c r="P66" s="266"/>
      <c r="R66" s="12"/>
      <c r="Y66" s="465"/>
      <c r="Z66" s="335"/>
      <c r="AA66" s="335"/>
      <c r="AB66" s="335"/>
      <c r="AC66" s="335"/>
      <c r="AD66" s="337"/>
      <c r="AE66" s="465"/>
    </row>
    <row r="67" spans="1:31">
      <c r="A67" s="20"/>
      <c r="B67" s="63"/>
      <c r="C67" s="20"/>
      <c r="D67" s="20"/>
      <c r="E67" s="266"/>
      <c r="O67" s="266"/>
      <c r="P67" s="266"/>
      <c r="R67" s="12"/>
      <c r="Y67" s="465"/>
      <c r="Z67" s="335"/>
      <c r="AA67" s="335"/>
      <c r="AB67" s="335"/>
      <c r="AC67" s="335"/>
      <c r="AD67" s="337"/>
      <c r="AE67" s="465"/>
    </row>
    <row r="68" spans="1:31">
      <c r="A68" s="20"/>
      <c r="B68" s="63"/>
      <c r="C68" s="20"/>
      <c r="D68" s="20"/>
      <c r="E68" s="266"/>
      <c r="F68" s="63"/>
      <c r="G68" s="63"/>
      <c r="H68" s="63"/>
      <c r="I68" s="63"/>
      <c r="J68" s="63"/>
      <c r="K68" s="20"/>
      <c r="L68" s="266"/>
      <c r="M68" s="20"/>
      <c r="N68" s="20"/>
      <c r="O68" s="266"/>
      <c r="P68" s="266"/>
      <c r="Q68" s="20"/>
      <c r="R68" s="12"/>
      <c r="Y68" s="465"/>
      <c r="Z68" s="335"/>
      <c r="AA68" s="335"/>
      <c r="AB68" s="335"/>
      <c r="AC68" s="335"/>
      <c r="AD68" s="337"/>
      <c r="AE68" s="465"/>
    </row>
    <row r="69" spans="1:31">
      <c r="B69" s="63"/>
      <c r="C69" s="20"/>
      <c r="D69" s="20"/>
      <c r="E69" s="266"/>
      <c r="F69" s="63"/>
      <c r="G69" s="63"/>
      <c r="H69" s="63"/>
      <c r="I69" s="63"/>
      <c r="J69" s="63"/>
      <c r="K69" s="20"/>
      <c r="L69" s="266"/>
      <c r="M69" s="20"/>
      <c r="N69" s="20"/>
      <c r="O69" s="266"/>
      <c r="P69" s="266"/>
      <c r="Q69" s="20"/>
      <c r="R69" s="12"/>
      <c r="U69" s="57"/>
      <c r="V69" s="57"/>
      <c r="Y69" s="465"/>
      <c r="Z69" s="335"/>
      <c r="AA69" s="335"/>
      <c r="AB69" s="335"/>
      <c r="AC69" s="335"/>
      <c r="AD69" s="337"/>
      <c r="AE69" s="465"/>
    </row>
    <row r="70" spans="1:31">
      <c r="B70" s="63"/>
      <c r="C70" s="20"/>
      <c r="D70" s="20"/>
      <c r="E70" s="266"/>
      <c r="F70" s="63"/>
      <c r="G70" s="63"/>
      <c r="H70" s="63"/>
      <c r="I70" s="63"/>
      <c r="J70" s="63"/>
      <c r="K70" s="20"/>
      <c r="L70" s="266"/>
      <c r="M70" s="20"/>
      <c r="N70" s="20"/>
      <c r="O70" s="266"/>
      <c r="P70" s="266"/>
      <c r="Q70" s="20"/>
      <c r="R70" s="12"/>
      <c r="U70" s="57"/>
      <c r="V70" s="57"/>
      <c r="Y70" s="465"/>
      <c r="Z70" s="335"/>
      <c r="AA70" s="335"/>
      <c r="AB70" s="337"/>
      <c r="AC70" s="337"/>
      <c r="AD70" s="337"/>
      <c r="AE70" s="465"/>
    </row>
    <row r="71" spans="1:31">
      <c r="B71" s="63"/>
      <c r="C71" s="20"/>
      <c r="D71" s="20"/>
      <c r="E71" s="266"/>
      <c r="F71" s="63"/>
      <c r="G71" s="63"/>
      <c r="H71" s="63"/>
      <c r="I71" s="63"/>
      <c r="J71" s="63"/>
      <c r="K71" s="20"/>
      <c r="L71" s="266"/>
      <c r="M71" s="20"/>
      <c r="N71" s="20"/>
      <c r="O71" s="266"/>
      <c r="P71" s="266"/>
      <c r="Q71" s="20"/>
      <c r="R71" s="12"/>
      <c r="U71" s="57"/>
      <c r="V71" s="57"/>
      <c r="Y71" s="465"/>
      <c r="Z71" s="337"/>
      <c r="AA71" s="337"/>
      <c r="AB71" s="337"/>
      <c r="AC71" s="337"/>
      <c r="AD71" s="337"/>
      <c r="AE71" s="465"/>
    </row>
    <row r="72" spans="1:31">
      <c r="B72" s="63"/>
      <c r="C72" s="20"/>
      <c r="D72" s="20"/>
      <c r="E72" s="266"/>
      <c r="F72" s="63"/>
      <c r="G72" s="63"/>
      <c r="H72" s="63"/>
      <c r="I72" s="63"/>
      <c r="J72" s="63"/>
      <c r="K72" s="20"/>
      <c r="L72" s="266"/>
      <c r="M72" s="20"/>
      <c r="N72" s="20"/>
      <c r="O72" s="266"/>
      <c r="P72" s="266"/>
      <c r="Q72" s="20"/>
      <c r="R72" s="12"/>
      <c r="U72" s="57"/>
      <c r="V72" s="57"/>
      <c r="Y72" s="465"/>
      <c r="Z72" s="337"/>
      <c r="AA72" s="335"/>
      <c r="AB72" s="337"/>
      <c r="AC72" s="337"/>
      <c r="AD72" s="337"/>
      <c r="AE72" s="465"/>
    </row>
    <row r="73" spans="1:31">
      <c r="B73" s="63"/>
      <c r="C73" s="20"/>
      <c r="D73" s="20"/>
      <c r="E73" s="266"/>
      <c r="F73" s="63"/>
      <c r="G73" s="63"/>
      <c r="H73" s="63"/>
      <c r="I73" s="63"/>
      <c r="J73" s="63"/>
      <c r="K73" s="20"/>
      <c r="L73" s="266"/>
      <c r="M73" s="20"/>
      <c r="N73" s="20"/>
      <c r="O73" s="266"/>
      <c r="P73" s="266"/>
      <c r="Q73" s="20"/>
      <c r="R73" s="12"/>
      <c r="U73" s="57"/>
      <c r="Y73" s="465"/>
      <c r="Z73" s="337"/>
      <c r="AA73" s="335"/>
      <c r="AB73" s="337"/>
      <c r="AC73" s="337"/>
      <c r="AD73" s="337"/>
      <c r="AE73" s="465"/>
    </row>
    <row r="74" spans="1:31">
      <c r="B74" s="63"/>
      <c r="C74" s="20"/>
      <c r="D74" s="20"/>
      <c r="E74" s="266"/>
      <c r="F74" s="63"/>
      <c r="G74" s="63"/>
      <c r="H74" s="63"/>
      <c r="I74" s="63"/>
      <c r="J74" s="63"/>
      <c r="K74" s="20"/>
      <c r="L74" s="266"/>
      <c r="M74" s="20"/>
      <c r="N74" s="20"/>
      <c r="O74" s="266"/>
      <c r="P74" s="266"/>
      <c r="Q74" s="20"/>
      <c r="R74" s="12"/>
      <c r="U74" s="57"/>
      <c r="Y74" s="465"/>
      <c r="Z74" s="337"/>
      <c r="AA74" s="337"/>
      <c r="AB74" s="337"/>
      <c r="AC74" s="337"/>
      <c r="AD74" s="337"/>
      <c r="AE74" s="465"/>
    </row>
    <row r="75" spans="1:31">
      <c r="B75" s="63"/>
      <c r="C75" s="20"/>
      <c r="D75" s="20"/>
      <c r="E75" s="266"/>
      <c r="F75" s="63"/>
      <c r="G75" s="63"/>
      <c r="H75" s="63"/>
      <c r="I75" s="63"/>
      <c r="J75" s="63"/>
      <c r="K75" s="20"/>
      <c r="L75" s="266"/>
      <c r="M75" s="20"/>
      <c r="N75" s="20"/>
      <c r="O75" s="266"/>
      <c r="P75" s="266"/>
      <c r="Q75" s="20"/>
      <c r="R75" s="12"/>
      <c r="Y75" s="464"/>
      <c r="Z75" s="337"/>
      <c r="AA75" s="337"/>
      <c r="AB75" s="337"/>
      <c r="AC75" s="337"/>
      <c r="AD75" s="337"/>
      <c r="AE75" s="468"/>
    </row>
    <row r="76" spans="1:31">
      <c r="B76" s="63"/>
      <c r="C76" s="20"/>
      <c r="D76" s="20"/>
      <c r="E76" s="266"/>
      <c r="F76" s="63"/>
      <c r="G76" s="63"/>
      <c r="H76" s="63"/>
      <c r="I76" s="63"/>
      <c r="J76" s="63"/>
      <c r="K76" s="20"/>
      <c r="L76" s="266"/>
      <c r="M76" s="20"/>
      <c r="N76" s="20"/>
      <c r="O76" s="266"/>
      <c r="P76" s="266"/>
      <c r="Q76" s="20"/>
      <c r="R76" s="12"/>
      <c r="Y76" s="464"/>
      <c r="Z76" s="465"/>
      <c r="AA76" s="465"/>
      <c r="AB76" s="465"/>
      <c r="AC76" s="465"/>
      <c r="AD76" s="465"/>
      <c r="AE76" s="464"/>
    </row>
    <row r="77" spans="1:31">
      <c r="B77" s="63"/>
      <c r="C77" s="20"/>
      <c r="D77" s="20"/>
      <c r="E77" s="266"/>
      <c r="F77" s="63"/>
      <c r="G77" s="63"/>
      <c r="H77" s="63"/>
      <c r="I77" s="63"/>
      <c r="J77" s="63"/>
      <c r="K77" s="20"/>
      <c r="L77" s="266"/>
      <c r="M77" s="20"/>
      <c r="N77" s="20"/>
      <c r="O77" s="266"/>
      <c r="P77" s="266"/>
      <c r="Q77" s="20"/>
      <c r="R77" s="12"/>
      <c r="Y77" s="464"/>
      <c r="Z77" s="465"/>
      <c r="AA77" s="465"/>
      <c r="AB77" s="465"/>
      <c r="AC77" s="465"/>
      <c r="AD77" s="465"/>
      <c r="AE77" s="464"/>
    </row>
    <row r="78" spans="1:31">
      <c r="B78" s="63"/>
      <c r="C78" s="20"/>
      <c r="D78" s="20"/>
      <c r="E78" s="266"/>
      <c r="F78" s="63"/>
      <c r="G78" s="63"/>
      <c r="H78" s="63"/>
      <c r="I78" s="63"/>
      <c r="J78" s="63"/>
      <c r="K78" s="20"/>
      <c r="L78" s="266"/>
      <c r="M78" s="20"/>
      <c r="N78" s="20"/>
      <c r="O78" s="266"/>
      <c r="P78" s="266"/>
      <c r="Q78" s="20"/>
      <c r="R78" s="12"/>
      <c r="Y78" s="465"/>
      <c r="Z78" s="465"/>
      <c r="AA78" s="465"/>
      <c r="AB78" s="465"/>
      <c r="AC78" s="465"/>
      <c r="AD78" s="465"/>
      <c r="AE78" s="465"/>
    </row>
    <row r="79" spans="1:31">
      <c r="B79" s="63"/>
      <c r="C79" s="20"/>
      <c r="D79" s="20"/>
      <c r="E79" s="266"/>
      <c r="F79" s="63"/>
      <c r="G79" s="63"/>
      <c r="H79" s="63"/>
      <c r="I79" s="63"/>
      <c r="J79" s="63"/>
      <c r="K79" s="20"/>
      <c r="L79" s="266"/>
      <c r="M79" s="20"/>
      <c r="N79" s="20"/>
      <c r="O79" s="266"/>
      <c r="P79" s="266"/>
      <c r="Q79" s="20"/>
      <c r="R79" s="12"/>
      <c r="Y79" s="465"/>
      <c r="Z79" s="465"/>
      <c r="AA79" s="465"/>
      <c r="AB79" s="465"/>
      <c r="AC79" s="465"/>
      <c r="AD79" s="465"/>
      <c r="AE79" s="465"/>
    </row>
    <row r="80" spans="1:31">
      <c r="B80" s="63"/>
      <c r="C80" s="20"/>
      <c r="D80" s="20"/>
      <c r="E80" s="266"/>
      <c r="F80" s="63"/>
      <c r="G80" s="63"/>
      <c r="H80" s="63"/>
      <c r="I80" s="63"/>
      <c r="J80" s="63"/>
      <c r="K80" s="20"/>
      <c r="L80" s="266"/>
      <c r="M80" s="20"/>
      <c r="N80" s="20"/>
      <c r="O80" s="266"/>
      <c r="P80" s="266"/>
      <c r="Q80" s="20"/>
      <c r="R80" s="12"/>
      <c r="Y80" s="465"/>
      <c r="Z80" s="465"/>
      <c r="AA80" s="465"/>
      <c r="AB80" s="465"/>
      <c r="AC80" s="465"/>
      <c r="AD80" s="465"/>
      <c r="AE80" s="465"/>
    </row>
    <row r="81" spans="2:31">
      <c r="B81" s="63"/>
      <c r="C81" s="20"/>
      <c r="D81" s="20"/>
      <c r="E81" s="266"/>
      <c r="F81" s="63"/>
      <c r="G81" s="63"/>
      <c r="H81" s="63"/>
      <c r="I81" s="63"/>
      <c r="J81" s="63"/>
      <c r="K81" s="20"/>
      <c r="L81" s="266"/>
      <c r="M81" s="20"/>
      <c r="N81" s="20"/>
      <c r="O81" s="266"/>
      <c r="P81" s="266"/>
      <c r="Q81" s="20"/>
      <c r="R81" s="12"/>
      <c r="Y81" s="465"/>
      <c r="Z81" s="465"/>
      <c r="AA81" s="465"/>
      <c r="AB81" s="465"/>
      <c r="AC81" s="465"/>
      <c r="AD81" s="465"/>
      <c r="AE81" s="465"/>
    </row>
    <row r="82" spans="2:31">
      <c r="B82" s="63"/>
      <c r="C82" s="20"/>
      <c r="D82" s="20"/>
      <c r="E82" s="266"/>
      <c r="F82" s="63"/>
      <c r="G82" s="63"/>
      <c r="H82" s="63"/>
      <c r="I82" s="63"/>
      <c r="J82" s="63"/>
      <c r="K82" s="20"/>
      <c r="L82" s="266"/>
      <c r="M82" s="20"/>
      <c r="N82" s="20"/>
      <c r="O82" s="266"/>
      <c r="P82" s="266"/>
      <c r="Q82" s="20"/>
      <c r="R82" s="12"/>
    </row>
    <row r="83" spans="2:31">
      <c r="B83" s="63"/>
      <c r="C83" s="20"/>
      <c r="D83" s="20"/>
      <c r="E83" s="266"/>
      <c r="F83" s="63"/>
      <c r="G83" s="63"/>
      <c r="H83" s="63"/>
      <c r="I83" s="63"/>
      <c r="J83" s="63"/>
      <c r="K83" s="20"/>
      <c r="L83" s="266"/>
      <c r="M83" s="20"/>
      <c r="N83" s="20"/>
      <c r="O83" s="266"/>
      <c r="P83" s="266"/>
      <c r="Q83" s="20"/>
      <c r="R83" s="12"/>
    </row>
    <row r="84" spans="2:31">
      <c r="B84" s="63"/>
      <c r="C84" s="20"/>
      <c r="D84" s="20"/>
      <c r="E84" s="266"/>
      <c r="F84" s="63"/>
      <c r="G84" s="63"/>
      <c r="H84" s="63"/>
      <c r="I84" s="63"/>
      <c r="J84" s="63"/>
      <c r="K84" s="20"/>
      <c r="L84" s="266"/>
      <c r="M84" s="20"/>
      <c r="N84" s="20"/>
      <c r="O84" s="266"/>
      <c r="P84" s="266"/>
      <c r="Q84" s="20"/>
      <c r="R84" s="12"/>
    </row>
    <row r="85" spans="2:31">
      <c r="B85" s="63"/>
      <c r="C85" s="20"/>
      <c r="D85" s="20"/>
      <c r="E85" s="266"/>
      <c r="F85" s="63"/>
      <c r="G85" s="63"/>
      <c r="H85" s="63"/>
      <c r="I85" s="63"/>
      <c r="J85" s="63"/>
      <c r="K85" s="20"/>
      <c r="L85" s="266"/>
      <c r="M85" s="20"/>
      <c r="N85" s="20"/>
      <c r="O85" s="266"/>
      <c r="P85" s="266"/>
      <c r="Q85" s="20"/>
      <c r="R85" s="12"/>
    </row>
    <row r="86" spans="2:31">
      <c r="B86" s="63"/>
      <c r="C86" s="20"/>
      <c r="D86" s="20"/>
      <c r="E86" s="266"/>
      <c r="F86" s="63"/>
      <c r="G86" s="63"/>
      <c r="H86" s="63"/>
      <c r="I86" s="63"/>
      <c r="J86" s="63"/>
      <c r="K86" s="20"/>
      <c r="L86" s="266"/>
      <c r="M86" s="20"/>
      <c r="N86" s="20"/>
      <c r="O86" s="266"/>
      <c r="P86" s="266"/>
      <c r="Q86" s="20"/>
      <c r="R86" s="12"/>
    </row>
    <row r="87" spans="2:31">
      <c r="B87" s="63"/>
      <c r="C87" s="20"/>
      <c r="D87" s="20"/>
      <c r="E87" s="266"/>
      <c r="F87" s="63"/>
      <c r="G87" s="63"/>
      <c r="H87" s="63"/>
      <c r="I87" s="63"/>
      <c r="J87" s="63"/>
      <c r="K87" s="20"/>
      <c r="L87" s="266"/>
      <c r="M87" s="20"/>
      <c r="N87" s="20"/>
      <c r="O87" s="266"/>
      <c r="P87" s="266"/>
      <c r="Q87" s="20"/>
      <c r="R87" s="12"/>
    </row>
    <row r="88" spans="2:31">
      <c r="B88" s="63"/>
      <c r="C88" s="20"/>
      <c r="D88" s="20"/>
      <c r="E88" s="266"/>
      <c r="F88" s="63"/>
      <c r="G88" s="63"/>
      <c r="H88" s="63"/>
      <c r="I88" s="63"/>
      <c r="J88" s="63"/>
      <c r="K88" s="20"/>
      <c r="L88" s="266"/>
      <c r="M88" s="20"/>
      <c r="N88" s="20"/>
      <c r="O88" s="266"/>
      <c r="P88" s="266"/>
      <c r="Q88" s="20"/>
      <c r="R88" s="12"/>
    </row>
    <row r="89" spans="2:31">
      <c r="B89" s="63"/>
      <c r="C89" s="20"/>
      <c r="D89" s="20"/>
      <c r="E89" s="266"/>
      <c r="F89" s="63"/>
      <c r="G89" s="63"/>
      <c r="H89" s="63"/>
      <c r="I89" s="63"/>
      <c r="J89" s="63"/>
      <c r="K89" s="20"/>
      <c r="L89" s="266"/>
      <c r="M89" s="20"/>
      <c r="N89" s="20"/>
      <c r="O89" s="266"/>
      <c r="P89" s="266"/>
      <c r="Q89" s="20"/>
      <c r="R89" s="12"/>
    </row>
    <row r="90" spans="2:31">
      <c r="B90" s="63"/>
      <c r="C90" s="20"/>
      <c r="D90" s="20"/>
      <c r="E90" s="266"/>
      <c r="F90" s="63"/>
      <c r="G90" s="63"/>
      <c r="H90" s="63"/>
      <c r="I90" s="63"/>
      <c r="J90" s="63"/>
      <c r="K90" s="20"/>
      <c r="L90" s="266"/>
      <c r="M90" s="20"/>
      <c r="N90" s="20"/>
      <c r="O90" s="266"/>
      <c r="P90" s="266"/>
      <c r="Q90" s="20"/>
      <c r="R90" s="12"/>
    </row>
    <row r="91" spans="2:31">
      <c r="B91" s="63"/>
      <c r="C91" s="20"/>
      <c r="D91" s="20"/>
      <c r="E91" s="266"/>
      <c r="F91" s="63"/>
      <c r="G91" s="63"/>
      <c r="H91" s="63"/>
      <c r="I91" s="63"/>
      <c r="J91" s="63"/>
      <c r="K91" s="20"/>
      <c r="L91" s="266"/>
      <c r="M91" s="20"/>
      <c r="N91" s="20"/>
      <c r="O91" s="266"/>
      <c r="P91" s="266"/>
      <c r="Q91" s="20"/>
      <c r="R91" s="12"/>
    </row>
    <row r="92" spans="2:31">
      <c r="B92" s="63"/>
      <c r="C92" s="20"/>
      <c r="D92" s="20"/>
      <c r="E92" s="266"/>
      <c r="F92" s="63"/>
      <c r="G92" s="63"/>
      <c r="H92" s="63"/>
      <c r="I92" s="63"/>
      <c r="J92" s="63"/>
      <c r="K92" s="20"/>
      <c r="L92" s="266"/>
      <c r="M92" s="20"/>
      <c r="N92" s="20"/>
      <c r="O92" s="266"/>
      <c r="P92" s="266"/>
      <c r="Q92" s="20"/>
      <c r="R92" s="12"/>
    </row>
    <row r="93" spans="2:31">
      <c r="B93" s="63"/>
      <c r="C93" s="20"/>
      <c r="D93" s="20"/>
      <c r="E93" s="266"/>
      <c r="F93" s="63"/>
      <c r="G93" s="63"/>
      <c r="H93" s="63"/>
      <c r="I93" s="63"/>
      <c r="J93" s="63"/>
      <c r="K93" s="20"/>
      <c r="L93" s="266"/>
      <c r="M93" s="20"/>
      <c r="N93" s="20"/>
      <c r="O93" s="266"/>
      <c r="P93" s="266"/>
      <c r="Q93" s="20"/>
      <c r="R93" s="12"/>
    </row>
    <row r="94" spans="2:31">
      <c r="B94" s="63"/>
      <c r="C94" s="20"/>
      <c r="D94" s="20"/>
      <c r="E94" s="266"/>
      <c r="F94" s="63"/>
      <c r="G94" s="63"/>
      <c r="H94" s="63"/>
      <c r="I94" s="63"/>
      <c r="J94" s="63"/>
      <c r="K94" s="20"/>
      <c r="L94" s="266"/>
      <c r="M94" s="20"/>
      <c r="N94" s="20"/>
      <c r="O94" s="266"/>
      <c r="P94" s="266"/>
      <c r="Q94" s="20"/>
      <c r="R94" s="12"/>
    </row>
    <row r="95" spans="2:31">
      <c r="B95" s="63"/>
      <c r="C95" s="20"/>
      <c r="D95" s="20"/>
      <c r="E95" s="266"/>
      <c r="F95" s="63"/>
      <c r="G95" s="63"/>
      <c r="H95" s="63"/>
      <c r="I95" s="63"/>
      <c r="J95" s="63"/>
      <c r="K95" s="20"/>
      <c r="L95" s="266"/>
      <c r="M95" s="20"/>
      <c r="N95" s="20"/>
      <c r="O95" s="266"/>
      <c r="P95" s="266"/>
      <c r="Q95" s="20"/>
      <c r="R95" s="12"/>
    </row>
    <row r="96" spans="2:31">
      <c r="B96" s="63"/>
      <c r="C96" s="20"/>
      <c r="D96" s="20"/>
      <c r="E96" s="266"/>
      <c r="F96" s="63"/>
      <c r="G96" s="63"/>
      <c r="H96" s="63"/>
      <c r="I96" s="63"/>
      <c r="J96" s="63"/>
      <c r="K96" s="20"/>
      <c r="L96" s="266"/>
      <c r="M96" s="20"/>
      <c r="N96" s="20"/>
      <c r="O96" s="266"/>
      <c r="P96" s="266"/>
      <c r="Q96" s="20"/>
      <c r="R96" s="12"/>
    </row>
    <row r="97" spans="2:18">
      <c r="B97" s="63"/>
      <c r="C97" s="20"/>
      <c r="D97" s="20"/>
      <c r="E97" s="266"/>
      <c r="F97" s="63"/>
      <c r="G97" s="63"/>
      <c r="H97" s="63"/>
      <c r="I97" s="63"/>
      <c r="J97" s="63"/>
      <c r="K97" s="20"/>
      <c r="L97" s="266"/>
      <c r="M97" s="20"/>
      <c r="N97" s="20"/>
      <c r="O97" s="266"/>
      <c r="P97" s="266"/>
      <c r="Q97" s="20"/>
      <c r="R97" s="12"/>
    </row>
    <row r="98" spans="2:18">
      <c r="B98" s="63"/>
      <c r="C98" s="20"/>
      <c r="D98" s="20"/>
      <c r="E98" s="266"/>
      <c r="F98" s="63"/>
      <c r="G98" s="63"/>
      <c r="H98" s="63"/>
      <c r="I98" s="63"/>
      <c r="J98" s="63"/>
      <c r="K98" s="20"/>
      <c r="L98" s="266"/>
      <c r="M98" s="20"/>
      <c r="N98" s="20"/>
      <c r="O98" s="266"/>
      <c r="P98" s="266"/>
      <c r="Q98" s="20"/>
      <c r="R98" s="12"/>
    </row>
    <row r="99" spans="2:18">
      <c r="B99" s="63"/>
      <c r="C99" s="20"/>
      <c r="D99" s="20"/>
      <c r="E99" s="266"/>
      <c r="F99" s="63"/>
      <c r="G99" s="63"/>
      <c r="H99" s="63"/>
      <c r="I99" s="63"/>
      <c r="J99" s="63"/>
      <c r="K99" s="20"/>
      <c r="L99" s="266"/>
      <c r="M99" s="20"/>
      <c r="N99" s="20"/>
      <c r="O99" s="266"/>
      <c r="P99" s="266"/>
      <c r="Q99" s="20"/>
      <c r="R99" s="12"/>
    </row>
    <row r="100" spans="2:18">
      <c r="B100" s="63"/>
      <c r="C100" s="20"/>
      <c r="D100" s="20"/>
      <c r="E100" s="266"/>
      <c r="F100" s="63"/>
      <c r="G100" s="63"/>
      <c r="H100" s="63"/>
      <c r="I100" s="63"/>
      <c r="J100" s="63"/>
      <c r="K100" s="20"/>
      <c r="L100" s="266"/>
      <c r="M100" s="20"/>
      <c r="N100" s="20"/>
      <c r="O100" s="266"/>
      <c r="P100" s="266"/>
      <c r="Q100" s="20"/>
      <c r="R100" s="12"/>
    </row>
    <row r="101" spans="2:18">
      <c r="B101" s="63"/>
      <c r="C101" s="20"/>
      <c r="D101" s="20"/>
      <c r="E101" s="266"/>
      <c r="F101" s="63"/>
      <c r="G101" s="63"/>
      <c r="H101" s="63"/>
      <c r="I101" s="63"/>
      <c r="J101" s="63"/>
      <c r="K101" s="20"/>
      <c r="L101" s="266"/>
      <c r="M101" s="20"/>
      <c r="N101" s="20"/>
      <c r="O101" s="266"/>
      <c r="P101" s="266"/>
      <c r="Q101" s="20"/>
      <c r="R101" s="12"/>
    </row>
    <row r="102" spans="2:18">
      <c r="B102" s="63"/>
      <c r="C102" s="20"/>
      <c r="D102" s="20"/>
      <c r="E102" s="266"/>
      <c r="F102" s="63"/>
      <c r="G102" s="63"/>
      <c r="H102" s="63"/>
      <c r="I102" s="63"/>
      <c r="J102" s="63"/>
      <c r="K102" s="20"/>
      <c r="L102" s="266"/>
      <c r="M102" s="20"/>
      <c r="N102" s="20"/>
      <c r="O102" s="266"/>
      <c r="P102" s="266"/>
      <c r="Q102" s="20"/>
      <c r="R102" s="12"/>
    </row>
    <row r="103" spans="2:18">
      <c r="B103" s="63"/>
      <c r="C103" s="20"/>
      <c r="D103" s="20"/>
      <c r="E103" s="266"/>
      <c r="F103" s="63"/>
      <c r="G103" s="63"/>
      <c r="H103" s="63"/>
      <c r="I103" s="63"/>
      <c r="J103" s="63"/>
      <c r="K103" s="20"/>
      <c r="L103" s="266"/>
      <c r="M103" s="20"/>
      <c r="N103" s="20"/>
      <c r="O103" s="266"/>
      <c r="P103" s="266"/>
      <c r="Q103" s="20"/>
      <c r="R103" s="12"/>
    </row>
    <row r="104" spans="2:18">
      <c r="B104" s="63"/>
      <c r="C104" s="20"/>
      <c r="D104" s="20"/>
      <c r="E104" s="266"/>
      <c r="F104" s="63"/>
      <c r="G104" s="63"/>
      <c r="H104" s="63"/>
      <c r="I104" s="63"/>
      <c r="J104" s="63"/>
      <c r="K104" s="20"/>
      <c r="L104" s="266"/>
      <c r="M104" s="20"/>
      <c r="N104" s="20"/>
      <c r="O104" s="266"/>
      <c r="P104" s="266"/>
      <c r="Q104" s="20"/>
      <c r="R104" s="12"/>
    </row>
    <row r="105" spans="2:18">
      <c r="B105" s="63"/>
      <c r="C105" s="20"/>
      <c r="D105" s="20"/>
      <c r="E105" s="266"/>
      <c r="F105" s="63"/>
      <c r="G105" s="63"/>
      <c r="H105" s="63"/>
      <c r="I105" s="63"/>
      <c r="J105" s="63"/>
      <c r="K105" s="20"/>
      <c r="L105" s="266"/>
      <c r="M105" s="20"/>
      <c r="N105" s="20"/>
      <c r="O105" s="266"/>
      <c r="P105" s="266"/>
      <c r="Q105" s="20"/>
      <c r="R105" s="12"/>
    </row>
    <row r="106" spans="2:18">
      <c r="B106" s="63"/>
      <c r="C106" s="20"/>
      <c r="D106" s="20"/>
      <c r="E106" s="266"/>
      <c r="F106" s="63"/>
      <c r="G106" s="63"/>
      <c r="H106" s="63"/>
      <c r="I106" s="63"/>
      <c r="J106" s="63"/>
      <c r="K106" s="20"/>
      <c r="L106" s="266"/>
      <c r="M106" s="20"/>
      <c r="N106" s="20"/>
      <c r="O106" s="266"/>
      <c r="P106" s="266"/>
      <c r="Q106" s="20"/>
      <c r="R106" s="12"/>
    </row>
    <row r="107" spans="2:18">
      <c r="B107" s="63"/>
      <c r="C107" s="20"/>
      <c r="D107" s="20"/>
      <c r="E107" s="266"/>
      <c r="F107" s="63"/>
      <c r="G107" s="63"/>
      <c r="H107" s="63"/>
      <c r="I107" s="63"/>
      <c r="J107" s="63"/>
      <c r="K107" s="20"/>
      <c r="L107" s="266"/>
      <c r="M107" s="20"/>
      <c r="N107" s="20"/>
      <c r="O107" s="266"/>
      <c r="P107" s="266"/>
      <c r="Q107" s="20"/>
      <c r="R107" s="12"/>
    </row>
    <row r="108" spans="2:18">
      <c r="B108" s="63"/>
      <c r="C108" s="20"/>
      <c r="D108" s="20"/>
      <c r="E108" s="266"/>
      <c r="F108" s="63"/>
      <c r="G108" s="63"/>
      <c r="H108" s="63"/>
      <c r="I108" s="63"/>
      <c r="J108" s="63"/>
      <c r="K108" s="20"/>
      <c r="L108" s="266"/>
      <c r="M108" s="20"/>
      <c r="N108" s="20"/>
      <c r="O108" s="266"/>
      <c r="P108" s="266"/>
      <c r="Q108" s="20"/>
      <c r="R108" s="12"/>
    </row>
    <row r="109" spans="2:18">
      <c r="B109" s="63"/>
      <c r="C109" s="20"/>
      <c r="D109" s="20"/>
      <c r="E109" s="266"/>
      <c r="F109" s="63"/>
      <c r="G109" s="63"/>
      <c r="H109" s="63"/>
      <c r="I109" s="63"/>
      <c r="J109" s="63"/>
      <c r="K109" s="20"/>
      <c r="L109" s="266"/>
      <c r="M109" s="20"/>
      <c r="N109" s="20"/>
      <c r="O109" s="266"/>
      <c r="P109" s="266"/>
      <c r="Q109" s="20"/>
      <c r="R109" s="12"/>
    </row>
    <row r="110" spans="2:18">
      <c r="B110" s="63"/>
      <c r="C110" s="20"/>
      <c r="D110" s="20"/>
      <c r="E110" s="266"/>
      <c r="F110" s="63"/>
      <c r="G110" s="63"/>
      <c r="H110" s="63"/>
      <c r="I110" s="63"/>
      <c r="J110" s="63"/>
      <c r="K110" s="20"/>
      <c r="L110" s="266"/>
      <c r="M110" s="20"/>
      <c r="N110" s="20"/>
      <c r="O110" s="266"/>
      <c r="P110" s="266"/>
      <c r="Q110" s="20"/>
      <c r="R110" s="12"/>
    </row>
    <row r="111" spans="2:18">
      <c r="B111" s="63"/>
      <c r="C111" s="20"/>
      <c r="D111" s="20"/>
      <c r="E111" s="266"/>
      <c r="F111" s="63"/>
      <c r="G111" s="63"/>
      <c r="H111" s="63"/>
      <c r="I111" s="63"/>
      <c r="J111" s="63"/>
      <c r="K111" s="20"/>
      <c r="L111" s="266"/>
      <c r="M111" s="20"/>
      <c r="N111" s="20"/>
      <c r="O111" s="266"/>
      <c r="P111" s="266"/>
      <c r="Q111" s="20"/>
      <c r="R111" s="12"/>
    </row>
    <row r="112" spans="2:18">
      <c r="B112" s="63"/>
      <c r="C112" s="20"/>
      <c r="D112" s="20"/>
      <c r="E112" s="266"/>
      <c r="F112" s="63"/>
      <c r="G112" s="63"/>
      <c r="H112" s="63"/>
      <c r="I112" s="63"/>
      <c r="J112" s="63"/>
      <c r="K112" s="20"/>
      <c r="L112" s="266"/>
      <c r="M112" s="20"/>
      <c r="N112" s="20"/>
      <c r="O112" s="266"/>
      <c r="P112" s="266"/>
      <c r="Q112" s="20"/>
      <c r="R112" s="12"/>
    </row>
    <row r="113" spans="1:18">
      <c r="B113" s="63"/>
      <c r="C113" s="20"/>
      <c r="D113" s="20"/>
      <c r="E113" s="266"/>
      <c r="F113" s="63"/>
      <c r="G113" s="63"/>
      <c r="H113" s="63"/>
      <c r="I113" s="63"/>
      <c r="J113" s="63"/>
      <c r="K113" s="20"/>
      <c r="L113" s="266"/>
      <c r="M113" s="20"/>
      <c r="N113" s="20"/>
      <c r="O113" s="266"/>
      <c r="P113" s="266"/>
      <c r="Q113" s="20"/>
      <c r="R113" s="12"/>
    </row>
    <row r="114" spans="1:18">
      <c r="B114" s="63"/>
      <c r="C114" s="20"/>
      <c r="D114" s="20"/>
      <c r="E114" s="266"/>
      <c r="F114" s="63"/>
      <c r="G114" s="63"/>
      <c r="H114" s="63"/>
      <c r="I114" s="63"/>
      <c r="J114" s="63"/>
      <c r="K114" s="20"/>
      <c r="L114" s="266"/>
      <c r="M114" s="20"/>
      <c r="N114" s="20"/>
      <c r="O114" s="266"/>
      <c r="P114" s="266"/>
      <c r="Q114" s="20"/>
      <c r="R114" s="12"/>
    </row>
    <row r="115" spans="1:18">
      <c r="B115" s="63"/>
      <c r="C115" s="20"/>
      <c r="D115" s="20"/>
      <c r="E115" s="266"/>
      <c r="F115" s="63"/>
      <c r="G115" s="63"/>
      <c r="H115" s="63"/>
      <c r="I115" s="63"/>
      <c r="J115" s="63"/>
      <c r="K115" s="20"/>
      <c r="L115" s="266"/>
      <c r="M115" s="20"/>
      <c r="N115" s="20"/>
      <c r="O115" s="266"/>
      <c r="P115" s="266"/>
      <c r="Q115" s="20"/>
      <c r="R115" s="12"/>
    </row>
    <row r="116" spans="1:18">
      <c r="B116" s="63"/>
      <c r="C116" s="20"/>
      <c r="D116" s="20"/>
      <c r="E116" s="266"/>
      <c r="F116" s="63"/>
      <c r="G116" s="63"/>
      <c r="H116" s="63"/>
      <c r="I116" s="63"/>
      <c r="J116" s="63"/>
      <c r="K116" s="20"/>
      <c r="L116" s="266"/>
      <c r="M116" s="20"/>
      <c r="N116" s="20"/>
      <c r="O116" s="266"/>
      <c r="P116" s="266"/>
      <c r="Q116" s="20"/>
      <c r="R116" s="12"/>
    </row>
    <row r="117" spans="1:18">
      <c r="B117" s="63"/>
      <c r="C117" s="20"/>
      <c r="D117" s="20"/>
      <c r="E117" s="266"/>
      <c r="F117" s="63"/>
      <c r="G117" s="63"/>
      <c r="H117" s="63"/>
      <c r="I117" s="63"/>
      <c r="J117" s="63"/>
      <c r="K117" s="20"/>
      <c r="L117" s="266"/>
      <c r="M117" s="20"/>
      <c r="N117" s="20"/>
      <c r="O117" s="266"/>
      <c r="P117" s="266"/>
      <c r="Q117" s="20"/>
      <c r="R117" s="12"/>
    </row>
    <row r="118" spans="1:18">
      <c r="B118" s="63"/>
      <c r="C118" s="20"/>
      <c r="D118" s="20"/>
      <c r="E118" s="266"/>
      <c r="F118" s="63"/>
      <c r="G118" s="63"/>
      <c r="H118" s="63"/>
      <c r="I118" s="63"/>
      <c r="J118" s="63"/>
      <c r="K118" s="20"/>
      <c r="L118" s="266"/>
      <c r="M118" s="20"/>
      <c r="N118" s="20"/>
      <c r="O118" s="266"/>
      <c r="P118" s="266"/>
      <c r="Q118" s="20"/>
      <c r="R118" s="12"/>
    </row>
    <row r="119" spans="1:18">
      <c r="B119" s="63"/>
      <c r="C119" s="20"/>
      <c r="D119" s="20"/>
      <c r="E119" s="266"/>
      <c r="F119" s="63"/>
      <c r="G119" s="63"/>
      <c r="H119" s="63"/>
      <c r="I119" s="63"/>
      <c r="J119" s="63"/>
      <c r="K119" s="20"/>
      <c r="L119" s="266"/>
      <c r="M119" s="20"/>
      <c r="N119" s="20"/>
      <c r="O119" s="266"/>
      <c r="P119" s="266"/>
      <c r="Q119" s="20"/>
      <c r="R119" s="12"/>
    </row>
    <row r="120" spans="1:18">
      <c r="B120" s="63"/>
      <c r="C120" s="20"/>
      <c r="D120" s="20"/>
      <c r="E120" s="266"/>
      <c r="F120" s="63"/>
      <c r="G120" s="63"/>
      <c r="H120" s="63"/>
      <c r="I120" s="63"/>
      <c r="J120" s="63"/>
      <c r="K120" s="20"/>
      <c r="L120" s="266"/>
      <c r="M120" s="20"/>
      <c r="N120" s="20"/>
      <c r="O120" s="266"/>
      <c r="P120" s="266"/>
      <c r="Q120" s="20"/>
      <c r="R120" s="12"/>
    </row>
    <row r="121" spans="1:18">
      <c r="B121" s="63"/>
      <c r="C121" s="20"/>
      <c r="D121" s="20"/>
      <c r="E121" s="266"/>
      <c r="F121" s="63"/>
      <c r="G121" s="63"/>
      <c r="H121" s="63"/>
      <c r="I121" s="63"/>
      <c r="J121" s="63"/>
      <c r="K121" s="20"/>
      <c r="L121" s="266"/>
      <c r="M121" s="20"/>
      <c r="N121" s="20"/>
      <c r="O121" s="266"/>
      <c r="P121" s="266"/>
      <c r="Q121" s="20"/>
      <c r="R121" s="12"/>
    </row>
    <row r="122" spans="1:18">
      <c r="B122" s="63"/>
      <c r="C122" s="20"/>
      <c r="D122" s="20"/>
      <c r="E122" s="266"/>
      <c r="F122" s="63"/>
      <c r="G122" s="63"/>
      <c r="H122" s="63"/>
      <c r="I122" s="63"/>
      <c r="J122" s="63"/>
      <c r="K122" s="20"/>
      <c r="L122" s="266"/>
      <c r="M122" s="20"/>
      <c r="N122" s="20"/>
      <c r="O122" s="266"/>
      <c r="P122" s="266"/>
      <c r="Q122" s="20"/>
      <c r="R122" s="12"/>
    </row>
    <row r="123" spans="1:18">
      <c r="B123" s="63"/>
      <c r="C123" s="20"/>
      <c r="D123" s="20"/>
      <c r="E123" s="266"/>
      <c r="F123" s="63"/>
      <c r="G123" s="63"/>
      <c r="H123" s="63"/>
      <c r="I123" s="63"/>
      <c r="J123" s="63"/>
      <c r="K123" s="20"/>
      <c r="L123" s="266"/>
      <c r="M123" s="20"/>
      <c r="N123" s="20"/>
      <c r="O123" s="266"/>
      <c r="P123" s="266"/>
      <c r="Q123" s="20"/>
      <c r="R123" s="12"/>
    </row>
    <row r="124" spans="1:18">
      <c r="A124" s="20"/>
      <c r="B124" s="63"/>
      <c r="C124" s="20"/>
      <c r="D124" s="20"/>
      <c r="E124" s="266"/>
      <c r="F124" s="63"/>
      <c r="G124" s="63"/>
      <c r="H124" s="63"/>
      <c r="I124" s="63"/>
      <c r="J124" s="63"/>
      <c r="K124" s="20"/>
      <c r="L124" s="266"/>
      <c r="M124" s="20"/>
      <c r="N124" s="20"/>
      <c r="O124" s="266"/>
      <c r="P124" s="266"/>
      <c r="Q124" s="20"/>
      <c r="R124" s="12"/>
    </row>
    <row r="125" spans="1:18">
      <c r="A125" s="20"/>
      <c r="B125" s="63"/>
      <c r="C125" s="20"/>
      <c r="D125" s="20"/>
      <c r="E125" s="266"/>
      <c r="F125" s="63"/>
      <c r="G125" s="63"/>
      <c r="H125" s="63"/>
      <c r="I125" s="63"/>
      <c r="J125" s="63"/>
      <c r="K125" s="20"/>
      <c r="L125" s="266"/>
      <c r="M125" s="20"/>
      <c r="N125" s="20"/>
      <c r="O125" s="266"/>
      <c r="P125" s="266"/>
      <c r="Q125" s="20"/>
      <c r="R125" s="12"/>
    </row>
    <row r="126" spans="1:18">
      <c r="A126" s="20"/>
      <c r="B126" s="63"/>
      <c r="C126" s="20"/>
      <c r="D126" s="20"/>
      <c r="E126" s="266"/>
      <c r="F126" s="63"/>
      <c r="G126" s="63"/>
      <c r="H126" s="63"/>
      <c r="I126" s="63"/>
      <c r="J126" s="63"/>
      <c r="K126" s="20"/>
      <c r="L126" s="266"/>
      <c r="M126" s="20"/>
      <c r="N126" s="20"/>
      <c r="O126" s="266"/>
      <c r="P126" s="266"/>
      <c r="Q126" s="20"/>
      <c r="R126" s="12"/>
    </row>
    <row r="127" spans="1:18">
      <c r="A127" s="20"/>
      <c r="B127" s="63"/>
      <c r="C127" s="20"/>
      <c r="D127" s="20"/>
      <c r="E127" s="266"/>
      <c r="F127" s="63"/>
      <c r="G127" s="63"/>
      <c r="H127" s="63"/>
      <c r="I127" s="63"/>
      <c r="J127" s="63"/>
      <c r="K127" s="20"/>
      <c r="L127" s="266"/>
      <c r="M127" s="20"/>
      <c r="N127" s="20"/>
      <c r="O127" s="266"/>
      <c r="P127" s="266"/>
      <c r="Q127" s="20"/>
      <c r="R127" s="12"/>
    </row>
    <row r="128" spans="1:18">
      <c r="A128" s="20"/>
      <c r="B128" s="63"/>
      <c r="C128" s="20"/>
      <c r="D128" s="20"/>
      <c r="E128" s="266"/>
      <c r="F128" s="63"/>
      <c r="G128" s="63"/>
      <c r="H128" s="63"/>
      <c r="I128" s="63"/>
      <c r="J128" s="63"/>
      <c r="K128" s="20"/>
      <c r="L128" s="266"/>
      <c r="M128" s="20"/>
      <c r="N128" s="20"/>
      <c r="O128" s="266"/>
      <c r="P128" s="266"/>
      <c r="Q128" s="20"/>
      <c r="R128" s="12"/>
    </row>
    <row r="129" spans="1:18">
      <c r="A129" s="20"/>
      <c r="B129" s="63"/>
      <c r="C129" s="20"/>
      <c r="D129" s="20"/>
      <c r="E129" s="266"/>
      <c r="F129" s="63"/>
      <c r="G129" s="63"/>
      <c r="H129" s="63"/>
      <c r="I129" s="63"/>
      <c r="J129" s="63"/>
      <c r="K129" s="20"/>
      <c r="L129" s="266"/>
      <c r="M129" s="20"/>
      <c r="N129" s="20"/>
      <c r="O129" s="266"/>
      <c r="P129" s="266"/>
      <c r="Q129" s="20"/>
      <c r="R129" s="12"/>
    </row>
    <row r="130" spans="1:18">
      <c r="A130" s="20"/>
      <c r="B130" s="63"/>
      <c r="C130" s="20"/>
      <c r="D130" s="20"/>
      <c r="E130" s="266"/>
      <c r="F130" s="63"/>
      <c r="G130" s="63"/>
      <c r="H130" s="63"/>
      <c r="I130" s="63"/>
      <c r="J130" s="63"/>
      <c r="K130" s="20"/>
      <c r="L130" s="266"/>
      <c r="M130" s="20"/>
      <c r="N130" s="20"/>
      <c r="O130" s="266"/>
      <c r="P130" s="266"/>
      <c r="Q130" s="20"/>
      <c r="R130" s="12"/>
    </row>
    <row r="131" spans="1:18">
      <c r="A131" s="20"/>
      <c r="B131" s="63"/>
      <c r="C131" s="20"/>
      <c r="D131" s="20"/>
      <c r="E131" s="266"/>
      <c r="F131" s="63"/>
      <c r="G131" s="63"/>
      <c r="H131" s="63"/>
      <c r="I131" s="63"/>
      <c r="J131" s="63"/>
      <c r="K131" s="20"/>
      <c r="L131" s="266"/>
      <c r="M131" s="20"/>
      <c r="N131" s="20"/>
      <c r="O131" s="266"/>
      <c r="P131" s="266"/>
      <c r="Q131" s="20"/>
      <c r="R131" s="12"/>
    </row>
    <row r="132" spans="1:18">
      <c r="A132" s="20"/>
      <c r="B132" s="63"/>
      <c r="C132" s="20"/>
      <c r="D132" s="20"/>
      <c r="E132" s="266"/>
      <c r="F132" s="63"/>
      <c r="G132" s="63"/>
      <c r="H132" s="63"/>
      <c r="I132" s="63"/>
      <c r="J132" s="63"/>
      <c r="K132" s="20"/>
      <c r="L132" s="266"/>
      <c r="M132" s="20"/>
      <c r="N132" s="20"/>
      <c r="O132" s="266"/>
      <c r="P132" s="266"/>
      <c r="Q132" s="20"/>
      <c r="R132" s="12"/>
    </row>
    <row r="133" spans="1:18">
      <c r="A133" s="20"/>
      <c r="B133" s="63"/>
      <c r="C133" s="20"/>
      <c r="D133" s="20"/>
      <c r="E133" s="266"/>
      <c r="F133" s="63"/>
      <c r="G133" s="63"/>
      <c r="H133" s="63"/>
      <c r="I133" s="63"/>
      <c r="J133" s="63"/>
      <c r="K133" s="20"/>
      <c r="L133" s="266"/>
      <c r="M133" s="20"/>
      <c r="N133" s="20"/>
      <c r="O133" s="266"/>
      <c r="P133" s="266"/>
      <c r="Q133" s="20"/>
      <c r="R133" s="12"/>
    </row>
    <row r="134" spans="1:18">
      <c r="A134" s="20"/>
      <c r="B134" s="63"/>
      <c r="C134" s="20"/>
      <c r="D134" s="20"/>
      <c r="E134" s="266"/>
      <c r="F134" s="63"/>
      <c r="G134" s="63"/>
      <c r="H134" s="63"/>
      <c r="I134" s="63"/>
      <c r="J134" s="63"/>
      <c r="K134" s="20"/>
      <c r="L134" s="266"/>
      <c r="M134" s="20"/>
      <c r="N134" s="20"/>
      <c r="O134" s="266"/>
      <c r="P134" s="266"/>
      <c r="Q134" s="20"/>
      <c r="R134" s="12"/>
    </row>
    <row r="135" spans="1:18">
      <c r="A135" s="20"/>
      <c r="B135" s="63"/>
      <c r="C135" s="20"/>
      <c r="D135" s="20"/>
      <c r="E135" s="266"/>
      <c r="F135" s="63"/>
      <c r="G135" s="63"/>
      <c r="H135" s="63"/>
      <c r="I135" s="63"/>
      <c r="J135" s="63"/>
      <c r="K135" s="20"/>
      <c r="L135" s="266"/>
      <c r="M135" s="20"/>
      <c r="N135" s="20"/>
      <c r="O135" s="266"/>
      <c r="P135" s="266"/>
      <c r="Q135" s="20"/>
      <c r="R135" s="12"/>
    </row>
    <row r="136" spans="1:18">
      <c r="A136" s="20"/>
      <c r="B136" s="63"/>
      <c r="C136" s="20"/>
      <c r="D136" s="20"/>
      <c r="E136" s="266"/>
      <c r="F136" s="63"/>
      <c r="G136" s="63"/>
      <c r="H136" s="63"/>
      <c r="I136" s="63"/>
      <c r="J136" s="63"/>
      <c r="K136" s="20"/>
      <c r="L136" s="266"/>
      <c r="M136" s="20"/>
      <c r="N136" s="20"/>
      <c r="O136" s="266"/>
      <c r="P136" s="266"/>
      <c r="Q136" s="20"/>
      <c r="R136" s="12"/>
    </row>
    <row r="137" spans="1:18">
      <c r="A137" s="20"/>
      <c r="B137" s="63"/>
      <c r="C137" s="20"/>
      <c r="D137" s="20"/>
      <c r="E137" s="266"/>
      <c r="F137" s="63"/>
      <c r="G137" s="63"/>
      <c r="H137" s="63"/>
      <c r="I137" s="63"/>
      <c r="J137" s="63"/>
      <c r="K137" s="20"/>
      <c r="L137" s="266"/>
      <c r="M137" s="20"/>
      <c r="N137" s="20"/>
      <c r="O137" s="266"/>
      <c r="P137" s="266"/>
      <c r="Q137" s="20"/>
      <c r="R137" s="12"/>
    </row>
    <row r="138" spans="1:18">
      <c r="A138" s="20"/>
      <c r="B138" s="63"/>
      <c r="C138" s="20"/>
      <c r="D138" s="20"/>
      <c r="E138" s="266"/>
      <c r="F138" s="63"/>
      <c r="G138" s="63"/>
      <c r="H138" s="63"/>
      <c r="I138" s="63"/>
      <c r="J138" s="63"/>
      <c r="K138" s="20"/>
      <c r="L138" s="266"/>
      <c r="M138" s="20"/>
      <c r="N138" s="20"/>
      <c r="O138" s="266"/>
      <c r="P138" s="266"/>
      <c r="Q138" s="20"/>
      <c r="R138" s="12"/>
    </row>
    <row r="139" spans="1:18">
      <c r="A139" s="20"/>
      <c r="B139" s="63"/>
      <c r="C139" s="20"/>
      <c r="D139" s="20"/>
      <c r="E139" s="266"/>
      <c r="F139" s="63"/>
      <c r="G139" s="63"/>
      <c r="H139" s="63"/>
      <c r="I139" s="63"/>
      <c r="J139" s="63"/>
      <c r="K139" s="20"/>
      <c r="L139" s="266"/>
      <c r="M139" s="20"/>
      <c r="N139" s="20"/>
      <c r="O139" s="266"/>
      <c r="P139" s="266"/>
      <c r="Q139" s="20"/>
      <c r="R139" s="12"/>
    </row>
    <row r="140" spans="1:18">
      <c r="A140" s="20"/>
      <c r="B140" s="63"/>
      <c r="C140" s="20"/>
      <c r="D140" s="20"/>
      <c r="E140" s="266"/>
      <c r="F140" s="63"/>
      <c r="G140" s="63"/>
      <c r="H140" s="63"/>
      <c r="I140" s="63"/>
      <c r="J140" s="63"/>
      <c r="K140" s="20"/>
      <c r="L140" s="266"/>
      <c r="M140" s="20"/>
      <c r="N140" s="20"/>
      <c r="O140" s="266"/>
      <c r="P140" s="266"/>
      <c r="Q140" s="20"/>
      <c r="R140" s="12"/>
    </row>
    <row r="141" spans="1:18">
      <c r="A141" s="20"/>
      <c r="B141" s="63"/>
      <c r="C141" s="20"/>
      <c r="D141" s="20"/>
      <c r="E141" s="266"/>
      <c r="F141" s="63"/>
      <c r="G141" s="63"/>
      <c r="H141" s="63"/>
      <c r="I141" s="63"/>
      <c r="J141" s="63"/>
      <c r="K141" s="20"/>
      <c r="L141" s="266"/>
      <c r="M141" s="20"/>
      <c r="N141" s="20"/>
      <c r="O141" s="266"/>
      <c r="P141" s="266"/>
      <c r="Q141" s="20"/>
      <c r="R141" s="12"/>
    </row>
    <row r="142" spans="1:18">
      <c r="A142" s="20"/>
      <c r="B142" s="63"/>
      <c r="C142" s="20"/>
      <c r="D142" s="20"/>
      <c r="E142" s="266"/>
      <c r="F142" s="63"/>
      <c r="G142" s="63"/>
      <c r="H142" s="63"/>
      <c r="I142" s="63"/>
      <c r="J142" s="63"/>
      <c r="K142" s="20"/>
      <c r="L142" s="266"/>
      <c r="M142" s="20"/>
      <c r="N142" s="20"/>
      <c r="O142" s="266"/>
      <c r="P142" s="266"/>
      <c r="Q142" s="20"/>
      <c r="R142" s="12"/>
    </row>
    <row r="143" spans="1:18">
      <c r="A143" s="20"/>
      <c r="B143" s="63"/>
      <c r="C143" s="20"/>
      <c r="D143" s="20"/>
      <c r="E143" s="266"/>
      <c r="F143" s="63"/>
      <c r="G143" s="63"/>
      <c r="H143" s="63"/>
      <c r="I143" s="63"/>
      <c r="J143" s="63"/>
      <c r="K143" s="20"/>
      <c r="L143" s="266"/>
      <c r="M143" s="20"/>
      <c r="N143" s="20"/>
      <c r="O143" s="266"/>
      <c r="P143" s="266"/>
      <c r="Q143" s="20"/>
      <c r="R143" s="12"/>
    </row>
    <row r="144" spans="1:18">
      <c r="A144" s="20"/>
      <c r="B144" s="63"/>
      <c r="C144" s="20"/>
      <c r="D144" s="20"/>
      <c r="E144" s="266"/>
      <c r="F144" s="63"/>
      <c r="G144" s="63"/>
      <c r="H144" s="63"/>
      <c r="I144" s="63"/>
      <c r="J144" s="63"/>
      <c r="K144" s="20"/>
      <c r="L144" s="266"/>
      <c r="M144" s="20"/>
      <c r="N144" s="20"/>
      <c r="O144" s="266"/>
      <c r="P144" s="266"/>
      <c r="Q144" s="20"/>
      <c r="R144" s="12"/>
    </row>
    <row r="145" spans="1:18">
      <c r="A145" s="20"/>
      <c r="B145" s="63"/>
      <c r="C145" s="20"/>
      <c r="D145" s="20"/>
      <c r="E145" s="266"/>
      <c r="F145" s="63"/>
      <c r="G145" s="63"/>
      <c r="H145" s="63"/>
      <c r="I145" s="63"/>
      <c r="J145" s="63"/>
      <c r="K145" s="20"/>
      <c r="L145" s="266"/>
      <c r="M145" s="20"/>
      <c r="N145" s="20"/>
      <c r="O145" s="266"/>
      <c r="P145" s="266"/>
      <c r="Q145" s="20"/>
      <c r="R145" s="12"/>
    </row>
    <row r="146" spans="1:18">
      <c r="A146" s="20"/>
      <c r="B146" s="63"/>
      <c r="C146" s="20"/>
      <c r="D146" s="20"/>
      <c r="E146" s="266"/>
      <c r="F146" s="63"/>
      <c r="G146" s="63"/>
      <c r="H146" s="63"/>
      <c r="I146" s="63"/>
      <c r="J146" s="63"/>
      <c r="K146" s="20"/>
      <c r="L146" s="266"/>
      <c r="M146" s="20"/>
      <c r="N146" s="20"/>
      <c r="O146" s="266"/>
      <c r="P146" s="266"/>
      <c r="Q146" s="20"/>
      <c r="R146" s="12"/>
    </row>
    <row r="147" spans="1:18">
      <c r="A147" s="20"/>
      <c r="B147" s="63"/>
      <c r="C147" s="20"/>
      <c r="D147" s="20"/>
      <c r="E147" s="266"/>
      <c r="F147" s="63"/>
      <c r="G147" s="63"/>
      <c r="H147" s="63"/>
      <c r="I147" s="63"/>
      <c r="J147" s="63"/>
      <c r="K147" s="20"/>
      <c r="L147" s="266"/>
      <c r="M147" s="20"/>
      <c r="N147" s="20"/>
      <c r="O147" s="266"/>
      <c r="P147" s="266"/>
      <c r="Q147" s="20"/>
      <c r="R147" s="12"/>
    </row>
    <row r="148" spans="1:18">
      <c r="A148" s="20"/>
      <c r="B148" s="63"/>
      <c r="C148" s="20"/>
      <c r="D148" s="20"/>
      <c r="E148" s="266"/>
      <c r="F148" s="63"/>
      <c r="G148" s="63"/>
      <c r="H148" s="63"/>
      <c r="I148" s="63"/>
      <c r="J148" s="63"/>
      <c r="K148" s="20"/>
      <c r="L148" s="266"/>
      <c r="M148" s="20"/>
      <c r="N148" s="20"/>
      <c r="O148" s="266"/>
      <c r="P148" s="266"/>
      <c r="Q148" s="20"/>
      <c r="R148" s="12"/>
    </row>
    <row r="149" spans="1:18">
      <c r="A149" s="20"/>
      <c r="B149" s="63"/>
      <c r="C149" s="20"/>
      <c r="D149" s="20"/>
      <c r="E149" s="266"/>
      <c r="F149" s="63"/>
      <c r="G149" s="63"/>
      <c r="H149" s="63"/>
      <c r="I149" s="63"/>
      <c r="J149" s="63"/>
      <c r="K149" s="20"/>
      <c r="L149" s="266"/>
      <c r="M149" s="20"/>
      <c r="N149" s="20"/>
      <c r="O149" s="266"/>
      <c r="P149" s="266"/>
      <c r="Q149" s="20"/>
      <c r="R149" s="12"/>
    </row>
    <row r="150" spans="1:18">
      <c r="A150" s="20"/>
      <c r="B150" s="63"/>
      <c r="C150" s="20"/>
      <c r="D150" s="20"/>
      <c r="E150" s="266"/>
      <c r="F150" s="63"/>
      <c r="G150" s="63"/>
      <c r="H150" s="63"/>
      <c r="I150" s="63"/>
      <c r="J150" s="63"/>
      <c r="K150" s="20"/>
      <c r="L150" s="266"/>
      <c r="M150" s="20"/>
      <c r="N150" s="20"/>
      <c r="O150" s="266"/>
      <c r="P150" s="266"/>
      <c r="Q150" s="20"/>
      <c r="R150" s="12"/>
    </row>
    <row r="151" spans="1:18">
      <c r="A151" s="20"/>
      <c r="B151" s="63"/>
      <c r="C151" s="20"/>
      <c r="D151" s="20"/>
      <c r="E151" s="266"/>
      <c r="F151" s="63"/>
      <c r="G151" s="63"/>
      <c r="H151" s="63"/>
      <c r="I151" s="63"/>
      <c r="J151" s="63"/>
      <c r="K151" s="20"/>
      <c r="L151" s="266"/>
      <c r="M151" s="20"/>
      <c r="N151" s="20"/>
      <c r="O151" s="266"/>
      <c r="P151" s="266"/>
      <c r="Q151" s="20"/>
      <c r="R151" s="12"/>
    </row>
    <row r="152" spans="1:18">
      <c r="A152" s="20"/>
      <c r="B152" s="63"/>
      <c r="C152" s="20"/>
      <c r="D152" s="20"/>
      <c r="E152" s="266"/>
      <c r="F152" s="63"/>
      <c r="G152" s="63"/>
      <c r="H152" s="63"/>
      <c r="I152" s="63"/>
      <c r="J152" s="63"/>
      <c r="K152" s="20"/>
      <c r="L152" s="266"/>
      <c r="M152" s="20"/>
      <c r="N152" s="20"/>
      <c r="O152" s="266"/>
      <c r="P152" s="266"/>
      <c r="Q152" s="20"/>
      <c r="R152" s="12"/>
    </row>
    <row r="153" spans="1:18">
      <c r="A153" s="20"/>
      <c r="B153" s="63"/>
      <c r="C153" s="20"/>
      <c r="D153" s="20"/>
      <c r="E153" s="266"/>
      <c r="F153" s="63"/>
      <c r="G153" s="63"/>
      <c r="H153" s="63"/>
      <c r="I153" s="63"/>
      <c r="J153" s="63"/>
      <c r="K153" s="20"/>
      <c r="L153" s="266"/>
      <c r="M153" s="20"/>
      <c r="N153" s="20"/>
      <c r="O153" s="266"/>
      <c r="P153" s="266"/>
      <c r="Q153" s="20"/>
      <c r="R153" s="12"/>
    </row>
    <row r="154" spans="1:18">
      <c r="A154" s="20"/>
      <c r="B154" s="63"/>
      <c r="C154" s="20"/>
      <c r="D154" s="20"/>
      <c r="E154" s="266"/>
      <c r="F154" s="63"/>
      <c r="G154" s="63"/>
      <c r="H154" s="63"/>
      <c r="I154" s="63"/>
      <c r="J154" s="63"/>
      <c r="K154" s="20"/>
      <c r="L154" s="266"/>
      <c r="M154" s="20"/>
      <c r="N154" s="20"/>
      <c r="O154" s="266"/>
      <c r="P154" s="266"/>
      <c r="Q154" s="20"/>
      <c r="R154" s="12"/>
    </row>
    <row r="155" spans="1:18">
      <c r="A155" s="20"/>
      <c r="B155" s="63"/>
      <c r="C155" s="20"/>
      <c r="D155" s="20"/>
      <c r="E155" s="266"/>
      <c r="F155" s="63"/>
      <c r="G155" s="63"/>
      <c r="H155" s="63"/>
      <c r="I155" s="63"/>
      <c r="J155" s="63"/>
      <c r="K155" s="20"/>
      <c r="L155" s="266"/>
      <c r="M155" s="20"/>
      <c r="N155" s="20"/>
      <c r="O155" s="266"/>
      <c r="P155" s="266"/>
      <c r="Q155" s="20"/>
      <c r="R155" s="12"/>
    </row>
    <row r="156" spans="1:18">
      <c r="A156" s="20"/>
      <c r="B156" s="63"/>
      <c r="C156" s="20"/>
      <c r="D156" s="20"/>
      <c r="E156" s="266"/>
      <c r="F156" s="63"/>
      <c r="G156" s="63"/>
      <c r="H156" s="63"/>
      <c r="I156" s="63"/>
      <c r="J156" s="63"/>
      <c r="K156" s="20"/>
      <c r="L156" s="266"/>
      <c r="M156" s="20"/>
      <c r="N156" s="20"/>
      <c r="O156" s="266"/>
      <c r="P156" s="266"/>
      <c r="Q156" s="20"/>
      <c r="R156" s="12"/>
    </row>
    <row r="157" spans="1:18">
      <c r="A157" s="20"/>
      <c r="B157" s="63"/>
      <c r="C157" s="20"/>
      <c r="D157" s="20"/>
      <c r="E157" s="266"/>
      <c r="F157" s="63"/>
      <c r="G157" s="63"/>
      <c r="H157" s="63"/>
      <c r="I157" s="63"/>
      <c r="J157" s="63"/>
      <c r="K157" s="20"/>
      <c r="L157" s="266"/>
      <c r="M157" s="20"/>
      <c r="N157" s="20"/>
      <c r="O157" s="266"/>
      <c r="P157" s="266"/>
      <c r="Q157" s="20"/>
      <c r="R157" s="12"/>
    </row>
    <row r="158" spans="1:18">
      <c r="A158" s="20"/>
      <c r="B158" s="63"/>
      <c r="C158" s="20"/>
      <c r="D158" s="20"/>
      <c r="E158" s="266"/>
      <c r="F158" s="63"/>
      <c r="G158" s="63"/>
      <c r="H158" s="63"/>
      <c r="I158" s="63"/>
      <c r="J158" s="63"/>
      <c r="K158" s="20"/>
      <c r="L158" s="266"/>
      <c r="M158" s="20"/>
      <c r="N158" s="20"/>
      <c r="O158" s="266"/>
      <c r="P158" s="266"/>
      <c r="Q158" s="20"/>
      <c r="R158" s="12"/>
    </row>
    <row r="159" spans="1:18">
      <c r="A159" s="20"/>
      <c r="B159" s="63"/>
      <c r="C159" s="20"/>
      <c r="D159" s="20"/>
      <c r="E159" s="266"/>
      <c r="F159" s="63"/>
      <c r="G159" s="63"/>
      <c r="H159" s="63"/>
      <c r="I159" s="63"/>
      <c r="J159" s="63"/>
      <c r="K159" s="20"/>
      <c r="L159" s="266"/>
      <c r="M159" s="20"/>
      <c r="N159" s="20"/>
      <c r="O159" s="266"/>
      <c r="P159" s="266"/>
      <c r="Q159" s="20"/>
      <c r="R159" s="12"/>
    </row>
    <row r="160" spans="1:18">
      <c r="A160" s="20"/>
      <c r="B160" s="63"/>
      <c r="C160" s="20"/>
      <c r="D160" s="20"/>
      <c r="E160" s="266"/>
      <c r="F160" s="63"/>
      <c r="G160" s="63"/>
      <c r="H160" s="63"/>
      <c r="I160" s="63"/>
      <c r="J160" s="63"/>
      <c r="K160" s="20"/>
      <c r="L160" s="266"/>
      <c r="M160" s="20"/>
      <c r="N160" s="20"/>
      <c r="O160" s="266"/>
      <c r="P160" s="266"/>
      <c r="Q160" s="20"/>
      <c r="R160" s="12"/>
    </row>
    <row r="161" spans="1:18">
      <c r="A161" s="20"/>
      <c r="B161" s="63"/>
      <c r="C161" s="20"/>
      <c r="D161" s="20"/>
      <c r="E161" s="266"/>
      <c r="F161" s="63"/>
      <c r="G161" s="63"/>
      <c r="H161" s="63"/>
      <c r="I161" s="63"/>
      <c r="J161" s="63"/>
      <c r="K161" s="20"/>
      <c r="L161" s="266"/>
      <c r="M161" s="20"/>
      <c r="N161" s="20"/>
      <c r="O161" s="266"/>
      <c r="P161" s="266"/>
      <c r="Q161" s="20"/>
      <c r="R161" s="12"/>
    </row>
    <row r="162" spans="1:18">
      <c r="A162" s="20"/>
      <c r="B162" s="63"/>
      <c r="C162" s="20"/>
      <c r="D162" s="20"/>
      <c r="E162" s="266"/>
      <c r="F162" s="63"/>
      <c r="G162" s="63"/>
      <c r="H162" s="63"/>
      <c r="I162" s="63"/>
      <c r="J162" s="63"/>
      <c r="K162" s="20"/>
      <c r="L162" s="266"/>
      <c r="M162" s="20"/>
      <c r="N162" s="20"/>
      <c r="O162" s="266"/>
      <c r="P162" s="266"/>
      <c r="Q162" s="20"/>
      <c r="R162" s="12"/>
    </row>
    <row r="163" spans="1:18">
      <c r="A163" s="20"/>
      <c r="B163" s="63"/>
      <c r="C163" s="20"/>
      <c r="D163" s="20"/>
      <c r="E163" s="266"/>
      <c r="F163" s="63"/>
      <c r="G163" s="63"/>
      <c r="H163" s="63"/>
      <c r="I163" s="63"/>
      <c r="J163" s="63"/>
      <c r="K163" s="20"/>
      <c r="L163" s="266"/>
      <c r="M163" s="20"/>
      <c r="N163" s="20"/>
      <c r="O163" s="266"/>
      <c r="P163" s="266"/>
      <c r="Q163" s="20"/>
      <c r="R163" s="12"/>
    </row>
    <row r="164" spans="1:18">
      <c r="A164" s="20"/>
      <c r="B164" s="63"/>
      <c r="C164" s="20"/>
      <c r="D164" s="20"/>
      <c r="E164" s="266"/>
      <c r="F164" s="63"/>
      <c r="G164" s="63"/>
      <c r="H164" s="63"/>
      <c r="I164" s="63"/>
      <c r="J164" s="63"/>
      <c r="K164" s="20"/>
      <c r="L164" s="266"/>
      <c r="M164" s="20"/>
      <c r="N164" s="20"/>
      <c r="O164" s="266"/>
      <c r="P164" s="266"/>
      <c r="Q164" s="20"/>
      <c r="R164" s="12"/>
    </row>
    <row r="165" spans="1:18">
      <c r="A165" s="20"/>
      <c r="B165" s="63"/>
      <c r="C165" s="20"/>
      <c r="D165" s="20"/>
      <c r="E165" s="266"/>
      <c r="F165" s="63"/>
      <c r="G165" s="63"/>
      <c r="H165" s="63"/>
      <c r="I165" s="63"/>
      <c r="J165" s="63"/>
      <c r="K165" s="20"/>
      <c r="L165" s="266"/>
      <c r="M165" s="20"/>
      <c r="N165" s="20"/>
      <c r="O165" s="266"/>
      <c r="P165" s="266"/>
      <c r="Q165" s="20"/>
      <c r="R165" s="12"/>
    </row>
    <row r="166" spans="1:18">
      <c r="A166" s="20"/>
      <c r="B166" s="63"/>
      <c r="C166" s="20"/>
      <c r="D166" s="20"/>
      <c r="E166" s="266"/>
      <c r="F166" s="63"/>
      <c r="G166" s="63"/>
      <c r="H166" s="63"/>
      <c r="I166" s="63"/>
      <c r="J166" s="63"/>
      <c r="K166" s="20"/>
      <c r="L166" s="266"/>
      <c r="M166" s="20"/>
      <c r="N166" s="20"/>
      <c r="O166" s="266"/>
      <c r="P166" s="266"/>
      <c r="Q166" s="20"/>
      <c r="R166" s="12"/>
    </row>
    <row r="167" spans="1:18">
      <c r="A167" s="20"/>
      <c r="B167" s="63"/>
      <c r="C167" s="20"/>
      <c r="D167" s="20"/>
      <c r="E167" s="266"/>
      <c r="F167" s="63"/>
      <c r="G167" s="63"/>
      <c r="H167" s="63"/>
      <c r="I167" s="63"/>
      <c r="J167" s="63"/>
      <c r="K167" s="20"/>
      <c r="L167" s="266"/>
      <c r="M167" s="20"/>
      <c r="N167" s="20"/>
      <c r="O167" s="266"/>
      <c r="P167" s="266"/>
      <c r="Q167" s="20"/>
      <c r="R167" s="12"/>
    </row>
    <row r="168" spans="1:18">
      <c r="A168" s="20"/>
      <c r="B168" s="63"/>
      <c r="C168" s="20"/>
      <c r="D168" s="20"/>
      <c r="E168" s="266"/>
      <c r="F168" s="63"/>
      <c r="G168" s="63"/>
      <c r="H168" s="63"/>
      <c r="I168" s="63"/>
      <c r="J168" s="63"/>
      <c r="K168" s="20"/>
      <c r="L168" s="266"/>
      <c r="M168" s="20"/>
      <c r="N168" s="20"/>
      <c r="O168" s="266"/>
      <c r="P168" s="266"/>
      <c r="Q168" s="20"/>
      <c r="R168" s="12"/>
    </row>
    <row r="169" spans="1:18">
      <c r="A169" s="20"/>
      <c r="B169" s="63"/>
      <c r="C169" s="20"/>
      <c r="D169" s="20"/>
      <c r="E169" s="266"/>
      <c r="F169" s="63"/>
      <c r="G169" s="63"/>
      <c r="H169" s="63"/>
      <c r="I169" s="63"/>
      <c r="J169" s="63"/>
      <c r="K169" s="20"/>
      <c r="L169" s="266"/>
      <c r="M169" s="20"/>
      <c r="N169" s="20"/>
      <c r="O169" s="266"/>
      <c r="P169" s="266"/>
      <c r="Q169" s="20"/>
      <c r="R169" s="12"/>
    </row>
    <row r="170" spans="1:18">
      <c r="A170" s="20"/>
      <c r="B170" s="63"/>
      <c r="C170" s="20"/>
      <c r="D170" s="20"/>
      <c r="E170" s="266"/>
      <c r="F170" s="63"/>
      <c r="G170" s="63"/>
      <c r="H170" s="63"/>
      <c r="I170" s="63"/>
      <c r="J170" s="63"/>
      <c r="K170" s="20"/>
      <c r="L170" s="266"/>
      <c r="M170" s="20"/>
      <c r="N170" s="20"/>
      <c r="O170" s="266"/>
      <c r="P170" s="266"/>
      <c r="Q170" s="20"/>
      <c r="R170" s="12"/>
    </row>
    <row r="171" spans="1:18">
      <c r="A171" s="20"/>
      <c r="B171" s="63"/>
      <c r="C171" s="20"/>
      <c r="D171" s="20"/>
      <c r="E171" s="266"/>
      <c r="F171" s="63"/>
      <c r="G171" s="63"/>
      <c r="H171" s="63"/>
      <c r="I171" s="63"/>
      <c r="J171" s="63"/>
      <c r="K171" s="20"/>
      <c r="L171" s="266"/>
      <c r="M171" s="20"/>
      <c r="N171" s="20"/>
      <c r="O171" s="266"/>
      <c r="P171" s="266"/>
      <c r="Q171" s="20"/>
      <c r="R171" s="12"/>
    </row>
    <row r="172" spans="1:18">
      <c r="A172" s="20"/>
      <c r="B172" s="63"/>
      <c r="C172" s="20"/>
      <c r="D172" s="20"/>
      <c r="E172" s="266"/>
      <c r="F172" s="63"/>
      <c r="G172" s="63"/>
      <c r="H172" s="63"/>
      <c r="I172" s="63"/>
      <c r="J172" s="63"/>
      <c r="K172" s="20"/>
      <c r="L172" s="266"/>
      <c r="M172" s="20"/>
      <c r="N172" s="20"/>
      <c r="O172" s="266"/>
      <c r="P172" s="266"/>
      <c r="Q172" s="20"/>
      <c r="R172" s="12"/>
    </row>
    <row r="173" spans="1:18">
      <c r="A173" s="20"/>
      <c r="B173" s="63"/>
      <c r="C173" s="20"/>
      <c r="D173" s="20"/>
      <c r="E173" s="266"/>
      <c r="F173" s="63"/>
      <c r="G173" s="63"/>
      <c r="H173" s="63"/>
      <c r="I173" s="63"/>
      <c r="J173" s="63"/>
      <c r="K173" s="20"/>
      <c r="L173" s="266"/>
      <c r="M173" s="20"/>
      <c r="N173" s="20"/>
      <c r="O173" s="266"/>
      <c r="P173" s="266"/>
      <c r="Q173" s="20"/>
      <c r="R173" s="12"/>
    </row>
    <row r="174" spans="1:18">
      <c r="A174" s="20"/>
      <c r="B174" s="63"/>
      <c r="C174" s="20"/>
      <c r="D174" s="20"/>
      <c r="E174" s="266"/>
      <c r="F174" s="63"/>
      <c r="G174" s="63"/>
      <c r="H174" s="63"/>
      <c r="I174" s="63"/>
      <c r="J174" s="63"/>
      <c r="K174" s="20"/>
      <c r="L174" s="266"/>
      <c r="M174" s="20"/>
      <c r="N174" s="20"/>
      <c r="O174" s="266"/>
      <c r="P174" s="266"/>
      <c r="Q174" s="20"/>
      <c r="R174" s="12"/>
    </row>
    <row r="175" spans="1:18">
      <c r="A175" s="20"/>
      <c r="B175" s="63"/>
      <c r="C175" s="20"/>
      <c r="D175" s="20"/>
      <c r="E175" s="266"/>
      <c r="F175" s="63"/>
      <c r="G175" s="63"/>
      <c r="H175" s="63"/>
      <c r="I175" s="63"/>
      <c r="J175" s="63"/>
      <c r="K175" s="20"/>
      <c r="L175" s="266"/>
      <c r="M175" s="20"/>
      <c r="N175" s="20"/>
      <c r="O175" s="266"/>
      <c r="P175" s="266"/>
      <c r="Q175" s="20"/>
      <c r="R175" s="12"/>
    </row>
    <row r="176" spans="1:18">
      <c r="A176" s="20"/>
      <c r="B176" s="63"/>
      <c r="C176" s="20"/>
      <c r="D176" s="20"/>
      <c r="E176" s="266"/>
      <c r="F176" s="63"/>
      <c r="G176" s="63"/>
      <c r="H176" s="63"/>
      <c r="I176" s="63"/>
      <c r="J176" s="63"/>
      <c r="K176" s="20"/>
      <c r="L176" s="266"/>
      <c r="M176" s="20"/>
      <c r="N176" s="20"/>
      <c r="O176" s="266"/>
      <c r="P176" s="266"/>
      <c r="Q176" s="20"/>
      <c r="R176" s="12"/>
    </row>
    <row r="177" spans="1:18">
      <c r="A177" s="20"/>
      <c r="B177" s="63"/>
      <c r="C177" s="20"/>
      <c r="D177" s="20"/>
      <c r="E177" s="266"/>
      <c r="F177" s="63"/>
      <c r="G177" s="63"/>
      <c r="H177" s="63"/>
      <c r="I177" s="63"/>
      <c r="J177" s="63"/>
      <c r="K177" s="20"/>
      <c r="L177" s="266"/>
      <c r="M177" s="20"/>
      <c r="N177" s="20"/>
      <c r="O177" s="266"/>
      <c r="P177" s="266"/>
      <c r="Q177" s="20"/>
      <c r="R177" s="12"/>
    </row>
    <row r="178" spans="1:18">
      <c r="A178" s="20"/>
      <c r="B178" s="63"/>
      <c r="C178" s="20"/>
      <c r="D178" s="20"/>
      <c r="E178" s="266"/>
      <c r="F178" s="63"/>
      <c r="G178" s="63"/>
      <c r="H178" s="63"/>
      <c r="I178" s="63"/>
      <c r="J178" s="63"/>
      <c r="K178" s="20"/>
      <c r="L178" s="266"/>
      <c r="M178" s="20"/>
      <c r="N178" s="20"/>
      <c r="O178" s="266"/>
      <c r="P178" s="266"/>
      <c r="Q178" s="20"/>
      <c r="R178" s="12"/>
    </row>
    <row r="179" spans="1:18">
      <c r="A179" s="20"/>
      <c r="B179" s="63"/>
      <c r="C179" s="20"/>
      <c r="D179" s="20"/>
      <c r="E179" s="266"/>
      <c r="F179" s="63"/>
      <c r="G179" s="63"/>
      <c r="H179" s="63"/>
      <c r="I179" s="63"/>
      <c r="J179" s="63"/>
      <c r="K179" s="20"/>
      <c r="L179" s="266"/>
      <c r="M179" s="20"/>
      <c r="N179" s="20"/>
      <c r="O179" s="266"/>
      <c r="P179" s="266"/>
      <c r="Q179" s="20"/>
      <c r="R179" s="12"/>
    </row>
  </sheetData>
  <dataConsolidate/>
  <mergeCells count="25">
    <mergeCell ref="A6:A8"/>
    <mergeCell ref="A9:A13"/>
    <mergeCell ref="A15:A20"/>
    <mergeCell ref="A21:A24"/>
    <mergeCell ref="A55:A56"/>
    <mergeCell ref="A36:A37"/>
    <mergeCell ref="A39:A40"/>
    <mergeCell ref="A41:A43"/>
    <mergeCell ref="R1:S1"/>
    <mergeCell ref="S15:S20"/>
    <mergeCell ref="M1:Q1"/>
    <mergeCell ref="A28:A32"/>
    <mergeCell ref="A49:A50"/>
    <mergeCell ref="A51:A52"/>
    <mergeCell ref="A53:A54"/>
    <mergeCell ref="A33:A35"/>
    <mergeCell ref="A45:A48"/>
    <mergeCell ref="C1:K1"/>
    <mergeCell ref="A4:A5"/>
    <mergeCell ref="A26:A27"/>
    <mergeCell ref="U33:Z33"/>
    <mergeCell ref="AC26:AH26"/>
    <mergeCell ref="U13:Z13"/>
    <mergeCell ref="Y61:AD61"/>
    <mergeCell ref="U1:W1"/>
  </mergeCells>
  <conditionalFormatting sqref="Q3:Q56">
    <cfRule type="cellIs" dxfId="122" priority="9" operator="lessThan">
      <formula>0</formula>
    </cfRule>
  </conditionalFormatting>
  <conditionalFormatting sqref="Z50:AE56 AB45:AB49">
    <cfRule type="cellIs" dxfId="121" priority="8" operator="greaterThan">
      <formula>0</formula>
    </cfRule>
  </conditionalFormatting>
  <conditionalFormatting sqref="Z63:AE74">
    <cfRule type="cellIs" dxfId="120" priority="7" operator="greaterThan">
      <formula>0</formula>
    </cfRule>
  </conditionalFormatting>
  <conditionalFormatting sqref="V15:AA26">
    <cfRule type="cellIs" dxfId="119" priority="6" operator="greaterThan">
      <formula>0</formula>
    </cfRule>
  </conditionalFormatting>
  <conditionalFormatting sqref="AA35:AA46">
    <cfRule type="cellIs" dxfId="118" priority="5" operator="greaterThan">
      <formula>0</formula>
    </cfRule>
  </conditionalFormatting>
  <conditionalFormatting sqref="W35:Z46">
    <cfRule type="cellIs" dxfId="117" priority="4" operator="greaterThan">
      <formula>0</formula>
    </cfRule>
  </conditionalFormatting>
  <conditionalFormatting sqref="V35:V46">
    <cfRule type="cellIs" dxfId="116" priority="3" operator="greaterThan">
      <formula>0</formula>
    </cfRule>
  </conditionalFormatting>
  <conditionalFormatting sqref="AE43:AI47">
    <cfRule type="cellIs" dxfId="115" priority="2" operator="greaterThan">
      <formula>0</formula>
    </cfRule>
  </conditionalFormatting>
  <conditionalFormatting sqref="AD28:AI39">
    <cfRule type="cellIs" dxfId="114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79"/>
  <sheetViews>
    <sheetView topLeftCell="V41" zoomScale="110" zoomScaleNormal="110" workbookViewId="0">
      <selection activeCell="AG75" sqref="AG75:AG77"/>
    </sheetView>
  </sheetViews>
  <sheetFormatPr defaultColWidth="9" defaultRowHeight="12.75"/>
  <cols>
    <col min="1" max="1" width="13.42578125" style="5" customWidth="1"/>
    <col min="2" max="2" width="22.7109375" style="62" customWidth="1"/>
    <col min="3" max="3" width="26.7109375" style="58" customWidth="1"/>
    <col min="4" max="4" width="16.85546875" style="58" customWidth="1"/>
    <col min="5" max="5" width="18.28515625" style="58" customWidth="1"/>
    <col min="6" max="6" width="23.7109375" style="60" customWidth="1"/>
    <col min="7" max="7" width="21.42578125" style="60" customWidth="1"/>
    <col min="8" max="8" width="23.7109375" style="60" customWidth="1"/>
    <col min="9" max="9" width="19.5703125" style="60" customWidth="1"/>
    <col min="10" max="10" width="23.7109375" style="60" customWidth="1"/>
    <col min="11" max="11" width="16.140625" style="58" customWidth="1"/>
    <col min="12" max="12" width="18.5703125" style="58" customWidth="1"/>
    <col min="13" max="13" width="28.85546875" style="58" customWidth="1"/>
    <col min="14" max="16" width="17.7109375" style="58" customWidth="1"/>
    <col min="17" max="17" width="23.28515625" style="58" customWidth="1"/>
    <col min="18" max="18" width="26.42578125" style="58" customWidth="1"/>
    <col min="19" max="19" width="48.42578125" style="58" customWidth="1"/>
    <col min="20" max="20" width="23" style="57" customWidth="1"/>
    <col min="21" max="21" width="22.85546875" style="5" customWidth="1"/>
    <col min="22" max="22" width="23.7109375" style="5" customWidth="1"/>
    <col min="23" max="23" width="21.5703125" style="5" customWidth="1"/>
    <col min="24" max="16384" width="9" style="5"/>
  </cols>
  <sheetData>
    <row r="1" spans="1:23" ht="14.25" customHeight="1">
      <c r="A1" s="184"/>
      <c r="B1" s="185"/>
      <c r="C1" s="572" t="s">
        <v>450</v>
      </c>
      <c r="D1" s="573"/>
      <c r="E1" s="573"/>
      <c r="F1" s="573"/>
      <c r="G1" s="573"/>
      <c r="H1" s="573"/>
      <c r="I1" s="573"/>
      <c r="J1" s="573"/>
      <c r="K1" s="574"/>
      <c r="L1" s="462"/>
      <c r="M1" s="570" t="s">
        <v>449</v>
      </c>
      <c r="N1" s="571"/>
      <c r="O1" s="571"/>
      <c r="P1" s="571"/>
      <c r="Q1" s="571"/>
      <c r="R1" s="601" t="s">
        <v>555</v>
      </c>
      <c r="S1" s="602"/>
      <c r="U1" s="603" t="s">
        <v>546</v>
      </c>
      <c r="V1" s="604"/>
      <c r="W1" s="605"/>
    </row>
    <row r="2" spans="1:23" ht="13.5" thickBot="1">
      <c r="A2" s="184" t="s">
        <v>448</v>
      </c>
      <c r="B2" s="183" t="s">
        <v>447</v>
      </c>
      <c r="C2" s="182" t="s">
        <v>446</v>
      </c>
      <c r="D2" s="181" t="s">
        <v>34</v>
      </c>
      <c r="E2" s="180" t="s">
        <v>41</v>
      </c>
      <c r="F2" s="277" t="s">
        <v>445</v>
      </c>
      <c r="G2" s="181" t="s">
        <v>456</v>
      </c>
      <c r="H2" s="181" t="s">
        <v>458</v>
      </c>
      <c r="I2" s="181" t="s">
        <v>464</v>
      </c>
      <c r="J2" s="180" t="s">
        <v>33</v>
      </c>
      <c r="K2" s="278" t="s">
        <v>442</v>
      </c>
      <c r="L2" s="314" t="s">
        <v>79</v>
      </c>
      <c r="M2" s="179" t="s">
        <v>444</v>
      </c>
      <c r="N2" s="179" t="s">
        <v>34</v>
      </c>
      <c r="O2" s="178" t="s">
        <v>465</v>
      </c>
      <c r="P2" s="177" t="s">
        <v>33</v>
      </c>
      <c r="Q2" s="178" t="s">
        <v>442</v>
      </c>
      <c r="R2" s="287" t="s">
        <v>441</v>
      </c>
      <c r="S2" s="176" t="s">
        <v>440</v>
      </c>
      <c r="U2" s="87"/>
      <c r="V2" s="266"/>
      <c r="W2" s="97"/>
    </row>
    <row r="3" spans="1:23" ht="15" customHeight="1" thickBot="1">
      <c r="A3" s="151" t="s">
        <v>436</v>
      </c>
      <c r="B3" s="172" t="s">
        <v>435</v>
      </c>
      <c r="C3" s="171" t="s">
        <v>434</v>
      </c>
      <c r="D3" s="170">
        <v>386.9</v>
      </c>
      <c r="E3" s="169">
        <f>IF(D3&lt;135,300, IF(AND(D3&gt;135,D3&lt;288),250, IF(AND(D3&gt;288,D3&lt;537),200,IF(AND(D3&gt;537,D3&lt;1096),150,100))))</f>
        <v>200</v>
      </c>
      <c r="F3" s="276">
        <v>131.95400000000001</v>
      </c>
      <c r="G3" s="169">
        <v>2.5</v>
      </c>
      <c r="H3" s="276">
        <f>F3*G3</f>
        <v>329.88499999999999</v>
      </c>
      <c r="I3" s="169">
        <f t="shared" ref="I3:I56" si="0">CEILING(H3/(0.84*E3),1)</f>
        <v>2</v>
      </c>
      <c r="J3" s="169">
        <f>I3*E3</f>
        <v>400</v>
      </c>
      <c r="K3" s="169">
        <f>J3-H3</f>
        <v>70.115000000000009</v>
      </c>
      <c r="L3" s="276">
        <f>H3/J3</f>
        <v>0.82471249999999996</v>
      </c>
      <c r="M3" s="166" t="s">
        <v>433</v>
      </c>
      <c r="N3" s="168">
        <v>598.85</v>
      </c>
      <c r="O3" s="167">
        <f>IF(N3&lt;135,300, IF(AND(N3&gt;135,N3&lt;288),250, IF(AND(N3&gt;288,N3&lt;537),200,IF(AND(N3&gt;537,N3&lt;1096),150,100))))</f>
        <v>150</v>
      </c>
      <c r="P3" s="166">
        <f>O3*I3</f>
        <v>300</v>
      </c>
      <c r="Q3" s="167">
        <f>P3-H3</f>
        <v>-29.884999999999991</v>
      </c>
      <c r="R3" s="594" t="s">
        <v>351</v>
      </c>
      <c r="S3" s="595"/>
      <c r="U3" s="131" t="s">
        <v>388</v>
      </c>
      <c r="V3" s="130" t="s">
        <v>387</v>
      </c>
      <c r="W3" s="129" t="s">
        <v>386</v>
      </c>
    </row>
    <row r="4" spans="1:23" ht="15" customHeight="1" thickBot="1">
      <c r="A4" s="562" t="s">
        <v>44</v>
      </c>
      <c r="B4" s="165" t="s">
        <v>3</v>
      </c>
      <c r="C4" s="164" t="s">
        <v>44</v>
      </c>
      <c r="D4" s="163">
        <v>424.31</v>
      </c>
      <c r="E4" s="91">
        <f t="shared" ref="E4:E56" si="1">IF(D4&lt;135,300, IF(AND(D4&gt;135,D4&lt;288),250, IF(AND(D4&gt;288,D4&lt;537),200,IF(AND(D4&gt;537,D4&lt;1096),150,100))))</f>
        <v>200</v>
      </c>
      <c r="F4" s="267">
        <v>79.758499999999998</v>
      </c>
      <c r="G4" s="81">
        <v>2.5</v>
      </c>
      <c r="H4" s="269">
        <f t="shared" ref="H4:H56" si="2">F4*G4</f>
        <v>199.39625000000001</v>
      </c>
      <c r="I4" s="81">
        <f t="shared" si="0"/>
        <v>2</v>
      </c>
      <c r="J4" s="81">
        <f t="shared" ref="J4:J56" si="3">I4*E4</f>
        <v>400</v>
      </c>
      <c r="K4" s="81">
        <f t="shared" ref="K4:K13" si="4">J4-H4</f>
        <v>200.60374999999999</v>
      </c>
      <c r="L4" s="276">
        <f t="shared" ref="L4:L56" si="5">H4/J4</f>
        <v>0.49849062500000002</v>
      </c>
      <c r="M4" s="161" t="s">
        <v>432</v>
      </c>
      <c r="N4" s="162">
        <v>561.44000000000005</v>
      </c>
      <c r="O4" s="89">
        <f t="shared" ref="O4:O56" si="6">IF(N4&lt;135,300, IF(AND(N4&gt;135,N4&lt;288),250, IF(AND(N4&gt;288,N4&lt;537),200,IF(AND(N4&gt;537,N4&lt;1096),150,100))))</f>
        <v>150</v>
      </c>
      <c r="P4" s="88">
        <f t="shared" ref="P4:P56" si="7">O4*I4</f>
        <v>300</v>
      </c>
      <c r="Q4" s="89">
        <f t="shared" ref="Q4:Q13" si="8">P4-H4</f>
        <v>100.60374999999999</v>
      </c>
      <c r="R4" s="590"/>
      <c r="S4" s="591"/>
      <c r="U4" s="157"/>
      <c r="V4" s="156"/>
      <c r="W4" s="97">
        <f>(V4/600)*100</f>
        <v>0</v>
      </c>
    </row>
    <row r="5" spans="1:23" ht="14.25" customHeight="1" thickBot="1">
      <c r="A5" s="563"/>
      <c r="B5" s="160" t="s">
        <v>25</v>
      </c>
      <c r="C5" s="111" t="s">
        <v>65</v>
      </c>
      <c r="D5" s="92">
        <v>645.40499999999997</v>
      </c>
      <c r="E5" s="91">
        <f t="shared" si="1"/>
        <v>150</v>
      </c>
      <c r="F5" s="268">
        <v>101.52370000000001</v>
      </c>
      <c r="G5" s="71">
        <v>2.5</v>
      </c>
      <c r="H5" s="271">
        <f t="shared" si="2"/>
        <v>253.80925000000002</v>
      </c>
      <c r="I5" s="71">
        <f t="shared" si="0"/>
        <v>3</v>
      </c>
      <c r="J5" s="71">
        <f t="shared" si="3"/>
        <v>450</v>
      </c>
      <c r="K5" s="71">
        <f t="shared" si="4"/>
        <v>196.19074999999998</v>
      </c>
      <c r="L5" s="276">
        <f t="shared" si="5"/>
        <v>0.56402055555555564</v>
      </c>
      <c r="M5" s="88" t="s">
        <v>427</v>
      </c>
      <c r="N5" s="90">
        <v>691.82</v>
      </c>
      <c r="O5" s="89">
        <f t="shared" si="6"/>
        <v>150</v>
      </c>
      <c r="P5" s="88">
        <f t="shared" si="7"/>
        <v>450</v>
      </c>
      <c r="Q5" s="89">
        <f t="shared" si="8"/>
        <v>196.19074999999998</v>
      </c>
      <c r="R5" s="594"/>
      <c r="S5" s="595"/>
      <c r="U5" s="157"/>
      <c r="V5" s="156"/>
      <c r="W5" s="97">
        <f>(V5/400)*100</f>
        <v>0</v>
      </c>
    </row>
    <row r="6" spans="1:23" ht="14.25" customHeight="1" thickBot="1">
      <c r="A6" s="562" t="s">
        <v>431</v>
      </c>
      <c r="B6" s="84" t="s">
        <v>430</v>
      </c>
      <c r="C6" s="83" t="s">
        <v>390</v>
      </c>
      <c r="D6" s="82">
        <v>774.56</v>
      </c>
      <c r="E6" s="81">
        <f t="shared" si="1"/>
        <v>150</v>
      </c>
      <c r="F6" s="269">
        <v>593.39</v>
      </c>
      <c r="G6" s="91">
        <v>2.5</v>
      </c>
      <c r="H6" s="268">
        <f t="shared" si="2"/>
        <v>1483.4749999999999</v>
      </c>
      <c r="I6" s="91">
        <f t="shared" si="0"/>
        <v>12</v>
      </c>
      <c r="J6" s="91">
        <f t="shared" si="3"/>
        <v>1800</v>
      </c>
      <c r="K6" s="91">
        <f t="shared" si="4"/>
        <v>316.52500000000009</v>
      </c>
      <c r="L6" s="276">
        <f t="shared" si="5"/>
        <v>0.82415277777777773</v>
      </c>
      <c r="M6" s="98" t="s">
        <v>429</v>
      </c>
      <c r="N6" s="80">
        <v>778.62</v>
      </c>
      <c r="O6" s="79">
        <f t="shared" si="6"/>
        <v>150</v>
      </c>
      <c r="P6" s="98">
        <f t="shared" si="7"/>
        <v>1800</v>
      </c>
      <c r="Q6" s="79">
        <f t="shared" si="8"/>
        <v>316.52500000000009</v>
      </c>
      <c r="R6" s="590" t="s">
        <v>351</v>
      </c>
      <c r="S6" s="591"/>
      <c r="U6" s="157"/>
      <c r="V6" s="156"/>
      <c r="W6" s="97">
        <f>(V6/500)*100</f>
        <v>0</v>
      </c>
    </row>
    <row r="7" spans="1:23" ht="14.25" customHeight="1" thickBot="1">
      <c r="A7" s="564"/>
      <c r="B7" s="94" t="s">
        <v>4</v>
      </c>
      <c r="C7" s="93" t="s">
        <v>45</v>
      </c>
      <c r="D7" s="105">
        <v>221.095</v>
      </c>
      <c r="E7" s="91">
        <f t="shared" si="1"/>
        <v>250</v>
      </c>
      <c r="F7" s="273">
        <v>165.54</v>
      </c>
      <c r="G7" s="91">
        <v>2.5</v>
      </c>
      <c r="H7" s="268">
        <f t="shared" si="2"/>
        <v>413.84999999999997</v>
      </c>
      <c r="I7" s="91">
        <f t="shared" si="0"/>
        <v>2</v>
      </c>
      <c r="J7" s="91">
        <f t="shared" si="3"/>
        <v>500</v>
      </c>
      <c r="K7" s="91">
        <f t="shared" si="4"/>
        <v>86.150000000000034</v>
      </c>
      <c r="L7" s="276">
        <f t="shared" si="5"/>
        <v>0.82769999999999988</v>
      </c>
      <c r="M7" s="99" t="s">
        <v>428</v>
      </c>
      <c r="N7" s="104">
        <v>904.18</v>
      </c>
      <c r="O7" s="89">
        <f t="shared" si="6"/>
        <v>150</v>
      </c>
      <c r="P7" s="88">
        <f t="shared" si="7"/>
        <v>300</v>
      </c>
      <c r="Q7" s="89">
        <f t="shared" si="8"/>
        <v>-113.84999999999997</v>
      </c>
      <c r="R7" s="592"/>
      <c r="S7" s="593"/>
      <c r="U7" s="157" t="s">
        <v>14</v>
      </c>
      <c r="V7" s="156">
        <v>55.39</v>
      </c>
      <c r="W7" s="97">
        <f>(V7/200)*100</f>
        <v>27.695000000000004</v>
      </c>
    </row>
    <row r="8" spans="1:23" ht="14.25" customHeight="1" thickBot="1">
      <c r="A8" s="564"/>
      <c r="B8" s="94" t="s">
        <v>25</v>
      </c>
      <c r="C8" s="93" t="s">
        <v>65</v>
      </c>
      <c r="D8" s="92">
        <v>645.40499999999997</v>
      </c>
      <c r="E8" s="71">
        <f t="shared" si="1"/>
        <v>150</v>
      </c>
      <c r="F8" s="268">
        <v>101.52370000000001</v>
      </c>
      <c r="G8" s="91">
        <v>2.5</v>
      </c>
      <c r="H8" s="268">
        <f t="shared" si="2"/>
        <v>253.80925000000002</v>
      </c>
      <c r="I8" s="91">
        <f t="shared" si="0"/>
        <v>3</v>
      </c>
      <c r="J8" s="91">
        <f t="shared" si="3"/>
        <v>450</v>
      </c>
      <c r="K8" s="91">
        <f t="shared" si="4"/>
        <v>196.19074999999998</v>
      </c>
      <c r="L8" s="276">
        <f t="shared" si="5"/>
        <v>0.56402055555555564</v>
      </c>
      <c r="M8" s="88" t="s">
        <v>427</v>
      </c>
      <c r="N8" s="90">
        <v>691.82</v>
      </c>
      <c r="O8" s="115">
        <f t="shared" si="6"/>
        <v>150</v>
      </c>
      <c r="P8" s="69">
        <f t="shared" si="7"/>
        <v>450</v>
      </c>
      <c r="Q8" s="115">
        <f t="shared" si="8"/>
        <v>196.19074999999998</v>
      </c>
      <c r="R8" s="594"/>
      <c r="S8" s="595"/>
      <c r="U8" s="157" t="s">
        <v>6</v>
      </c>
      <c r="V8" s="156">
        <v>40.64</v>
      </c>
      <c r="W8" s="97">
        <f>(V8/300)*100</f>
        <v>13.546666666666669</v>
      </c>
    </row>
    <row r="9" spans="1:23" ht="14.25" customHeight="1" thickBot="1">
      <c r="A9" s="562" t="s">
        <v>46</v>
      </c>
      <c r="B9" s="84" t="s">
        <v>5</v>
      </c>
      <c r="C9" s="83" t="s">
        <v>46</v>
      </c>
      <c r="D9" s="82">
        <v>87.444999999999993</v>
      </c>
      <c r="E9" s="91">
        <f t="shared" si="1"/>
        <v>300</v>
      </c>
      <c r="F9" s="269">
        <v>330.03719999999998</v>
      </c>
      <c r="G9" s="81">
        <v>2.5</v>
      </c>
      <c r="H9" s="269">
        <f t="shared" si="2"/>
        <v>825.09299999999996</v>
      </c>
      <c r="I9" s="81">
        <f t="shared" si="0"/>
        <v>4</v>
      </c>
      <c r="J9" s="81">
        <f t="shared" si="3"/>
        <v>1200</v>
      </c>
      <c r="K9" s="81">
        <f t="shared" si="4"/>
        <v>374.90700000000004</v>
      </c>
      <c r="L9" s="276">
        <f t="shared" si="5"/>
        <v>0.68757749999999995</v>
      </c>
      <c r="M9" s="98" t="s">
        <v>426</v>
      </c>
      <c r="N9" s="80">
        <v>243.73500000000001</v>
      </c>
      <c r="O9" s="89">
        <f t="shared" si="6"/>
        <v>250</v>
      </c>
      <c r="P9" s="88">
        <f t="shared" si="7"/>
        <v>1000</v>
      </c>
      <c r="Q9" s="89">
        <f t="shared" si="8"/>
        <v>174.90700000000004</v>
      </c>
      <c r="R9" s="598" t="s">
        <v>351</v>
      </c>
      <c r="S9" s="591"/>
      <c r="U9" s="157" t="s">
        <v>16</v>
      </c>
      <c r="V9" s="156">
        <v>11.97</v>
      </c>
      <c r="W9" s="97">
        <f>(V9/200)*100</f>
        <v>5.9850000000000003</v>
      </c>
    </row>
    <row r="10" spans="1:23" ht="14.25" customHeight="1" thickBot="1">
      <c r="A10" s="564"/>
      <c r="B10" s="94" t="s">
        <v>7</v>
      </c>
      <c r="C10" s="93" t="s">
        <v>48</v>
      </c>
      <c r="D10" s="105">
        <v>457.755</v>
      </c>
      <c r="E10" s="91">
        <f t="shared" si="1"/>
        <v>200</v>
      </c>
      <c r="F10" s="273">
        <v>200.11</v>
      </c>
      <c r="G10" s="91">
        <v>2.5</v>
      </c>
      <c r="H10" s="268">
        <f t="shared" si="2"/>
        <v>500.27500000000003</v>
      </c>
      <c r="I10" s="91">
        <f t="shared" si="0"/>
        <v>3</v>
      </c>
      <c r="J10" s="91">
        <f t="shared" si="3"/>
        <v>600</v>
      </c>
      <c r="K10" s="91">
        <f t="shared" si="4"/>
        <v>99.724999999999966</v>
      </c>
      <c r="L10" s="276">
        <f t="shared" si="5"/>
        <v>0.83379166666666671</v>
      </c>
      <c r="M10" s="99" t="s">
        <v>425</v>
      </c>
      <c r="N10" s="104">
        <v>614.06500000000005</v>
      </c>
      <c r="O10" s="89">
        <f t="shared" si="6"/>
        <v>150</v>
      </c>
      <c r="P10" s="88">
        <f t="shared" si="7"/>
        <v>450</v>
      </c>
      <c r="Q10" s="89">
        <f t="shared" si="8"/>
        <v>-50.275000000000034</v>
      </c>
      <c r="R10" s="599"/>
      <c r="S10" s="593"/>
      <c r="U10" s="157" t="s">
        <v>26</v>
      </c>
      <c r="V10" s="156">
        <v>8.82</v>
      </c>
      <c r="W10" s="97">
        <f>(V10/800)*100</f>
        <v>1.1025</v>
      </c>
    </row>
    <row r="11" spans="1:23" ht="14.25" customHeight="1" thickBot="1">
      <c r="A11" s="564"/>
      <c r="B11" s="94" t="s">
        <v>8</v>
      </c>
      <c r="C11" s="93" t="s">
        <v>74</v>
      </c>
      <c r="D11" s="105">
        <v>632.29</v>
      </c>
      <c r="E11" s="91">
        <f t="shared" si="1"/>
        <v>150</v>
      </c>
      <c r="F11" s="273">
        <v>416.14780000000002</v>
      </c>
      <c r="G11" s="91">
        <v>2.5</v>
      </c>
      <c r="H11" s="268">
        <f t="shared" si="2"/>
        <v>1040.3695</v>
      </c>
      <c r="I11" s="91">
        <f t="shared" si="0"/>
        <v>9</v>
      </c>
      <c r="J11" s="91">
        <f t="shared" si="3"/>
        <v>1350</v>
      </c>
      <c r="K11" s="91">
        <f t="shared" si="4"/>
        <v>309.63049999999998</v>
      </c>
      <c r="L11" s="276">
        <f t="shared" si="5"/>
        <v>0.77064407407407409</v>
      </c>
      <c r="M11" s="99" t="s">
        <v>424</v>
      </c>
      <c r="N11" s="104">
        <v>692.19500000000005</v>
      </c>
      <c r="O11" s="89">
        <f t="shared" si="6"/>
        <v>150</v>
      </c>
      <c r="P11" s="88">
        <f t="shared" si="7"/>
        <v>1350</v>
      </c>
      <c r="Q11" s="89">
        <f t="shared" si="8"/>
        <v>309.63049999999998</v>
      </c>
      <c r="R11" s="599"/>
      <c r="S11" s="593"/>
      <c r="U11" s="157" t="s">
        <v>19</v>
      </c>
      <c r="V11" s="156">
        <v>232.5</v>
      </c>
      <c r="W11" s="97">
        <f>(V11/200)*100</f>
        <v>116.25000000000001</v>
      </c>
    </row>
    <row r="12" spans="1:23" ht="14.25" customHeight="1" thickBot="1">
      <c r="A12" s="564"/>
      <c r="B12" s="94" t="s">
        <v>12</v>
      </c>
      <c r="C12" s="93" t="s">
        <v>52</v>
      </c>
      <c r="D12" s="105">
        <v>428.91</v>
      </c>
      <c r="E12" s="91">
        <f t="shared" si="1"/>
        <v>200</v>
      </c>
      <c r="F12" s="273">
        <v>320.77999999999997</v>
      </c>
      <c r="G12" s="91">
        <v>2.5</v>
      </c>
      <c r="H12" s="268">
        <f t="shared" si="2"/>
        <v>801.94999999999993</v>
      </c>
      <c r="I12" s="91">
        <f t="shared" si="0"/>
        <v>5</v>
      </c>
      <c r="J12" s="91">
        <f t="shared" si="3"/>
        <v>1000</v>
      </c>
      <c r="K12" s="91">
        <f t="shared" si="4"/>
        <v>198.05000000000007</v>
      </c>
      <c r="L12" s="276">
        <f t="shared" si="5"/>
        <v>0.80194999999999994</v>
      </c>
      <c r="M12" s="99" t="s">
        <v>418</v>
      </c>
      <c r="N12" s="104">
        <v>440.09</v>
      </c>
      <c r="O12" s="89">
        <f t="shared" si="6"/>
        <v>200</v>
      </c>
      <c r="P12" s="88">
        <f t="shared" si="7"/>
        <v>1000</v>
      </c>
      <c r="Q12" s="89">
        <f t="shared" si="8"/>
        <v>198.05000000000007</v>
      </c>
      <c r="R12" s="599"/>
      <c r="S12" s="593"/>
      <c r="U12" s="157" t="s">
        <v>27</v>
      </c>
      <c r="V12" s="156">
        <v>83.57</v>
      </c>
      <c r="W12" s="97">
        <f>(V12/200)*100</f>
        <v>41.784999999999997</v>
      </c>
    </row>
    <row r="13" spans="1:23" ht="14.25" customHeight="1" thickBot="1">
      <c r="A13" s="564"/>
      <c r="B13" s="94" t="s">
        <v>394</v>
      </c>
      <c r="C13" s="93" t="s">
        <v>63</v>
      </c>
      <c r="D13" s="92">
        <v>530.30999999999995</v>
      </c>
      <c r="E13" s="91">
        <f t="shared" si="1"/>
        <v>200</v>
      </c>
      <c r="F13" s="268">
        <v>22.35</v>
      </c>
      <c r="G13" s="71">
        <v>2.5</v>
      </c>
      <c r="H13" s="271">
        <f t="shared" si="2"/>
        <v>55.875</v>
      </c>
      <c r="I13" s="71">
        <f t="shared" si="0"/>
        <v>1</v>
      </c>
      <c r="J13" s="71">
        <f t="shared" si="3"/>
        <v>200</v>
      </c>
      <c r="K13" s="71">
        <f t="shared" si="4"/>
        <v>144.125</v>
      </c>
      <c r="L13" s="276">
        <f t="shared" si="5"/>
        <v>0.27937499999999998</v>
      </c>
      <c r="M13" s="88" t="s">
        <v>416</v>
      </c>
      <c r="N13" s="90">
        <v>541.49</v>
      </c>
      <c r="O13" s="89">
        <f t="shared" si="6"/>
        <v>150</v>
      </c>
      <c r="P13" s="88">
        <f t="shared" si="7"/>
        <v>150</v>
      </c>
      <c r="Q13" s="89">
        <f t="shared" si="8"/>
        <v>94.125</v>
      </c>
      <c r="R13" s="600"/>
      <c r="S13" s="595"/>
      <c r="U13" s="157" t="s">
        <v>20</v>
      </c>
      <c r="V13" s="156">
        <v>420</v>
      </c>
      <c r="W13" s="97">
        <f>(V13/600)*100</f>
        <v>70</v>
      </c>
    </row>
    <row r="14" spans="1:23" ht="13.5" thickBot="1">
      <c r="A14" s="460" t="s">
        <v>424</v>
      </c>
      <c r="B14" s="84" t="s">
        <v>351</v>
      </c>
      <c r="C14" s="150"/>
      <c r="D14" s="82"/>
      <c r="E14" s="169">
        <f t="shared" si="1"/>
        <v>300</v>
      </c>
      <c r="F14" s="269"/>
      <c r="G14" s="91">
        <v>2.5</v>
      </c>
      <c r="H14" s="268">
        <f t="shared" si="2"/>
        <v>0</v>
      </c>
      <c r="I14" s="91">
        <f t="shared" si="0"/>
        <v>0</v>
      </c>
      <c r="J14" s="91">
        <f t="shared" si="3"/>
        <v>0</v>
      </c>
      <c r="K14" s="91"/>
      <c r="L14" s="276"/>
      <c r="M14" s="98"/>
      <c r="N14" s="80"/>
      <c r="O14" s="167">
        <f t="shared" si="6"/>
        <v>300</v>
      </c>
      <c r="P14" s="166">
        <f t="shared" si="7"/>
        <v>0</v>
      </c>
      <c r="Q14" s="167"/>
      <c r="R14" s="454"/>
      <c r="S14" s="455"/>
      <c r="U14" s="157" t="s">
        <v>28</v>
      </c>
      <c r="V14" s="156">
        <v>37.32</v>
      </c>
      <c r="W14" s="97">
        <f>(V14/200)*100</f>
        <v>18.66</v>
      </c>
    </row>
    <row r="15" spans="1:23" ht="14.25" customHeight="1" thickBot="1">
      <c r="A15" s="562" t="s">
        <v>49</v>
      </c>
      <c r="B15" s="84" t="s">
        <v>423</v>
      </c>
      <c r="C15" s="83" t="s">
        <v>47</v>
      </c>
      <c r="D15" s="82">
        <v>341.36500000000001</v>
      </c>
      <c r="E15" s="91">
        <f t="shared" si="1"/>
        <v>200</v>
      </c>
      <c r="F15" s="269">
        <v>414.50749999999999</v>
      </c>
      <c r="G15" s="81">
        <v>2.5</v>
      </c>
      <c r="H15" s="269">
        <f t="shared" si="2"/>
        <v>1036.26875</v>
      </c>
      <c r="I15" s="81">
        <f t="shared" si="0"/>
        <v>7</v>
      </c>
      <c r="J15" s="81">
        <f t="shared" si="3"/>
        <v>1400</v>
      </c>
      <c r="K15" s="81">
        <f>J15-H15</f>
        <v>363.73125000000005</v>
      </c>
      <c r="L15" s="276">
        <f t="shared" si="5"/>
        <v>0.74019196428571421</v>
      </c>
      <c r="M15" s="98" t="s">
        <v>422</v>
      </c>
      <c r="N15" s="80">
        <v>527.53499999999997</v>
      </c>
      <c r="O15" s="89">
        <f t="shared" si="6"/>
        <v>200</v>
      </c>
      <c r="P15" s="88">
        <f t="shared" si="7"/>
        <v>1400</v>
      </c>
      <c r="Q15" s="89">
        <f>P15-H15</f>
        <v>363.73125000000005</v>
      </c>
      <c r="R15" s="282"/>
      <c r="S15" s="118"/>
      <c r="U15" s="157"/>
      <c r="V15" s="156"/>
      <c r="W15" s="97">
        <f>(V15/1400)*100</f>
        <v>0</v>
      </c>
    </row>
    <row r="16" spans="1:23" ht="14.25" customHeight="1" thickBot="1">
      <c r="A16" s="564"/>
      <c r="B16" s="94" t="s">
        <v>9</v>
      </c>
      <c r="C16" s="93" t="s">
        <v>421</v>
      </c>
      <c r="D16" s="105">
        <v>72.555000000000007</v>
      </c>
      <c r="E16" s="91">
        <f t="shared" si="1"/>
        <v>300</v>
      </c>
      <c r="F16" s="273">
        <v>249.06020000000001</v>
      </c>
      <c r="G16" s="91">
        <v>2.5</v>
      </c>
      <c r="H16" s="268">
        <f t="shared" si="2"/>
        <v>622.65049999999997</v>
      </c>
      <c r="I16" s="91">
        <f t="shared" si="0"/>
        <v>3</v>
      </c>
      <c r="J16" s="91">
        <f t="shared" si="3"/>
        <v>900</v>
      </c>
      <c r="K16" s="91">
        <f t="shared" ref="K16:K24" si="9">J16-H16</f>
        <v>277.34950000000003</v>
      </c>
      <c r="L16" s="276">
        <f t="shared" si="5"/>
        <v>0.69183388888888886</v>
      </c>
      <c r="M16" s="99" t="s">
        <v>420</v>
      </c>
      <c r="N16" s="104">
        <v>258.625</v>
      </c>
      <c r="O16" s="89">
        <f t="shared" si="6"/>
        <v>250</v>
      </c>
      <c r="P16" s="88">
        <f t="shared" si="7"/>
        <v>750</v>
      </c>
      <c r="Q16" s="89">
        <f t="shared" ref="Q16:Q24" si="10">P16-H16</f>
        <v>127.34950000000003</v>
      </c>
      <c r="R16" s="283"/>
      <c r="S16" s="138"/>
      <c r="U16" s="157"/>
      <c r="V16" s="156"/>
      <c r="W16" s="97">
        <f>(V16/1000)*100</f>
        <v>0</v>
      </c>
    </row>
    <row r="17" spans="1:25" ht="14.25" customHeight="1" thickBot="1">
      <c r="A17" s="564"/>
      <c r="B17" s="94" t="s">
        <v>10</v>
      </c>
      <c r="C17" s="93" t="s">
        <v>384</v>
      </c>
      <c r="D17" s="105">
        <v>894.93</v>
      </c>
      <c r="E17" s="91">
        <f t="shared" si="1"/>
        <v>150</v>
      </c>
      <c r="F17" s="273">
        <v>185.4342</v>
      </c>
      <c r="G17" s="91">
        <v>2.5</v>
      </c>
      <c r="H17" s="268">
        <f t="shared" si="2"/>
        <v>463.58550000000002</v>
      </c>
      <c r="I17" s="91">
        <f t="shared" si="0"/>
        <v>4</v>
      </c>
      <c r="J17" s="91">
        <f t="shared" si="3"/>
        <v>600</v>
      </c>
      <c r="K17" s="91">
        <f t="shared" si="9"/>
        <v>136.41449999999998</v>
      </c>
      <c r="L17" s="276">
        <f t="shared" si="5"/>
        <v>0.77264250000000001</v>
      </c>
      <c r="M17" s="99" t="s">
        <v>383</v>
      </c>
      <c r="N17" s="104">
        <v>975.03499999999997</v>
      </c>
      <c r="O17" s="89">
        <f t="shared" si="6"/>
        <v>150</v>
      </c>
      <c r="P17" s="88">
        <f t="shared" si="7"/>
        <v>600</v>
      </c>
      <c r="Q17" s="89">
        <f t="shared" si="10"/>
        <v>136.41449999999998</v>
      </c>
      <c r="R17" s="283"/>
      <c r="S17" s="138"/>
      <c r="U17" s="157"/>
      <c r="V17" s="156"/>
      <c r="W17" s="97">
        <f>(V17/150)*100</f>
        <v>0</v>
      </c>
    </row>
    <row r="18" spans="1:25" ht="14.25" customHeight="1" thickBot="1">
      <c r="A18" s="564"/>
      <c r="B18" s="94" t="s">
        <v>11</v>
      </c>
      <c r="C18" s="93" t="s">
        <v>377</v>
      </c>
      <c r="D18" s="105">
        <v>839.23</v>
      </c>
      <c r="E18" s="91">
        <f t="shared" si="1"/>
        <v>150</v>
      </c>
      <c r="F18" s="273">
        <v>213.84829999999999</v>
      </c>
      <c r="G18" s="91">
        <v>2.5</v>
      </c>
      <c r="H18" s="268">
        <f t="shared" si="2"/>
        <v>534.62075000000004</v>
      </c>
      <c r="I18" s="91">
        <f t="shared" si="0"/>
        <v>5</v>
      </c>
      <c r="J18" s="91">
        <f t="shared" si="3"/>
        <v>750</v>
      </c>
      <c r="K18" s="91">
        <f t="shared" si="9"/>
        <v>215.37924999999996</v>
      </c>
      <c r="L18" s="276">
        <f t="shared" si="5"/>
        <v>0.71282766666666675</v>
      </c>
      <c r="M18" s="99" t="s">
        <v>419</v>
      </c>
      <c r="N18" s="104">
        <v>1025.3</v>
      </c>
      <c r="O18" s="89">
        <f t="shared" si="6"/>
        <v>150</v>
      </c>
      <c r="P18" s="88">
        <f t="shared" si="7"/>
        <v>750</v>
      </c>
      <c r="Q18" s="89">
        <f t="shared" si="10"/>
        <v>215.37924999999996</v>
      </c>
      <c r="R18" s="284"/>
      <c r="S18" s="138"/>
      <c r="U18" s="157"/>
      <c r="V18" s="156"/>
      <c r="W18" s="97">
        <f>(V18/150)*100</f>
        <v>0</v>
      </c>
    </row>
    <row r="19" spans="1:25" ht="14.25" customHeight="1" thickBot="1">
      <c r="A19" s="564"/>
      <c r="B19" s="94" t="s">
        <v>12</v>
      </c>
      <c r="C19" s="93" t="s">
        <v>52</v>
      </c>
      <c r="D19" s="105">
        <v>428.91</v>
      </c>
      <c r="E19" s="91">
        <f t="shared" si="1"/>
        <v>200</v>
      </c>
      <c r="F19" s="273">
        <v>320.7817</v>
      </c>
      <c r="G19" s="91">
        <v>2.5</v>
      </c>
      <c r="H19" s="268">
        <f t="shared" si="2"/>
        <v>801.95425</v>
      </c>
      <c r="I19" s="91">
        <f t="shared" si="0"/>
        <v>5</v>
      </c>
      <c r="J19" s="91">
        <f t="shared" si="3"/>
        <v>1000</v>
      </c>
      <c r="K19" s="91">
        <f t="shared" si="9"/>
        <v>198.04575</v>
      </c>
      <c r="L19" s="276">
        <f t="shared" si="5"/>
        <v>0.80195424999999998</v>
      </c>
      <c r="M19" s="99" t="s">
        <v>418</v>
      </c>
      <c r="N19" s="104">
        <v>440.09</v>
      </c>
      <c r="O19" s="89">
        <f t="shared" si="6"/>
        <v>200</v>
      </c>
      <c r="P19" s="88">
        <f t="shared" si="7"/>
        <v>1000</v>
      </c>
      <c r="Q19" s="89">
        <f t="shared" si="10"/>
        <v>198.04575</v>
      </c>
      <c r="R19" s="284"/>
      <c r="S19" s="138"/>
      <c r="U19" s="157"/>
      <c r="V19" s="156"/>
      <c r="W19" s="97">
        <f>(V19/200)*100</f>
        <v>0</v>
      </c>
    </row>
    <row r="20" spans="1:25" ht="14.25" customHeight="1" thickBot="1">
      <c r="A20" s="564"/>
      <c r="B20" s="94" t="s">
        <v>417</v>
      </c>
      <c r="C20" s="93" t="s">
        <v>409</v>
      </c>
      <c r="D20" s="92">
        <v>530.30999999999995</v>
      </c>
      <c r="E20" s="91">
        <f t="shared" si="1"/>
        <v>200</v>
      </c>
      <c r="F20" s="268">
        <v>22.35</v>
      </c>
      <c r="G20" s="71">
        <v>2.5</v>
      </c>
      <c r="H20" s="271">
        <f t="shared" si="2"/>
        <v>55.875</v>
      </c>
      <c r="I20" s="71">
        <f t="shared" si="0"/>
        <v>1</v>
      </c>
      <c r="J20" s="71">
        <f t="shared" si="3"/>
        <v>200</v>
      </c>
      <c r="K20" s="71">
        <f t="shared" si="9"/>
        <v>144.125</v>
      </c>
      <c r="L20" s="276">
        <f t="shared" si="5"/>
        <v>0.27937499999999998</v>
      </c>
      <c r="M20" s="88" t="s">
        <v>416</v>
      </c>
      <c r="N20" s="90">
        <v>541.49</v>
      </c>
      <c r="O20" s="89">
        <f t="shared" si="6"/>
        <v>150</v>
      </c>
      <c r="P20" s="88">
        <f t="shared" si="7"/>
        <v>150</v>
      </c>
      <c r="Q20" s="89">
        <f t="shared" si="10"/>
        <v>94.125</v>
      </c>
      <c r="R20" s="285"/>
      <c r="S20" s="114"/>
      <c r="U20" s="155" t="s">
        <v>415</v>
      </c>
      <c r="V20" s="154">
        <f>SUM(V4:V19)</f>
        <v>890.21</v>
      </c>
      <c r="W20" s="463"/>
    </row>
    <row r="21" spans="1:25" ht="14.25" customHeight="1" thickBot="1">
      <c r="A21" s="562" t="s">
        <v>411</v>
      </c>
      <c r="B21" s="84" t="s">
        <v>7</v>
      </c>
      <c r="C21" s="83" t="s">
        <v>48</v>
      </c>
      <c r="D21" s="82">
        <v>457.755</v>
      </c>
      <c r="E21" s="81">
        <f t="shared" si="1"/>
        <v>200</v>
      </c>
      <c r="F21" s="269">
        <v>200.1122</v>
      </c>
      <c r="G21" s="91">
        <v>2.5</v>
      </c>
      <c r="H21" s="268">
        <f t="shared" si="2"/>
        <v>500.28050000000002</v>
      </c>
      <c r="I21" s="91">
        <f t="shared" si="0"/>
        <v>3</v>
      </c>
      <c r="J21" s="91">
        <f t="shared" si="3"/>
        <v>600</v>
      </c>
      <c r="K21" s="91">
        <f t="shared" si="9"/>
        <v>99.719499999999982</v>
      </c>
      <c r="L21" s="276">
        <f t="shared" si="5"/>
        <v>0.83380083333333332</v>
      </c>
      <c r="M21" s="98" t="s">
        <v>414</v>
      </c>
      <c r="N21" s="80">
        <v>733.18499999999995</v>
      </c>
      <c r="O21" s="79">
        <f t="shared" si="6"/>
        <v>150</v>
      </c>
      <c r="P21" s="98">
        <f t="shared" si="7"/>
        <v>450</v>
      </c>
      <c r="Q21" s="79">
        <f t="shared" si="10"/>
        <v>-50.280500000000018</v>
      </c>
      <c r="R21" s="590" t="s">
        <v>351</v>
      </c>
      <c r="S21" s="591"/>
      <c r="U21" s="153" t="s">
        <v>365</v>
      </c>
      <c r="V21" s="152">
        <f>(V20/30150)*100</f>
        <v>2.9526036484245441</v>
      </c>
      <c r="W21" s="266"/>
    </row>
    <row r="22" spans="1:25" ht="14.25" customHeight="1" thickBot="1">
      <c r="A22" s="564"/>
      <c r="B22" s="94" t="s">
        <v>413</v>
      </c>
      <c r="C22" s="93" t="s">
        <v>74</v>
      </c>
      <c r="D22" s="105">
        <v>632.29</v>
      </c>
      <c r="E22" s="91">
        <f t="shared" si="1"/>
        <v>150</v>
      </c>
      <c r="F22" s="273">
        <v>416.14780000000002</v>
      </c>
      <c r="G22" s="91">
        <v>2.5</v>
      </c>
      <c r="H22" s="268">
        <f t="shared" si="2"/>
        <v>1040.3695</v>
      </c>
      <c r="I22" s="91">
        <f t="shared" si="0"/>
        <v>9</v>
      </c>
      <c r="J22" s="91">
        <f t="shared" si="3"/>
        <v>1350</v>
      </c>
      <c r="K22" s="91">
        <f t="shared" si="9"/>
        <v>309.63049999999998</v>
      </c>
      <c r="L22" s="276">
        <f t="shared" si="5"/>
        <v>0.77064407407407409</v>
      </c>
      <c r="M22" s="99" t="s">
        <v>361</v>
      </c>
      <c r="N22" s="104">
        <v>692.19500000000005</v>
      </c>
      <c r="O22" s="89">
        <f t="shared" si="6"/>
        <v>150</v>
      </c>
      <c r="P22" s="88">
        <f t="shared" si="7"/>
        <v>1350</v>
      </c>
      <c r="Q22" s="89">
        <f t="shared" si="10"/>
        <v>309.63049999999998</v>
      </c>
      <c r="R22" s="592"/>
      <c r="S22" s="593"/>
    </row>
    <row r="23" spans="1:25" ht="14.25" customHeight="1" thickBot="1">
      <c r="A23" s="564"/>
      <c r="B23" s="94" t="s">
        <v>412</v>
      </c>
      <c r="C23" s="93" t="s">
        <v>411</v>
      </c>
      <c r="D23" s="105">
        <v>370.31</v>
      </c>
      <c r="E23" s="91">
        <f t="shared" si="1"/>
        <v>200</v>
      </c>
      <c r="F23" s="273">
        <v>24.103000000000002</v>
      </c>
      <c r="G23" s="91">
        <v>2.5</v>
      </c>
      <c r="H23" s="268">
        <f t="shared" si="2"/>
        <v>60.257500000000007</v>
      </c>
      <c r="I23" s="91">
        <f t="shared" si="0"/>
        <v>1</v>
      </c>
      <c r="J23" s="91">
        <f t="shared" si="3"/>
        <v>200</v>
      </c>
      <c r="K23" s="91">
        <f t="shared" si="9"/>
        <v>139.74250000000001</v>
      </c>
      <c r="L23" s="276">
        <f t="shared" si="5"/>
        <v>0.30128750000000004</v>
      </c>
      <c r="M23" s="99" t="s">
        <v>410</v>
      </c>
      <c r="N23" s="104">
        <v>820.63</v>
      </c>
      <c r="O23" s="89">
        <f t="shared" si="6"/>
        <v>150</v>
      </c>
      <c r="P23" s="88">
        <f t="shared" si="7"/>
        <v>150</v>
      </c>
      <c r="Q23" s="89">
        <f t="shared" si="10"/>
        <v>89.742499999999993</v>
      </c>
      <c r="R23" s="592"/>
      <c r="S23" s="593"/>
      <c r="U23" s="266"/>
      <c r="V23" s="57"/>
    </row>
    <row r="24" spans="1:25" ht="14.25" customHeight="1" thickBot="1">
      <c r="A24" s="564"/>
      <c r="B24" s="94" t="s">
        <v>394</v>
      </c>
      <c r="C24" s="93" t="s">
        <v>409</v>
      </c>
      <c r="D24" s="92">
        <v>530.30999999999995</v>
      </c>
      <c r="E24" s="71">
        <f t="shared" si="1"/>
        <v>200</v>
      </c>
      <c r="F24" s="268">
        <v>22.35</v>
      </c>
      <c r="G24" s="91">
        <v>2.5</v>
      </c>
      <c r="H24" s="268">
        <f t="shared" si="2"/>
        <v>55.875</v>
      </c>
      <c r="I24" s="91">
        <f t="shared" si="0"/>
        <v>1</v>
      </c>
      <c r="J24" s="91">
        <f t="shared" si="3"/>
        <v>200</v>
      </c>
      <c r="K24" s="91">
        <f t="shared" si="9"/>
        <v>144.125</v>
      </c>
      <c r="L24" s="276">
        <f t="shared" si="5"/>
        <v>0.27937499999999998</v>
      </c>
      <c r="M24" s="88" t="s">
        <v>408</v>
      </c>
      <c r="N24" s="90">
        <v>660.63</v>
      </c>
      <c r="O24" s="115">
        <f t="shared" si="6"/>
        <v>150</v>
      </c>
      <c r="P24" s="69">
        <f t="shared" si="7"/>
        <v>150</v>
      </c>
      <c r="Q24" s="115">
        <f t="shared" si="10"/>
        <v>94.125</v>
      </c>
      <c r="R24" s="594"/>
      <c r="S24" s="595"/>
      <c r="U24" s="266"/>
    </row>
    <row r="25" spans="1:25" ht="15" customHeight="1" thickBot="1">
      <c r="A25" s="151" t="s">
        <v>407</v>
      </c>
      <c r="B25" s="84" t="s">
        <v>406</v>
      </c>
      <c r="C25" s="150"/>
      <c r="D25" s="82"/>
      <c r="E25" s="91">
        <f t="shared" si="1"/>
        <v>300</v>
      </c>
      <c r="F25" s="269"/>
      <c r="G25" s="169">
        <v>2.5</v>
      </c>
      <c r="H25" s="276">
        <f t="shared" si="2"/>
        <v>0</v>
      </c>
      <c r="I25" s="169">
        <f t="shared" si="0"/>
        <v>0</v>
      </c>
      <c r="J25" s="169">
        <f t="shared" si="3"/>
        <v>0</v>
      </c>
      <c r="K25" s="169"/>
      <c r="L25" s="276"/>
      <c r="M25" s="98"/>
      <c r="N25" s="80"/>
      <c r="O25" s="89">
        <f t="shared" si="6"/>
        <v>300</v>
      </c>
      <c r="P25" s="88">
        <f t="shared" si="7"/>
        <v>0</v>
      </c>
      <c r="Q25" s="89"/>
      <c r="R25" s="454"/>
      <c r="S25" s="455"/>
    </row>
    <row r="26" spans="1:25" ht="13.5" thickBot="1">
      <c r="A26" s="575" t="s">
        <v>405</v>
      </c>
      <c r="B26" s="148" t="s">
        <v>14</v>
      </c>
      <c r="C26" s="83" t="s">
        <v>404</v>
      </c>
      <c r="D26" s="82">
        <v>391.72</v>
      </c>
      <c r="E26" s="81">
        <f t="shared" si="1"/>
        <v>200</v>
      </c>
      <c r="F26" s="269">
        <v>664.51419999999996</v>
      </c>
      <c r="G26" s="91">
        <v>2.5</v>
      </c>
      <c r="H26" s="268">
        <f t="shared" si="2"/>
        <v>1661.2855</v>
      </c>
      <c r="I26" s="91">
        <f t="shared" si="0"/>
        <v>10</v>
      </c>
      <c r="J26" s="91">
        <f t="shared" si="3"/>
        <v>2000</v>
      </c>
      <c r="K26" s="91">
        <f>J26-H26</f>
        <v>338.71450000000004</v>
      </c>
      <c r="L26" s="276">
        <f t="shared" si="5"/>
        <v>0.83064274999999999</v>
      </c>
      <c r="M26" s="98" t="s">
        <v>403</v>
      </c>
      <c r="N26" s="80">
        <v>799.22</v>
      </c>
      <c r="O26" s="79">
        <f t="shared" si="6"/>
        <v>150</v>
      </c>
      <c r="P26" s="98">
        <f t="shared" si="7"/>
        <v>1500</v>
      </c>
      <c r="Q26" s="188">
        <f>P26-H26</f>
        <v>-161.28549999999996</v>
      </c>
      <c r="R26" s="279" t="s">
        <v>382</v>
      </c>
      <c r="S26" s="118">
        <v>55.39</v>
      </c>
    </row>
    <row r="27" spans="1:25" ht="14.25" customHeight="1" thickBot="1">
      <c r="A27" s="576"/>
      <c r="B27" s="74" t="s">
        <v>360</v>
      </c>
      <c r="C27" s="73" t="s">
        <v>55</v>
      </c>
      <c r="D27" s="146">
        <v>566.26</v>
      </c>
      <c r="E27" s="71">
        <f t="shared" si="1"/>
        <v>150</v>
      </c>
      <c r="F27" s="275">
        <v>424.66829999999999</v>
      </c>
      <c r="G27" s="91">
        <v>2.5</v>
      </c>
      <c r="H27" s="268">
        <f t="shared" si="2"/>
        <v>1061.67075</v>
      </c>
      <c r="I27" s="91">
        <f t="shared" si="0"/>
        <v>9</v>
      </c>
      <c r="J27" s="91">
        <f t="shared" si="3"/>
        <v>1350</v>
      </c>
      <c r="K27" s="91">
        <f t="shared" ref="K27:K56" si="11">J27-H27</f>
        <v>288.32925</v>
      </c>
      <c r="L27" s="276">
        <f t="shared" si="5"/>
        <v>0.7864227777777778</v>
      </c>
      <c r="M27" s="246" t="s">
        <v>402</v>
      </c>
      <c r="N27" s="145">
        <v>973.76</v>
      </c>
      <c r="O27" s="115">
        <f t="shared" si="6"/>
        <v>150</v>
      </c>
      <c r="P27" s="69">
        <f t="shared" si="7"/>
        <v>1350</v>
      </c>
      <c r="Q27" s="288">
        <f t="shared" ref="Q27:Q56" si="12">P27-H27</f>
        <v>288.32925</v>
      </c>
      <c r="R27" s="286"/>
      <c r="S27" s="144"/>
    </row>
    <row r="28" spans="1:25" ht="13.5" thickBot="1">
      <c r="A28" s="564" t="s">
        <v>401</v>
      </c>
      <c r="B28" s="62" t="s">
        <v>6</v>
      </c>
      <c r="C28" s="111" t="s">
        <v>47</v>
      </c>
      <c r="D28" s="92">
        <v>341.46499999999997</v>
      </c>
      <c r="E28" s="91">
        <f t="shared" si="1"/>
        <v>200</v>
      </c>
      <c r="F28" s="268">
        <v>414.50749999999999</v>
      </c>
      <c r="G28" s="81">
        <v>2.5</v>
      </c>
      <c r="H28" s="269">
        <f t="shared" si="2"/>
        <v>1036.26875</v>
      </c>
      <c r="I28" s="81">
        <f t="shared" si="0"/>
        <v>7</v>
      </c>
      <c r="J28" s="81">
        <f t="shared" si="3"/>
        <v>1400</v>
      </c>
      <c r="K28" s="81">
        <f t="shared" si="11"/>
        <v>363.73125000000005</v>
      </c>
      <c r="L28" s="276">
        <f t="shared" si="5"/>
        <v>0.74019196428571421</v>
      </c>
      <c r="M28" s="88" t="s">
        <v>400</v>
      </c>
      <c r="N28" s="90">
        <v>849.47500000000002</v>
      </c>
      <c r="O28" s="89">
        <f t="shared" si="6"/>
        <v>150</v>
      </c>
      <c r="P28" s="88">
        <f t="shared" si="7"/>
        <v>1050</v>
      </c>
      <c r="Q28" s="289">
        <f t="shared" si="12"/>
        <v>13.731250000000045</v>
      </c>
      <c r="R28" s="279" t="s">
        <v>6</v>
      </c>
      <c r="S28" s="118">
        <v>40.64</v>
      </c>
    </row>
    <row r="29" spans="1:25" ht="14.25" customHeight="1" thickBot="1">
      <c r="A29" s="564"/>
      <c r="B29" s="62" t="s">
        <v>399</v>
      </c>
      <c r="C29" s="111" t="s">
        <v>384</v>
      </c>
      <c r="D29" s="92">
        <v>894.93</v>
      </c>
      <c r="E29" s="91">
        <f t="shared" si="1"/>
        <v>150</v>
      </c>
      <c r="F29" s="268">
        <v>185.4342</v>
      </c>
      <c r="G29" s="91">
        <v>2.5</v>
      </c>
      <c r="H29" s="268">
        <f t="shared" si="2"/>
        <v>463.58550000000002</v>
      </c>
      <c r="I29" s="91">
        <f t="shared" si="0"/>
        <v>4</v>
      </c>
      <c r="J29" s="91">
        <f t="shared" si="3"/>
        <v>600</v>
      </c>
      <c r="K29" s="91">
        <f t="shared" si="11"/>
        <v>136.41449999999998</v>
      </c>
      <c r="L29" s="276">
        <f t="shared" si="5"/>
        <v>0.77264250000000001</v>
      </c>
      <c r="M29" s="88" t="s">
        <v>383</v>
      </c>
      <c r="N29" s="90">
        <v>975.03499999999997</v>
      </c>
      <c r="O29" s="89">
        <f t="shared" si="6"/>
        <v>150</v>
      </c>
      <c r="P29" s="88">
        <f t="shared" si="7"/>
        <v>600</v>
      </c>
      <c r="Q29" s="289">
        <f t="shared" si="12"/>
        <v>136.41449999999998</v>
      </c>
      <c r="R29" s="284" t="s">
        <v>393</v>
      </c>
      <c r="S29" s="138">
        <v>11.97</v>
      </c>
    </row>
    <row r="30" spans="1:25" ht="14.25" customHeight="1" thickBot="1">
      <c r="A30" s="564"/>
      <c r="B30" s="94" t="s">
        <v>398</v>
      </c>
      <c r="C30" s="93" t="s">
        <v>377</v>
      </c>
      <c r="D30" s="105">
        <v>839.23</v>
      </c>
      <c r="E30" s="91">
        <f t="shared" si="1"/>
        <v>150</v>
      </c>
      <c r="F30" s="273">
        <v>213.84829999999999</v>
      </c>
      <c r="G30" s="91">
        <v>2.5</v>
      </c>
      <c r="H30" s="268">
        <f t="shared" si="2"/>
        <v>534.62075000000004</v>
      </c>
      <c r="I30" s="91">
        <f t="shared" si="0"/>
        <v>5</v>
      </c>
      <c r="J30" s="91">
        <f t="shared" si="3"/>
        <v>750</v>
      </c>
      <c r="K30" s="91">
        <f t="shared" si="11"/>
        <v>215.37924999999996</v>
      </c>
      <c r="L30" s="276">
        <f t="shared" si="5"/>
        <v>0.71282766666666675</v>
      </c>
      <c r="M30" s="99" t="s">
        <v>397</v>
      </c>
      <c r="N30" s="104">
        <v>1347.24</v>
      </c>
      <c r="O30" s="89">
        <f t="shared" si="6"/>
        <v>100</v>
      </c>
      <c r="P30" s="88">
        <f t="shared" si="7"/>
        <v>500</v>
      </c>
      <c r="Q30" s="289">
        <f t="shared" si="12"/>
        <v>-34.620750000000044</v>
      </c>
      <c r="R30" s="280"/>
      <c r="S30" s="141"/>
    </row>
    <row r="31" spans="1:25" ht="14.25" customHeight="1" thickBot="1">
      <c r="A31" s="564"/>
      <c r="B31" s="94" t="s">
        <v>396</v>
      </c>
      <c r="C31" s="93" t="s">
        <v>52</v>
      </c>
      <c r="D31" s="92">
        <v>428.91</v>
      </c>
      <c r="E31" s="91">
        <f t="shared" si="1"/>
        <v>200</v>
      </c>
      <c r="F31" s="268">
        <v>320.7817</v>
      </c>
      <c r="G31" s="91">
        <v>2.5</v>
      </c>
      <c r="H31" s="268">
        <f t="shared" si="2"/>
        <v>801.95425</v>
      </c>
      <c r="I31" s="91">
        <f t="shared" si="0"/>
        <v>5</v>
      </c>
      <c r="J31" s="91">
        <f t="shared" si="3"/>
        <v>1000</v>
      </c>
      <c r="K31" s="91">
        <f t="shared" si="11"/>
        <v>198.04575</v>
      </c>
      <c r="L31" s="276">
        <f t="shared" si="5"/>
        <v>0.80195424999999998</v>
      </c>
      <c r="M31" s="88" t="s">
        <v>395</v>
      </c>
      <c r="N31" s="90">
        <v>762.03</v>
      </c>
      <c r="O31" s="89">
        <f t="shared" si="6"/>
        <v>150</v>
      </c>
      <c r="P31" s="88">
        <f t="shared" si="7"/>
        <v>750</v>
      </c>
      <c r="Q31" s="289">
        <f t="shared" si="12"/>
        <v>-51.954250000000002</v>
      </c>
      <c r="R31" s="284"/>
      <c r="S31" s="138"/>
      <c r="U31" s="560"/>
      <c r="V31" s="560"/>
      <c r="W31" s="560"/>
      <c r="X31" s="266"/>
      <c r="Y31" s="17"/>
    </row>
    <row r="32" spans="1:25" ht="14.25" customHeight="1" thickBot="1">
      <c r="A32" s="564"/>
      <c r="B32" s="94" t="s">
        <v>393</v>
      </c>
      <c r="C32" s="93" t="s">
        <v>56</v>
      </c>
      <c r="D32" s="92">
        <v>268.91000000000003</v>
      </c>
      <c r="E32" s="91">
        <f t="shared" si="1"/>
        <v>250</v>
      </c>
      <c r="F32" s="268">
        <v>277.57420000000002</v>
      </c>
      <c r="G32" s="71">
        <v>2.5</v>
      </c>
      <c r="H32" s="271">
        <f t="shared" si="2"/>
        <v>693.93550000000005</v>
      </c>
      <c r="I32" s="71">
        <f t="shared" si="0"/>
        <v>4</v>
      </c>
      <c r="J32" s="71">
        <f t="shared" si="3"/>
        <v>1000</v>
      </c>
      <c r="K32" s="71">
        <f t="shared" si="11"/>
        <v>306.06449999999995</v>
      </c>
      <c r="L32" s="276">
        <f t="shared" si="5"/>
        <v>0.69393550000000004</v>
      </c>
      <c r="M32" s="88" t="s">
        <v>392</v>
      </c>
      <c r="N32" s="90">
        <v>922.03</v>
      </c>
      <c r="O32" s="89">
        <f t="shared" si="6"/>
        <v>150</v>
      </c>
      <c r="P32" s="88">
        <f t="shared" si="7"/>
        <v>600</v>
      </c>
      <c r="Q32" s="289">
        <f t="shared" si="12"/>
        <v>-93.935500000000047</v>
      </c>
      <c r="R32" s="281" t="s">
        <v>343</v>
      </c>
      <c r="S32" s="114">
        <v>8.82</v>
      </c>
      <c r="U32" s="465"/>
      <c r="V32" s="465"/>
      <c r="W32" s="465"/>
      <c r="X32" s="266"/>
    </row>
    <row r="33" spans="1:39" ht="13.5" thickBot="1">
      <c r="A33" s="562" t="s">
        <v>380</v>
      </c>
      <c r="B33" s="84" t="s">
        <v>391</v>
      </c>
      <c r="C33" s="83" t="s">
        <v>390</v>
      </c>
      <c r="D33" s="82">
        <v>774.56</v>
      </c>
      <c r="E33" s="81">
        <f t="shared" si="1"/>
        <v>150</v>
      </c>
      <c r="F33" s="269">
        <v>593.39</v>
      </c>
      <c r="G33" s="91">
        <v>2.5</v>
      </c>
      <c r="H33" s="268">
        <f t="shared" si="2"/>
        <v>1483.4749999999999</v>
      </c>
      <c r="I33" s="91">
        <f t="shared" si="0"/>
        <v>12</v>
      </c>
      <c r="J33" s="91">
        <f t="shared" si="3"/>
        <v>1800</v>
      </c>
      <c r="K33" s="91">
        <f t="shared" si="11"/>
        <v>316.52500000000009</v>
      </c>
      <c r="L33" s="276">
        <f t="shared" si="5"/>
        <v>0.82415277777777773</v>
      </c>
      <c r="M33" s="98" t="s">
        <v>389</v>
      </c>
      <c r="N33" s="80">
        <v>778.62</v>
      </c>
      <c r="O33" s="79">
        <f t="shared" si="6"/>
        <v>150</v>
      </c>
      <c r="P33" s="98">
        <f t="shared" si="7"/>
        <v>1800</v>
      </c>
      <c r="Q33" s="188">
        <f t="shared" si="12"/>
        <v>316.52500000000009</v>
      </c>
      <c r="R33" s="578"/>
      <c r="S33" s="580"/>
      <c r="U33" s="464"/>
      <c r="V33" s="464"/>
      <c r="W33" s="464"/>
      <c r="X33" s="266"/>
    </row>
    <row r="34" spans="1:39" ht="14.25" customHeight="1" thickBot="1">
      <c r="A34" s="564"/>
      <c r="B34" s="94" t="s">
        <v>385</v>
      </c>
      <c r="C34" s="93" t="s">
        <v>384</v>
      </c>
      <c r="D34" s="105">
        <v>894.93</v>
      </c>
      <c r="E34" s="91">
        <f t="shared" si="1"/>
        <v>150</v>
      </c>
      <c r="F34" s="273">
        <v>185.4342</v>
      </c>
      <c r="G34" s="91">
        <v>2.5</v>
      </c>
      <c r="H34" s="268">
        <f t="shared" si="2"/>
        <v>463.58550000000002</v>
      </c>
      <c r="I34" s="91">
        <f t="shared" si="0"/>
        <v>4</v>
      </c>
      <c r="J34" s="91">
        <f t="shared" si="3"/>
        <v>600</v>
      </c>
      <c r="K34" s="91">
        <f t="shared" si="11"/>
        <v>136.41449999999998</v>
      </c>
      <c r="L34" s="276">
        <f t="shared" si="5"/>
        <v>0.77264250000000001</v>
      </c>
      <c r="M34" s="99" t="s">
        <v>383</v>
      </c>
      <c r="N34" s="104">
        <v>975.03499999999997</v>
      </c>
      <c r="O34" s="89">
        <f t="shared" si="6"/>
        <v>150</v>
      </c>
      <c r="P34" s="88">
        <f t="shared" si="7"/>
        <v>600</v>
      </c>
      <c r="Q34" s="289">
        <f t="shared" si="12"/>
        <v>136.41449999999998</v>
      </c>
      <c r="R34" s="596"/>
      <c r="S34" s="597"/>
      <c r="U34" s="465"/>
      <c r="V34" s="465"/>
      <c r="W34" s="465"/>
      <c r="X34" s="266"/>
    </row>
    <row r="35" spans="1:39" ht="14.25" customHeight="1" thickBot="1">
      <c r="A35" s="564"/>
      <c r="B35" s="94" t="s">
        <v>381</v>
      </c>
      <c r="C35" s="93" t="s">
        <v>380</v>
      </c>
      <c r="D35" s="92">
        <v>553.46500000000003</v>
      </c>
      <c r="E35" s="71">
        <f t="shared" si="1"/>
        <v>150</v>
      </c>
      <c r="F35" s="268">
        <v>491.47570000000002</v>
      </c>
      <c r="G35" s="91">
        <v>2.5</v>
      </c>
      <c r="H35" s="268">
        <f t="shared" si="2"/>
        <v>1228.6892500000001</v>
      </c>
      <c r="I35" s="91">
        <f t="shared" si="0"/>
        <v>10</v>
      </c>
      <c r="J35" s="91">
        <f t="shared" si="3"/>
        <v>1500</v>
      </c>
      <c r="K35" s="91">
        <f t="shared" si="11"/>
        <v>271.31074999999987</v>
      </c>
      <c r="L35" s="276">
        <f t="shared" si="5"/>
        <v>0.81912616666666671</v>
      </c>
      <c r="M35" s="88" t="s">
        <v>379</v>
      </c>
      <c r="N35" s="90">
        <v>660.12</v>
      </c>
      <c r="O35" s="115">
        <f t="shared" si="6"/>
        <v>150</v>
      </c>
      <c r="P35" s="69">
        <f t="shared" si="7"/>
        <v>1500</v>
      </c>
      <c r="Q35" s="288">
        <f t="shared" si="12"/>
        <v>271.31074999999987</v>
      </c>
      <c r="R35" s="596"/>
      <c r="S35" s="597"/>
      <c r="U35" s="465"/>
      <c r="V35" s="465"/>
      <c r="W35" s="465"/>
    </row>
    <row r="36" spans="1:39" ht="13.5" thickBot="1">
      <c r="A36" s="562" t="s">
        <v>374</v>
      </c>
      <c r="B36" s="84" t="s">
        <v>378</v>
      </c>
      <c r="C36" s="83" t="s">
        <v>377</v>
      </c>
      <c r="D36" s="82">
        <v>839.23</v>
      </c>
      <c r="E36" s="91">
        <f t="shared" si="1"/>
        <v>150</v>
      </c>
      <c r="F36" s="269">
        <v>213.84829999999999</v>
      </c>
      <c r="G36" s="81">
        <v>2.5</v>
      </c>
      <c r="H36" s="269">
        <f t="shared" si="2"/>
        <v>534.62075000000004</v>
      </c>
      <c r="I36" s="81">
        <f t="shared" si="0"/>
        <v>5</v>
      </c>
      <c r="J36" s="81">
        <f t="shared" si="3"/>
        <v>750</v>
      </c>
      <c r="K36" s="81">
        <f t="shared" si="11"/>
        <v>215.37924999999996</v>
      </c>
      <c r="L36" s="276">
        <f t="shared" si="5"/>
        <v>0.71282766666666675</v>
      </c>
      <c r="M36" s="98" t="s">
        <v>376</v>
      </c>
      <c r="N36" s="80">
        <v>844.89</v>
      </c>
      <c r="O36" s="89">
        <f t="shared" si="6"/>
        <v>150</v>
      </c>
      <c r="P36" s="88">
        <f t="shared" si="7"/>
        <v>750</v>
      </c>
      <c r="Q36" s="289">
        <f t="shared" si="12"/>
        <v>215.37924999999996</v>
      </c>
      <c r="R36" s="578"/>
      <c r="S36" s="580"/>
      <c r="U36" s="465"/>
      <c r="V36" s="465"/>
      <c r="W36" s="465"/>
    </row>
    <row r="37" spans="1:39" ht="14.25" customHeight="1" thickBot="1">
      <c r="A37" s="564"/>
      <c r="B37" s="94" t="s">
        <v>375</v>
      </c>
      <c r="C37" s="93" t="s">
        <v>374</v>
      </c>
      <c r="D37" s="92">
        <v>497.76499999999999</v>
      </c>
      <c r="E37" s="91">
        <f t="shared" si="1"/>
        <v>200</v>
      </c>
      <c r="F37" s="268">
        <v>1151.328</v>
      </c>
      <c r="G37" s="71">
        <v>2.5</v>
      </c>
      <c r="H37" s="271">
        <f t="shared" si="2"/>
        <v>2878.3199999999997</v>
      </c>
      <c r="I37" s="71">
        <f t="shared" si="0"/>
        <v>18</v>
      </c>
      <c r="J37" s="71">
        <f t="shared" si="3"/>
        <v>3600</v>
      </c>
      <c r="K37" s="71">
        <f t="shared" si="11"/>
        <v>721.68000000000029</v>
      </c>
      <c r="L37" s="276">
        <f t="shared" si="5"/>
        <v>0.79953333333333321</v>
      </c>
      <c r="M37" s="88" t="s">
        <v>373</v>
      </c>
      <c r="N37" s="90">
        <v>503.42500000000001</v>
      </c>
      <c r="O37" s="89">
        <f t="shared" si="6"/>
        <v>200</v>
      </c>
      <c r="P37" s="88">
        <f t="shared" si="7"/>
        <v>3600</v>
      </c>
      <c r="Q37" s="289">
        <f t="shared" si="12"/>
        <v>721.68000000000029</v>
      </c>
      <c r="R37" s="579"/>
      <c r="S37" s="581"/>
      <c r="U37" s="465"/>
      <c r="V37" s="465"/>
      <c r="W37" s="465"/>
    </row>
    <row r="38" spans="1:39" ht="13.5" thickBot="1">
      <c r="A38" s="460" t="s">
        <v>371</v>
      </c>
      <c r="B38" s="84" t="s">
        <v>372</v>
      </c>
      <c r="C38" s="83" t="s">
        <v>371</v>
      </c>
      <c r="D38" s="82">
        <v>285.27999999999997</v>
      </c>
      <c r="E38" s="169">
        <f t="shared" si="1"/>
        <v>250</v>
      </c>
      <c r="F38" s="269">
        <v>779.52329999999995</v>
      </c>
      <c r="G38" s="91">
        <v>2.5</v>
      </c>
      <c r="H38" s="268">
        <f t="shared" si="2"/>
        <v>1948.8082499999998</v>
      </c>
      <c r="I38" s="91">
        <f t="shared" si="0"/>
        <v>10</v>
      </c>
      <c r="J38" s="91">
        <f t="shared" si="3"/>
        <v>2500</v>
      </c>
      <c r="K38" s="91">
        <f t="shared" si="11"/>
        <v>551.19175000000018</v>
      </c>
      <c r="L38" s="276">
        <f t="shared" si="5"/>
        <v>0.77952329999999992</v>
      </c>
      <c r="M38" s="98" t="s">
        <v>370</v>
      </c>
      <c r="N38" s="80">
        <v>539.80499999999995</v>
      </c>
      <c r="O38" s="167">
        <f t="shared" si="6"/>
        <v>150</v>
      </c>
      <c r="P38" s="166">
        <f t="shared" si="7"/>
        <v>1500</v>
      </c>
      <c r="Q38" s="228">
        <f t="shared" si="12"/>
        <v>-448.80824999999982</v>
      </c>
      <c r="R38" s="284" t="s">
        <v>480</v>
      </c>
      <c r="S38" s="124" t="s">
        <v>481</v>
      </c>
      <c r="U38" s="465"/>
      <c r="V38" s="465"/>
      <c r="W38" s="465"/>
    </row>
    <row r="39" spans="1:39" ht="13.5" thickBot="1">
      <c r="A39" s="562" t="s">
        <v>60</v>
      </c>
      <c r="B39" s="84" t="s">
        <v>368</v>
      </c>
      <c r="C39" s="83" t="s">
        <v>367</v>
      </c>
      <c r="D39" s="82">
        <v>239.47</v>
      </c>
      <c r="E39" s="91">
        <f t="shared" si="1"/>
        <v>250</v>
      </c>
      <c r="F39" s="269">
        <v>886.15449999999998</v>
      </c>
      <c r="G39" s="81">
        <v>2.5</v>
      </c>
      <c r="H39" s="269">
        <f t="shared" si="2"/>
        <v>2215.38625</v>
      </c>
      <c r="I39" s="81">
        <f t="shared" si="0"/>
        <v>11</v>
      </c>
      <c r="J39" s="81">
        <f t="shared" si="3"/>
        <v>2750</v>
      </c>
      <c r="K39" s="81">
        <f t="shared" si="11"/>
        <v>534.61374999999998</v>
      </c>
      <c r="L39" s="276">
        <f t="shared" si="5"/>
        <v>0.80559500000000006</v>
      </c>
      <c r="M39" s="98" t="s">
        <v>366</v>
      </c>
      <c r="N39" s="80">
        <v>585.61500000000001</v>
      </c>
      <c r="O39" s="89">
        <f t="shared" si="6"/>
        <v>150</v>
      </c>
      <c r="P39" s="88">
        <f t="shared" si="7"/>
        <v>1650</v>
      </c>
      <c r="Q39" s="289">
        <f t="shared" si="12"/>
        <v>-565.38625000000002</v>
      </c>
      <c r="R39" s="279" t="s">
        <v>20</v>
      </c>
      <c r="S39" s="118">
        <v>420</v>
      </c>
      <c r="U39" s="465"/>
      <c r="V39" s="465"/>
      <c r="W39" s="465"/>
    </row>
    <row r="40" spans="1:39" ht="14.25" customHeight="1" thickBot="1">
      <c r="A40" s="563"/>
      <c r="B40" s="74" t="s">
        <v>364</v>
      </c>
      <c r="C40" s="73" t="s">
        <v>61</v>
      </c>
      <c r="D40" s="72">
        <v>381.34</v>
      </c>
      <c r="E40" s="91">
        <f t="shared" si="1"/>
        <v>200</v>
      </c>
      <c r="F40" s="271">
        <v>233.80699999999999</v>
      </c>
      <c r="G40" s="71">
        <v>2.5</v>
      </c>
      <c r="H40" s="271">
        <f t="shared" si="2"/>
        <v>584.51749999999993</v>
      </c>
      <c r="I40" s="71">
        <f t="shared" si="0"/>
        <v>4</v>
      </c>
      <c r="J40" s="71">
        <f t="shared" si="3"/>
        <v>800</v>
      </c>
      <c r="K40" s="71">
        <f t="shared" si="11"/>
        <v>215.48250000000007</v>
      </c>
      <c r="L40" s="276">
        <f t="shared" si="5"/>
        <v>0.73064687499999992</v>
      </c>
      <c r="M40" s="69" t="s">
        <v>328</v>
      </c>
      <c r="N40" s="70">
        <v>673.16499999999996</v>
      </c>
      <c r="O40" s="89">
        <f t="shared" si="6"/>
        <v>150</v>
      </c>
      <c r="P40" s="88">
        <f t="shared" si="7"/>
        <v>600</v>
      </c>
      <c r="Q40" s="289">
        <f t="shared" si="12"/>
        <v>15.482500000000073</v>
      </c>
      <c r="R40" s="281" t="s">
        <v>28</v>
      </c>
      <c r="S40" s="114">
        <v>37.32</v>
      </c>
      <c r="U40" s="18"/>
      <c r="V40" s="18"/>
      <c r="W40" s="465"/>
    </row>
    <row r="41" spans="1:39" ht="13.5" thickBot="1">
      <c r="A41" s="564" t="s">
        <v>363</v>
      </c>
      <c r="B41" s="62" t="s">
        <v>362</v>
      </c>
      <c r="C41" s="111" t="s">
        <v>74</v>
      </c>
      <c r="D41" s="92">
        <v>632.29499999999996</v>
      </c>
      <c r="E41" s="81">
        <f t="shared" si="1"/>
        <v>150</v>
      </c>
      <c r="F41" s="268">
        <v>416.14780000000002</v>
      </c>
      <c r="G41" s="91">
        <v>2.5</v>
      </c>
      <c r="H41" s="268">
        <f t="shared" si="2"/>
        <v>1040.3695</v>
      </c>
      <c r="I41" s="91">
        <f t="shared" si="0"/>
        <v>9</v>
      </c>
      <c r="J41" s="91">
        <f t="shared" si="3"/>
        <v>1350</v>
      </c>
      <c r="K41" s="91">
        <f t="shared" si="11"/>
        <v>309.63049999999998</v>
      </c>
      <c r="L41" s="276">
        <f t="shared" si="5"/>
        <v>0.77064407407407409</v>
      </c>
      <c r="M41" s="88" t="s">
        <v>361</v>
      </c>
      <c r="N41" s="90">
        <v>692.19500000000005</v>
      </c>
      <c r="O41" s="79">
        <f t="shared" si="6"/>
        <v>150</v>
      </c>
      <c r="P41" s="98">
        <f t="shared" si="7"/>
        <v>1350</v>
      </c>
      <c r="Q41" s="188">
        <f t="shared" si="12"/>
        <v>309.63049999999998</v>
      </c>
      <c r="S41" s="357"/>
      <c r="U41" s="18"/>
      <c r="V41" s="18"/>
      <c r="W41" s="465"/>
    </row>
    <row r="42" spans="1:39" ht="14.25" customHeight="1" thickBot="1">
      <c r="A42" s="564"/>
      <c r="B42" s="94" t="s">
        <v>360</v>
      </c>
      <c r="C42" s="93" t="s">
        <v>55</v>
      </c>
      <c r="D42" s="105">
        <v>566.26</v>
      </c>
      <c r="E42" s="91">
        <f t="shared" si="1"/>
        <v>150</v>
      </c>
      <c r="F42" s="273">
        <v>424.66829999999999</v>
      </c>
      <c r="G42" s="91">
        <v>2.5</v>
      </c>
      <c r="H42" s="268">
        <f t="shared" si="2"/>
        <v>1061.67075</v>
      </c>
      <c r="I42" s="91">
        <f t="shared" si="0"/>
        <v>9</v>
      </c>
      <c r="J42" s="91">
        <f t="shared" si="3"/>
        <v>1350</v>
      </c>
      <c r="K42" s="91">
        <f t="shared" si="11"/>
        <v>288.32925</v>
      </c>
      <c r="L42" s="276">
        <f t="shared" si="5"/>
        <v>0.7864227777777778</v>
      </c>
      <c r="M42" s="99" t="s">
        <v>359</v>
      </c>
      <c r="N42" s="104">
        <v>1033.6600000000001</v>
      </c>
      <c r="O42" s="89">
        <f t="shared" si="6"/>
        <v>150</v>
      </c>
      <c r="P42" s="88">
        <f t="shared" si="7"/>
        <v>1350</v>
      </c>
      <c r="Q42" s="302">
        <f t="shared" si="12"/>
        <v>288.32925</v>
      </c>
      <c r="R42" s="359" t="s">
        <v>22</v>
      </c>
      <c r="S42" s="461">
        <v>30</v>
      </c>
      <c r="U42" s="465"/>
      <c r="V42" s="465"/>
      <c r="W42" s="465"/>
    </row>
    <row r="43" spans="1:39" ht="14.25" customHeight="1" thickBot="1">
      <c r="A43" s="564"/>
      <c r="B43" s="94" t="s">
        <v>358</v>
      </c>
      <c r="C43" s="93" t="s">
        <v>62</v>
      </c>
      <c r="D43" s="92">
        <v>174.54</v>
      </c>
      <c r="E43" s="71">
        <f t="shared" si="1"/>
        <v>250</v>
      </c>
      <c r="F43" s="268">
        <v>80.336669999999998</v>
      </c>
      <c r="G43" s="91">
        <v>2.5</v>
      </c>
      <c r="H43" s="268">
        <f t="shared" si="2"/>
        <v>200.84167500000001</v>
      </c>
      <c r="I43" s="91">
        <f t="shared" si="0"/>
        <v>1</v>
      </c>
      <c r="J43" s="91">
        <f t="shared" si="3"/>
        <v>250</v>
      </c>
      <c r="K43" s="91">
        <f t="shared" si="11"/>
        <v>49.158324999999991</v>
      </c>
      <c r="L43" s="276">
        <f t="shared" si="5"/>
        <v>0.80336669999999999</v>
      </c>
      <c r="M43" s="88" t="s">
        <v>357</v>
      </c>
      <c r="N43" s="90">
        <v>811.21</v>
      </c>
      <c r="O43" s="115">
        <f t="shared" si="6"/>
        <v>150</v>
      </c>
      <c r="P43" s="69">
        <f t="shared" si="7"/>
        <v>150</v>
      </c>
      <c r="Q43" s="288">
        <f t="shared" si="12"/>
        <v>-50.841675000000009</v>
      </c>
      <c r="R43" s="356"/>
      <c r="S43" s="358"/>
      <c r="U43" s="465"/>
      <c r="V43" s="465"/>
      <c r="W43" s="465"/>
      <c r="Y43" s="557" t="s">
        <v>573</v>
      </c>
      <c r="Z43" s="558"/>
      <c r="AA43" s="558"/>
      <c r="AB43" s="558"/>
      <c r="AC43" s="558"/>
      <c r="AD43" s="559"/>
      <c r="AE43" s="154"/>
      <c r="AJ43" s="486"/>
      <c r="AK43" s="486"/>
      <c r="AL43" s="486"/>
      <c r="AM43" s="486"/>
    </row>
    <row r="44" spans="1:39" ht="13.5" thickBot="1">
      <c r="A44" s="460" t="s">
        <v>355</v>
      </c>
      <c r="B44" s="84" t="s">
        <v>356</v>
      </c>
      <c r="C44" s="83" t="s">
        <v>355</v>
      </c>
      <c r="D44" s="82">
        <v>517.28</v>
      </c>
      <c r="E44" s="91">
        <f t="shared" si="1"/>
        <v>200</v>
      </c>
      <c r="F44" s="269">
        <v>67.241829999999993</v>
      </c>
      <c r="G44" s="169">
        <v>2.5</v>
      </c>
      <c r="H44" s="276">
        <f t="shared" si="2"/>
        <v>168.10457499999998</v>
      </c>
      <c r="I44" s="169">
        <f t="shared" si="0"/>
        <v>2</v>
      </c>
      <c r="J44" s="169">
        <f t="shared" si="3"/>
        <v>400</v>
      </c>
      <c r="K44" s="169">
        <f t="shared" si="11"/>
        <v>231.89542500000002</v>
      </c>
      <c r="L44" s="276">
        <f t="shared" si="5"/>
        <v>0.42026143749999995</v>
      </c>
      <c r="M44" s="98" t="s">
        <v>354</v>
      </c>
      <c r="N44" s="80">
        <v>607.995</v>
      </c>
      <c r="O44" s="89">
        <f t="shared" si="6"/>
        <v>150</v>
      </c>
      <c r="P44" s="88">
        <f t="shared" si="7"/>
        <v>300</v>
      </c>
      <c r="Q44" s="289">
        <f t="shared" si="12"/>
        <v>131.89542500000002</v>
      </c>
      <c r="R44" s="582"/>
      <c r="S44" s="583"/>
      <c r="Y44" s="331" t="s">
        <v>491</v>
      </c>
      <c r="Z44" s="333" t="s">
        <v>493</v>
      </c>
      <c r="AA44" s="333" t="s">
        <v>494</v>
      </c>
      <c r="AB44" s="333" t="s">
        <v>495</v>
      </c>
      <c r="AC44" s="333" t="s">
        <v>496</v>
      </c>
      <c r="AD44" s="334" t="s">
        <v>562</v>
      </c>
      <c r="AE44" s="290" t="s">
        <v>415</v>
      </c>
      <c r="AJ44" s="486"/>
      <c r="AK44" s="486"/>
      <c r="AL44" s="486"/>
      <c r="AM44" s="491"/>
    </row>
    <row r="45" spans="1:39" ht="13.5" thickBot="1">
      <c r="A45" s="562" t="s">
        <v>349</v>
      </c>
      <c r="B45" s="84" t="s">
        <v>353</v>
      </c>
      <c r="C45" s="83" t="s">
        <v>342</v>
      </c>
      <c r="D45" s="82">
        <v>592.98500000000001</v>
      </c>
      <c r="E45" s="81">
        <f t="shared" si="1"/>
        <v>150</v>
      </c>
      <c r="F45" s="269">
        <v>175.91919999999999</v>
      </c>
      <c r="G45" s="91">
        <v>2.5</v>
      </c>
      <c r="H45" s="268">
        <f t="shared" si="2"/>
        <v>439.798</v>
      </c>
      <c r="I45" s="91">
        <f t="shared" si="0"/>
        <v>4</v>
      </c>
      <c r="J45" s="91">
        <f t="shared" si="3"/>
        <v>600</v>
      </c>
      <c r="K45" s="91">
        <f t="shared" si="11"/>
        <v>160.202</v>
      </c>
      <c r="L45" s="276">
        <f t="shared" si="5"/>
        <v>0.73299666666666663</v>
      </c>
      <c r="M45" s="98" t="s">
        <v>352</v>
      </c>
      <c r="N45" s="80">
        <v>1051.23</v>
      </c>
      <c r="O45" s="79">
        <f t="shared" si="6"/>
        <v>150</v>
      </c>
      <c r="P45" s="98">
        <f t="shared" si="7"/>
        <v>600</v>
      </c>
      <c r="Q45" s="188">
        <f t="shared" si="12"/>
        <v>160.202</v>
      </c>
      <c r="R45" s="584"/>
      <c r="S45" s="587"/>
      <c r="Y45" s="59" t="s">
        <v>84</v>
      </c>
      <c r="Z45" s="335">
        <v>0</v>
      </c>
      <c r="AA45" s="335">
        <v>0</v>
      </c>
      <c r="AB45" s="336">
        <v>0</v>
      </c>
      <c r="AC45" s="336">
        <v>0</v>
      </c>
      <c r="AD45" s="337">
        <v>0</v>
      </c>
      <c r="AE45" s="338">
        <f>SUM(Z45:AD45)</f>
        <v>0</v>
      </c>
      <c r="AJ45" s="486"/>
      <c r="AK45" s="486"/>
      <c r="AL45" s="486"/>
      <c r="AM45" s="486"/>
    </row>
    <row r="46" spans="1:39" ht="14.25" customHeight="1" thickBot="1">
      <c r="A46" s="564"/>
      <c r="B46" s="94" t="s">
        <v>350</v>
      </c>
      <c r="C46" s="93" t="s">
        <v>349</v>
      </c>
      <c r="D46" s="105">
        <v>374.84</v>
      </c>
      <c r="E46" s="91">
        <f t="shared" si="1"/>
        <v>200</v>
      </c>
      <c r="F46" s="273">
        <v>115.1143</v>
      </c>
      <c r="G46" s="91">
        <v>2.5</v>
      </c>
      <c r="H46" s="268">
        <f t="shared" si="2"/>
        <v>287.78575000000001</v>
      </c>
      <c r="I46" s="91">
        <f t="shared" si="0"/>
        <v>2</v>
      </c>
      <c r="J46" s="91">
        <f t="shared" si="3"/>
        <v>400</v>
      </c>
      <c r="K46" s="91">
        <f t="shared" si="11"/>
        <v>112.21424999999999</v>
      </c>
      <c r="L46" s="276">
        <f t="shared" si="5"/>
        <v>0.71946437500000004</v>
      </c>
      <c r="M46" s="99" t="s">
        <v>348</v>
      </c>
      <c r="N46" s="104">
        <v>838.745</v>
      </c>
      <c r="O46" s="89">
        <f t="shared" si="6"/>
        <v>150</v>
      </c>
      <c r="P46" s="88">
        <f t="shared" si="7"/>
        <v>300</v>
      </c>
      <c r="Q46" s="289">
        <f t="shared" si="12"/>
        <v>12.214249999999993</v>
      </c>
      <c r="R46" s="585"/>
      <c r="S46" s="588"/>
      <c r="U46" s="577"/>
      <c r="V46" s="577"/>
      <c r="W46" s="577"/>
      <c r="Y46" s="59" t="s">
        <v>85</v>
      </c>
      <c r="Z46" s="335">
        <v>1</v>
      </c>
      <c r="AA46" s="335">
        <v>0</v>
      </c>
      <c r="AB46" s="335">
        <v>0</v>
      </c>
      <c r="AC46" s="335">
        <v>0</v>
      </c>
      <c r="AD46" s="337">
        <v>0</v>
      </c>
      <c r="AE46" s="59">
        <f t="shared" ref="AE46:AE56" si="13">SUM(Z46:AD46)</f>
        <v>1</v>
      </c>
      <c r="AJ46" s="486"/>
      <c r="AK46" s="486"/>
      <c r="AL46" s="486"/>
      <c r="AM46" s="486"/>
    </row>
    <row r="47" spans="1:39" ht="14.25" customHeight="1" thickBot="1">
      <c r="A47" s="564"/>
      <c r="B47" s="94" t="s">
        <v>347</v>
      </c>
      <c r="C47" s="93" t="s">
        <v>335</v>
      </c>
      <c r="D47" s="105">
        <v>675.17499999999995</v>
      </c>
      <c r="E47" s="91">
        <f t="shared" si="1"/>
        <v>150</v>
      </c>
      <c r="F47" s="273">
        <v>87.5685</v>
      </c>
      <c r="G47" s="91">
        <v>2.5</v>
      </c>
      <c r="H47" s="268">
        <f t="shared" si="2"/>
        <v>218.92124999999999</v>
      </c>
      <c r="I47" s="91">
        <f t="shared" si="0"/>
        <v>2</v>
      </c>
      <c r="J47" s="91">
        <f t="shared" si="3"/>
        <v>300</v>
      </c>
      <c r="K47" s="91">
        <f t="shared" si="11"/>
        <v>81.078750000000014</v>
      </c>
      <c r="L47" s="276">
        <f t="shared" si="5"/>
        <v>0.72973749999999993</v>
      </c>
      <c r="M47" s="99" t="s">
        <v>346</v>
      </c>
      <c r="N47" s="104">
        <v>792.93499999999995</v>
      </c>
      <c r="O47" s="89">
        <f t="shared" si="6"/>
        <v>150</v>
      </c>
      <c r="P47" s="88">
        <f t="shared" si="7"/>
        <v>300</v>
      </c>
      <c r="Q47" s="289">
        <f t="shared" si="12"/>
        <v>81.078750000000014</v>
      </c>
      <c r="R47" s="585"/>
      <c r="S47" s="588"/>
      <c r="U47" s="266"/>
      <c r="V47" s="266"/>
      <c r="W47" s="266"/>
      <c r="Y47" s="59" t="s">
        <v>86</v>
      </c>
      <c r="Z47" s="335">
        <v>0</v>
      </c>
      <c r="AA47" s="335">
        <v>0</v>
      </c>
      <c r="AB47" s="335">
        <v>0</v>
      </c>
      <c r="AC47" s="335">
        <v>0</v>
      </c>
      <c r="AD47" s="337">
        <v>0</v>
      </c>
      <c r="AE47" s="59">
        <f t="shared" si="13"/>
        <v>0</v>
      </c>
      <c r="AG47" s="481" t="s">
        <v>498</v>
      </c>
      <c r="AH47" s="481" t="s">
        <v>499</v>
      </c>
      <c r="AI47" s="340" t="s">
        <v>500</v>
      </c>
      <c r="AJ47" s="486"/>
      <c r="AK47" s="486"/>
    </row>
    <row r="48" spans="1:39" ht="14.25" customHeight="1" thickBot="1">
      <c r="A48" s="564"/>
      <c r="B48" s="94" t="s">
        <v>339</v>
      </c>
      <c r="C48" s="93" t="s">
        <v>338</v>
      </c>
      <c r="D48" s="92">
        <v>768.38499999999999</v>
      </c>
      <c r="E48" s="71">
        <f t="shared" si="1"/>
        <v>150</v>
      </c>
      <c r="F48" s="268">
        <v>46.164000000000001</v>
      </c>
      <c r="G48" s="91">
        <v>2.5</v>
      </c>
      <c r="H48" s="268">
        <f t="shared" si="2"/>
        <v>115.41</v>
      </c>
      <c r="I48" s="91">
        <f t="shared" si="0"/>
        <v>1</v>
      </c>
      <c r="J48" s="91">
        <f t="shared" si="3"/>
        <v>150</v>
      </c>
      <c r="K48" s="91">
        <f t="shared" si="11"/>
        <v>34.590000000000003</v>
      </c>
      <c r="L48" s="276">
        <f t="shared" si="5"/>
        <v>0.76939999999999997</v>
      </c>
      <c r="M48" s="88" t="s">
        <v>345</v>
      </c>
      <c r="N48" s="90">
        <v>934.80499999999995</v>
      </c>
      <c r="O48" s="115">
        <f t="shared" si="6"/>
        <v>150</v>
      </c>
      <c r="P48" s="69">
        <f t="shared" si="7"/>
        <v>150</v>
      </c>
      <c r="Q48" s="288">
        <f t="shared" si="12"/>
        <v>34.590000000000003</v>
      </c>
      <c r="R48" s="586"/>
      <c r="S48" s="589"/>
      <c r="U48" s="266"/>
      <c r="V48" s="266"/>
      <c r="W48" s="266"/>
      <c r="Y48" s="59" t="s">
        <v>87</v>
      </c>
      <c r="Z48" s="335">
        <v>0</v>
      </c>
      <c r="AA48" s="335">
        <v>3</v>
      </c>
      <c r="AB48" s="335">
        <v>0</v>
      </c>
      <c r="AC48" s="335">
        <v>0</v>
      </c>
      <c r="AD48" s="337">
        <v>0</v>
      </c>
      <c r="AE48" s="59">
        <f t="shared" si="13"/>
        <v>3</v>
      </c>
      <c r="AG48" s="60" t="s">
        <v>493</v>
      </c>
      <c r="AH48" s="60">
        <v>100</v>
      </c>
      <c r="AI48" s="492">
        <v>15</v>
      </c>
      <c r="AJ48" s="486"/>
      <c r="AK48" s="486"/>
    </row>
    <row r="49" spans="1:39" ht="13.5" thickBot="1">
      <c r="A49" s="562" t="s">
        <v>344</v>
      </c>
      <c r="B49" s="84" t="s">
        <v>343</v>
      </c>
      <c r="C49" s="83" t="s">
        <v>342</v>
      </c>
      <c r="D49" s="82">
        <v>592.98500000000001</v>
      </c>
      <c r="E49" s="91">
        <f t="shared" si="1"/>
        <v>150</v>
      </c>
      <c r="F49" s="269">
        <v>175.91919999999999</v>
      </c>
      <c r="G49" s="81">
        <v>2.5</v>
      </c>
      <c r="H49" s="269">
        <f t="shared" si="2"/>
        <v>439.798</v>
      </c>
      <c r="I49" s="81">
        <f t="shared" si="0"/>
        <v>4</v>
      </c>
      <c r="J49" s="81">
        <f t="shared" si="3"/>
        <v>600</v>
      </c>
      <c r="K49" s="81">
        <f t="shared" si="11"/>
        <v>160.202</v>
      </c>
      <c r="L49" s="276">
        <f t="shared" si="5"/>
        <v>0.73299666666666663</v>
      </c>
      <c r="M49" s="98" t="s">
        <v>341</v>
      </c>
      <c r="N49" s="80">
        <v>992.44500000000005</v>
      </c>
      <c r="O49" s="89">
        <f t="shared" si="6"/>
        <v>150</v>
      </c>
      <c r="P49" s="88">
        <f t="shared" si="7"/>
        <v>600</v>
      </c>
      <c r="Q49" s="289">
        <f t="shared" si="12"/>
        <v>160.202</v>
      </c>
      <c r="R49" s="213"/>
      <c r="S49" s="75"/>
      <c r="U49" s="266"/>
      <c r="V49" s="266"/>
      <c r="W49" s="266"/>
      <c r="Y49" s="59" t="s">
        <v>88</v>
      </c>
      <c r="Z49" s="335">
        <v>1</v>
      </c>
      <c r="AA49" s="335">
        <v>0</v>
      </c>
      <c r="AB49" s="335">
        <v>0</v>
      </c>
      <c r="AC49" s="335">
        <v>0</v>
      </c>
      <c r="AD49" s="337">
        <v>0</v>
      </c>
      <c r="AE49" s="59">
        <f t="shared" si="13"/>
        <v>1</v>
      </c>
      <c r="AF49" s="465"/>
      <c r="AG49" s="341" t="s">
        <v>494</v>
      </c>
      <c r="AH49" s="341">
        <v>150</v>
      </c>
      <c r="AI49" s="493">
        <v>16.3689</v>
      </c>
      <c r="AJ49" s="486"/>
      <c r="AK49" s="486"/>
      <c r="AM49" s="486"/>
    </row>
    <row r="50" spans="1:39" ht="14.25" customHeight="1" thickBot="1">
      <c r="A50" s="564"/>
      <c r="B50" s="94" t="s">
        <v>339</v>
      </c>
      <c r="C50" s="93" t="s">
        <v>338</v>
      </c>
      <c r="D50" s="92">
        <v>768.38499999999999</v>
      </c>
      <c r="E50" s="91">
        <f t="shared" si="1"/>
        <v>150</v>
      </c>
      <c r="F50" s="268">
        <v>46.164000000000001</v>
      </c>
      <c r="G50" s="71">
        <v>2.5</v>
      </c>
      <c r="H50" s="271">
        <f t="shared" si="2"/>
        <v>115.41</v>
      </c>
      <c r="I50" s="71">
        <f t="shared" si="0"/>
        <v>1</v>
      </c>
      <c r="J50" s="71">
        <f t="shared" si="3"/>
        <v>150</v>
      </c>
      <c r="K50" s="71">
        <f t="shared" si="11"/>
        <v>34.590000000000003</v>
      </c>
      <c r="L50" s="276">
        <f t="shared" si="5"/>
        <v>0.76939999999999997</v>
      </c>
      <c r="M50" s="88" t="s">
        <v>337</v>
      </c>
      <c r="N50" s="90">
        <v>817.04499999999996</v>
      </c>
      <c r="O50" s="89">
        <f t="shared" si="6"/>
        <v>150</v>
      </c>
      <c r="P50" s="88">
        <f t="shared" si="7"/>
        <v>150</v>
      </c>
      <c r="Q50" s="289">
        <f t="shared" si="12"/>
        <v>34.590000000000003</v>
      </c>
      <c r="R50" s="465"/>
      <c r="S50" s="85"/>
      <c r="U50" s="266"/>
      <c r="V50" s="266"/>
      <c r="W50" s="266"/>
      <c r="Y50" s="59" t="s">
        <v>89</v>
      </c>
      <c r="Z50" s="335">
        <v>1</v>
      </c>
      <c r="AA50" s="335">
        <v>0</v>
      </c>
      <c r="AB50" s="335">
        <v>0</v>
      </c>
      <c r="AC50" s="335">
        <v>0</v>
      </c>
      <c r="AD50" s="337">
        <v>0</v>
      </c>
      <c r="AE50" s="59">
        <f t="shared" si="13"/>
        <v>1</v>
      </c>
      <c r="AF50" s="464"/>
      <c r="AG50" s="341" t="s">
        <v>495</v>
      </c>
      <c r="AH50" s="341">
        <v>200</v>
      </c>
      <c r="AI50" s="493">
        <v>16.746700000000001</v>
      </c>
      <c r="AJ50" s="486"/>
      <c r="AK50" s="486"/>
      <c r="AM50" s="486"/>
    </row>
    <row r="51" spans="1:39" ht="13.5" thickBot="1">
      <c r="A51" s="562" t="s">
        <v>340</v>
      </c>
      <c r="B51" s="84" t="s">
        <v>339</v>
      </c>
      <c r="C51" s="83" t="s">
        <v>338</v>
      </c>
      <c r="D51" s="82">
        <v>768.38499999999999</v>
      </c>
      <c r="E51" s="81">
        <f t="shared" si="1"/>
        <v>150</v>
      </c>
      <c r="F51" s="269">
        <v>46.164000000000001</v>
      </c>
      <c r="G51" s="91">
        <v>2.5</v>
      </c>
      <c r="H51" s="268">
        <f t="shared" si="2"/>
        <v>115.41</v>
      </c>
      <c r="I51" s="91">
        <f t="shared" si="0"/>
        <v>1</v>
      </c>
      <c r="J51" s="91">
        <f t="shared" si="3"/>
        <v>150</v>
      </c>
      <c r="K51" s="91">
        <f t="shared" si="11"/>
        <v>34.590000000000003</v>
      </c>
      <c r="L51" s="276">
        <f t="shared" si="5"/>
        <v>0.76939999999999997</v>
      </c>
      <c r="M51" s="98" t="s">
        <v>337</v>
      </c>
      <c r="N51" s="80">
        <v>817.04499999999996</v>
      </c>
      <c r="O51" s="79">
        <f t="shared" si="6"/>
        <v>150</v>
      </c>
      <c r="P51" s="98">
        <f t="shared" si="7"/>
        <v>150</v>
      </c>
      <c r="Q51" s="188">
        <f t="shared" si="12"/>
        <v>34.590000000000003</v>
      </c>
      <c r="R51" s="465"/>
      <c r="S51" s="85"/>
      <c r="U51" s="266"/>
      <c r="V51" s="266"/>
      <c r="W51" s="266"/>
      <c r="Y51" s="59" t="s">
        <v>90</v>
      </c>
      <c r="Z51" s="335">
        <v>1</v>
      </c>
      <c r="AA51" s="335">
        <v>0</v>
      </c>
      <c r="AB51" s="335">
        <v>0</v>
      </c>
      <c r="AC51" s="335">
        <v>0</v>
      </c>
      <c r="AD51" s="337">
        <v>0</v>
      </c>
      <c r="AE51" s="59">
        <f t="shared" si="13"/>
        <v>1</v>
      </c>
      <c r="AF51" s="464"/>
      <c r="AG51" s="341" t="s">
        <v>496</v>
      </c>
      <c r="AH51" s="341">
        <v>250</v>
      </c>
      <c r="AI51" s="493">
        <v>16.886600000000001</v>
      </c>
      <c r="AJ51" s="486"/>
      <c r="AK51" s="486"/>
      <c r="AM51" s="486"/>
    </row>
    <row r="52" spans="1:39" ht="14.25" customHeight="1" thickBot="1">
      <c r="A52" s="564"/>
      <c r="B52" s="94" t="s">
        <v>30</v>
      </c>
      <c r="C52" s="93" t="s">
        <v>326</v>
      </c>
      <c r="D52" s="92">
        <v>317.27</v>
      </c>
      <c r="E52" s="71">
        <f t="shared" si="1"/>
        <v>200</v>
      </c>
      <c r="F52" s="268">
        <v>136.87530000000001</v>
      </c>
      <c r="G52" s="91">
        <v>2.5</v>
      </c>
      <c r="H52" s="268">
        <f t="shared" si="2"/>
        <v>342.18825000000004</v>
      </c>
      <c r="I52" s="91">
        <f t="shared" si="0"/>
        <v>3</v>
      </c>
      <c r="J52" s="91">
        <f t="shared" si="3"/>
        <v>600</v>
      </c>
      <c r="K52" s="91">
        <f t="shared" si="11"/>
        <v>257.81174999999996</v>
      </c>
      <c r="L52" s="276">
        <f t="shared" si="5"/>
        <v>0.57031375000000006</v>
      </c>
      <c r="M52" s="88" t="s">
        <v>325</v>
      </c>
      <c r="N52" s="90">
        <v>518.48</v>
      </c>
      <c r="O52" s="115">
        <f t="shared" si="6"/>
        <v>200</v>
      </c>
      <c r="P52" s="69">
        <f t="shared" si="7"/>
        <v>600</v>
      </c>
      <c r="Q52" s="288">
        <f t="shared" si="12"/>
        <v>257.81174999999996</v>
      </c>
      <c r="R52" s="266"/>
      <c r="S52" s="97"/>
      <c r="U52" s="266"/>
      <c r="V52" s="266"/>
      <c r="W52" s="266"/>
      <c r="Y52" s="59" t="s">
        <v>91</v>
      </c>
      <c r="Z52" s="335">
        <v>1</v>
      </c>
      <c r="AA52" s="335">
        <v>0</v>
      </c>
      <c r="AB52" s="337">
        <v>0</v>
      </c>
      <c r="AC52" s="337">
        <v>0</v>
      </c>
      <c r="AD52" s="337">
        <v>0</v>
      </c>
      <c r="AE52" s="59">
        <f t="shared" si="13"/>
        <v>1</v>
      </c>
      <c r="AF52" s="465"/>
      <c r="AG52" s="342" t="s">
        <v>562</v>
      </c>
      <c r="AH52" s="342">
        <v>300</v>
      </c>
      <c r="AI52" s="494">
        <v>17</v>
      </c>
      <c r="AJ52" s="486"/>
      <c r="AK52" s="486"/>
      <c r="AM52" s="486"/>
    </row>
    <row r="53" spans="1:39" ht="13.5" thickBot="1">
      <c r="A53" s="562" t="s">
        <v>336</v>
      </c>
      <c r="B53" s="84" t="s">
        <v>28</v>
      </c>
      <c r="C53" s="83" t="s">
        <v>335</v>
      </c>
      <c r="D53" s="82">
        <v>675.17499999999995</v>
      </c>
      <c r="E53" s="91">
        <f t="shared" si="1"/>
        <v>150</v>
      </c>
      <c r="F53" s="269">
        <v>87.5685</v>
      </c>
      <c r="G53" s="81">
        <v>2.5</v>
      </c>
      <c r="H53" s="269">
        <f t="shared" si="2"/>
        <v>218.92124999999999</v>
      </c>
      <c r="I53" s="81">
        <f t="shared" si="0"/>
        <v>2</v>
      </c>
      <c r="J53" s="81">
        <f t="shared" si="3"/>
        <v>300</v>
      </c>
      <c r="K53" s="81">
        <f t="shared" si="11"/>
        <v>81.078750000000014</v>
      </c>
      <c r="L53" s="276">
        <f t="shared" si="5"/>
        <v>0.72973749999999993</v>
      </c>
      <c r="M53" s="98" t="s">
        <v>334</v>
      </c>
      <c r="N53" s="80">
        <v>792.93499999999995</v>
      </c>
      <c r="O53" s="89">
        <f t="shared" si="6"/>
        <v>150</v>
      </c>
      <c r="P53" s="88">
        <f t="shared" si="7"/>
        <v>300</v>
      </c>
      <c r="Q53" s="289">
        <f t="shared" si="12"/>
        <v>81.078750000000014</v>
      </c>
      <c r="R53" s="266"/>
      <c r="S53" s="97"/>
      <c r="U53" s="266"/>
      <c r="V53" s="266"/>
      <c r="W53" s="266"/>
      <c r="Y53" s="59" t="s">
        <v>92</v>
      </c>
      <c r="Z53" s="337">
        <v>1</v>
      </c>
      <c r="AA53" s="337">
        <v>0</v>
      </c>
      <c r="AB53" s="337">
        <v>0</v>
      </c>
      <c r="AC53" s="337">
        <v>0</v>
      </c>
      <c r="AD53" s="337">
        <v>0</v>
      </c>
      <c r="AE53" s="59">
        <f t="shared" si="13"/>
        <v>1</v>
      </c>
      <c r="AF53" s="465"/>
      <c r="AG53" s="486"/>
      <c r="AH53" s="486"/>
      <c r="AJ53" s="486"/>
      <c r="AK53" s="486"/>
      <c r="AM53" s="486"/>
    </row>
    <row r="54" spans="1:39" ht="13.5" thickBot="1">
      <c r="A54" s="564"/>
      <c r="B54" s="94" t="s">
        <v>333</v>
      </c>
      <c r="C54" s="93" t="s">
        <v>332</v>
      </c>
      <c r="D54" s="92">
        <v>300.33499999999998</v>
      </c>
      <c r="E54" s="91">
        <f t="shared" si="1"/>
        <v>200</v>
      </c>
      <c r="F54" s="268">
        <v>33.29833</v>
      </c>
      <c r="G54" s="71">
        <v>2.5</v>
      </c>
      <c r="H54" s="271">
        <f t="shared" si="2"/>
        <v>83.245824999999996</v>
      </c>
      <c r="I54" s="71">
        <f t="shared" si="0"/>
        <v>1</v>
      </c>
      <c r="J54" s="71">
        <f t="shared" si="3"/>
        <v>200</v>
      </c>
      <c r="K54" s="71">
        <f t="shared" si="11"/>
        <v>116.754175</v>
      </c>
      <c r="L54" s="276">
        <f t="shared" si="5"/>
        <v>0.41622912499999998</v>
      </c>
      <c r="M54" s="88" t="s">
        <v>331</v>
      </c>
      <c r="N54" s="90">
        <v>524.75</v>
      </c>
      <c r="O54" s="89">
        <f t="shared" si="6"/>
        <v>200</v>
      </c>
      <c r="P54" s="88">
        <f t="shared" si="7"/>
        <v>200</v>
      </c>
      <c r="Q54" s="289">
        <f t="shared" si="12"/>
        <v>116.754175</v>
      </c>
      <c r="R54" s="266"/>
      <c r="S54" s="86"/>
      <c r="U54" s="266"/>
      <c r="V54" s="266"/>
      <c r="W54" s="266"/>
      <c r="Y54" s="59" t="s">
        <v>93</v>
      </c>
      <c r="Z54" s="337">
        <v>2</v>
      </c>
      <c r="AA54" s="335">
        <v>1</v>
      </c>
      <c r="AB54" s="337">
        <v>0</v>
      </c>
      <c r="AC54" s="337">
        <v>0</v>
      </c>
      <c r="AD54" s="337">
        <v>0</v>
      </c>
      <c r="AE54" s="59">
        <f t="shared" si="13"/>
        <v>3</v>
      </c>
      <c r="AF54" s="465"/>
      <c r="AG54" s="486"/>
      <c r="AH54" s="486"/>
      <c r="AJ54" s="486"/>
      <c r="AK54" s="486"/>
      <c r="AL54" s="495"/>
      <c r="AM54" s="486"/>
    </row>
    <row r="55" spans="1:39" ht="13.5" thickBot="1">
      <c r="A55" s="562" t="s">
        <v>330</v>
      </c>
      <c r="B55" s="84" t="s">
        <v>329</v>
      </c>
      <c r="C55" s="83" t="s">
        <v>61</v>
      </c>
      <c r="D55" s="82">
        <v>381.34</v>
      </c>
      <c r="E55" s="81">
        <f t="shared" si="1"/>
        <v>200</v>
      </c>
      <c r="F55" s="269">
        <v>233.80699999999999</v>
      </c>
      <c r="G55" s="81">
        <v>2.5</v>
      </c>
      <c r="H55" s="269">
        <f t="shared" si="2"/>
        <v>584.51749999999993</v>
      </c>
      <c r="I55" s="81">
        <f t="shared" si="0"/>
        <v>4</v>
      </c>
      <c r="J55" s="81">
        <f t="shared" si="3"/>
        <v>800</v>
      </c>
      <c r="K55" s="81">
        <f t="shared" si="11"/>
        <v>215.48250000000007</v>
      </c>
      <c r="L55" s="276">
        <f t="shared" si="5"/>
        <v>0.73064687499999992</v>
      </c>
      <c r="M55" s="98" t="s">
        <v>328</v>
      </c>
      <c r="N55" s="80">
        <v>673.16499999999996</v>
      </c>
      <c r="O55" s="79">
        <f t="shared" si="6"/>
        <v>150</v>
      </c>
      <c r="P55" s="98">
        <f t="shared" si="7"/>
        <v>600</v>
      </c>
      <c r="Q55" s="188">
        <f t="shared" si="12"/>
        <v>15.482500000000073</v>
      </c>
      <c r="R55" s="279"/>
      <c r="S55" s="78"/>
      <c r="U55" s="266"/>
      <c r="V55" s="266"/>
      <c r="W55" s="266"/>
      <c r="Y55" s="59" t="s">
        <v>94</v>
      </c>
      <c r="Z55" s="337">
        <v>1</v>
      </c>
      <c r="AA55" s="335">
        <v>3</v>
      </c>
      <c r="AB55" s="337">
        <v>0</v>
      </c>
      <c r="AC55" s="337">
        <v>0</v>
      </c>
      <c r="AD55" s="337">
        <v>0</v>
      </c>
      <c r="AE55" s="59">
        <f t="shared" si="13"/>
        <v>4</v>
      </c>
      <c r="AF55" s="18"/>
      <c r="AG55" s="18"/>
      <c r="AH55" s="486"/>
      <c r="AJ55" s="486"/>
      <c r="AK55" s="486"/>
      <c r="AM55" s="486"/>
    </row>
    <row r="56" spans="1:39" ht="14.25" customHeight="1" thickBot="1">
      <c r="A56" s="563"/>
      <c r="B56" s="74" t="s">
        <v>30</v>
      </c>
      <c r="C56" s="73" t="s">
        <v>326</v>
      </c>
      <c r="D56" s="72">
        <v>317.27</v>
      </c>
      <c r="E56" s="71">
        <f t="shared" si="1"/>
        <v>200</v>
      </c>
      <c r="F56" s="271">
        <v>136.87530000000001</v>
      </c>
      <c r="G56" s="71">
        <v>2.5</v>
      </c>
      <c r="H56" s="271">
        <f t="shared" si="2"/>
        <v>342.18825000000004</v>
      </c>
      <c r="I56" s="71">
        <f t="shared" si="0"/>
        <v>3</v>
      </c>
      <c r="J56" s="71">
        <f t="shared" si="3"/>
        <v>600</v>
      </c>
      <c r="K56" s="71">
        <f t="shared" si="11"/>
        <v>257.81174999999996</v>
      </c>
      <c r="L56" s="276">
        <f t="shared" si="5"/>
        <v>0.57031375000000006</v>
      </c>
      <c r="M56" s="69" t="s">
        <v>325</v>
      </c>
      <c r="N56" s="70">
        <v>518.48</v>
      </c>
      <c r="O56" s="115">
        <f t="shared" si="6"/>
        <v>200</v>
      </c>
      <c r="P56" s="69">
        <f t="shared" si="7"/>
        <v>600</v>
      </c>
      <c r="Q56" s="288">
        <f t="shared" si="12"/>
        <v>257.81174999999996</v>
      </c>
      <c r="R56" s="281"/>
      <c r="S56" s="68"/>
      <c r="U56" s="266"/>
      <c r="V56" s="266"/>
      <c r="W56" s="266"/>
      <c r="Y56" s="343" t="s">
        <v>492</v>
      </c>
      <c r="Z56" s="344">
        <v>0</v>
      </c>
      <c r="AA56" s="344">
        <v>0</v>
      </c>
      <c r="AB56" s="344">
        <v>0</v>
      </c>
      <c r="AC56" s="344">
        <v>0</v>
      </c>
      <c r="AD56" s="344">
        <v>0</v>
      </c>
      <c r="AE56" s="343">
        <f t="shared" si="13"/>
        <v>0</v>
      </c>
      <c r="AF56" s="465"/>
      <c r="AG56" s="557" t="s">
        <v>575</v>
      </c>
      <c r="AH56" s="558"/>
      <c r="AI56" s="558"/>
      <c r="AJ56" s="558"/>
      <c r="AK56" s="558"/>
      <c r="AL56" s="559"/>
      <c r="AM56" s="154"/>
    </row>
    <row r="57" spans="1:39">
      <c r="A57" s="266"/>
      <c r="B57" s="63"/>
      <c r="C57" s="266"/>
      <c r="D57" s="266"/>
      <c r="E57" s="266"/>
      <c r="F57" s="63"/>
      <c r="G57" s="63"/>
      <c r="H57" s="63"/>
      <c r="I57" s="63"/>
      <c r="J57" s="63"/>
      <c r="K57" s="266"/>
      <c r="L57" s="266"/>
      <c r="M57" s="266"/>
      <c r="N57" s="266"/>
      <c r="O57" s="266"/>
      <c r="P57" s="266"/>
      <c r="Q57" s="266"/>
      <c r="R57" s="266"/>
      <c r="S57" s="266"/>
      <c r="U57" s="266"/>
      <c r="V57" s="266"/>
      <c r="W57" s="266"/>
      <c r="Y57" s="290" t="s">
        <v>501</v>
      </c>
      <c r="Z57" s="345">
        <f t="shared" ref="Z57:AE57" si="14">SUM(Z45:Z56)</f>
        <v>9</v>
      </c>
      <c r="AA57" s="345">
        <f t="shared" si="14"/>
        <v>7</v>
      </c>
      <c r="AB57" s="345">
        <f t="shared" si="14"/>
        <v>0</v>
      </c>
      <c r="AC57" s="345">
        <f t="shared" si="14"/>
        <v>0</v>
      </c>
      <c r="AD57" s="345">
        <f t="shared" si="14"/>
        <v>0</v>
      </c>
      <c r="AE57" s="346">
        <f t="shared" si="14"/>
        <v>16</v>
      </c>
      <c r="AF57" s="465"/>
      <c r="AG57" s="331" t="s">
        <v>491</v>
      </c>
      <c r="AH57" s="333" t="s">
        <v>493</v>
      </c>
      <c r="AI57" s="333" t="s">
        <v>494</v>
      </c>
      <c r="AJ57" s="333" t="s">
        <v>495</v>
      </c>
      <c r="AK57" s="333" t="s">
        <v>496</v>
      </c>
      <c r="AL57" s="334" t="s">
        <v>562</v>
      </c>
      <c r="AM57" s="290" t="s">
        <v>415</v>
      </c>
    </row>
    <row r="58" spans="1:39">
      <c r="A58" s="266"/>
      <c r="B58" s="63"/>
      <c r="C58" s="266"/>
      <c r="D58" s="266"/>
      <c r="E58" s="266"/>
      <c r="F58" s="63"/>
      <c r="G58" s="63"/>
      <c r="H58" s="63"/>
      <c r="I58" s="63"/>
      <c r="J58" s="63"/>
      <c r="K58" s="266"/>
      <c r="L58" s="266"/>
      <c r="M58" s="266"/>
      <c r="N58" s="266"/>
      <c r="O58" s="266"/>
      <c r="P58" s="266"/>
      <c r="Q58" s="266"/>
      <c r="R58" s="266"/>
      <c r="S58" s="266"/>
      <c r="U58" s="266"/>
      <c r="V58" s="266"/>
      <c r="W58" s="266"/>
      <c r="Y58" s="290" t="s">
        <v>500</v>
      </c>
      <c r="Z58" s="347">
        <f>PRODUCT(Z57*AI48)</f>
        <v>135</v>
      </c>
      <c r="AA58" s="489">
        <f>PRODUCT(AA57*AI49)</f>
        <v>114.5823</v>
      </c>
      <c r="AB58" s="489">
        <f>PRODUCT(AB57*AI50)</f>
        <v>0</v>
      </c>
      <c r="AC58" s="489">
        <f>PRODUCT(AC57*AI51)</f>
        <v>0</v>
      </c>
      <c r="AD58" s="489">
        <f>PRODUCT(AD57*AI52)</f>
        <v>0</v>
      </c>
      <c r="AE58" s="490">
        <f>SUM(Z58:AD58)</f>
        <v>249.5823</v>
      </c>
      <c r="AF58" s="465"/>
      <c r="AG58" s="59" t="s">
        <v>84</v>
      </c>
      <c r="AH58" s="337">
        <f>Z45+Z65</f>
        <v>0</v>
      </c>
      <c r="AI58" s="337">
        <f t="shared" ref="AI58:AL69" si="15">AA45+AA65</f>
        <v>12</v>
      </c>
      <c r="AJ58" s="337">
        <f t="shared" si="15"/>
        <v>4</v>
      </c>
      <c r="AK58" s="337">
        <f t="shared" si="15"/>
        <v>2</v>
      </c>
      <c r="AL58" s="337">
        <f t="shared" si="15"/>
        <v>0</v>
      </c>
      <c r="AM58" s="338">
        <f>SUM(AH58:AL58)</f>
        <v>18</v>
      </c>
    </row>
    <row r="59" spans="1:39">
      <c r="A59" s="266"/>
      <c r="B59" s="63"/>
      <c r="C59" s="266"/>
      <c r="D59" s="266"/>
      <c r="E59" s="266"/>
      <c r="F59" s="63"/>
      <c r="G59" s="63"/>
      <c r="H59" s="63"/>
      <c r="I59" s="63"/>
      <c r="J59" s="63"/>
      <c r="K59" s="266"/>
      <c r="L59" s="266"/>
      <c r="M59" s="266"/>
      <c r="N59" s="266"/>
      <c r="O59" s="266"/>
      <c r="P59" s="266"/>
      <c r="Q59" s="266"/>
      <c r="R59" s="266"/>
      <c r="S59" s="266"/>
      <c r="U59" s="266"/>
      <c r="V59" s="266"/>
      <c r="W59" s="266"/>
      <c r="Y59" s="290" t="s">
        <v>499</v>
      </c>
      <c r="Z59" s="347">
        <f>Z57*AH48</f>
        <v>900</v>
      </c>
      <c r="AA59" s="347">
        <f>AA57*AH49</f>
        <v>1050</v>
      </c>
      <c r="AB59" s="347">
        <f>AB57*AH50</f>
        <v>0</v>
      </c>
      <c r="AC59" s="347">
        <f>AC57*AH51</f>
        <v>0</v>
      </c>
      <c r="AD59" s="347">
        <f>AD57*AH52</f>
        <v>0</v>
      </c>
      <c r="AE59" s="290">
        <f>SUM(Z59:AD59)</f>
        <v>1950</v>
      </c>
      <c r="AF59" s="465"/>
      <c r="AG59" s="59" t="s">
        <v>85</v>
      </c>
      <c r="AH59" s="337">
        <f t="shared" ref="AH59:AH69" si="16">Z46+Z66</f>
        <v>1</v>
      </c>
      <c r="AI59" s="337">
        <f t="shared" si="15"/>
        <v>18</v>
      </c>
      <c r="AJ59" s="337">
        <f t="shared" si="15"/>
        <v>10</v>
      </c>
      <c r="AK59" s="337">
        <f t="shared" si="15"/>
        <v>0</v>
      </c>
      <c r="AL59" s="337">
        <f t="shared" si="15"/>
        <v>7</v>
      </c>
      <c r="AM59" s="59">
        <f t="shared" ref="AM59:AM69" si="17">SUM(AH59:AL59)</f>
        <v>36</v>
      </c>
    </row>
    <row r="60" spans="1:39">
      <c r="A60" s="266"/>
      <c r="B60" s="63"/>
      <c r="C60" s="266"/>
      <c r="D60" s="266"/>
      <c r="E60" s="266"/>
      <c r="F60" s="63"/>
      <c r="G60" s="63"/>
      <c r="H60" s="63"/>
      <c r="I60" s="63"/>
      <c r="J60" s="63"/>
      <c r="K60" s="266"/>
      <c r="L60" s="266"/>
      <c r="M60" s="266"/>
      <c r="N60" s="266"/>
      <c r="O60" s="266"/>
      <c r="P60" s="266"/>
      <c r="Q60" s="266"/>
      <c r="R60" s="266"/>
      <c r="S60" s="266"/>
      <c r="U60" s="184"/>
      <c r="V60" s="266"/>
      <c r="W60" s="266"/>
      <c r="AG60" s="59" t="s">
        <v>86</v>
      </c>
      <c r="AH60" s="337">
        <f t="shared" si="16"/>
        <v>0</v>
      </c>
      <c r="AI60" s="337">
        <f t="shared" si="15"/>
        <v>0</v>
      </c>
      <c r="AJ60" s="337">
        <f t="shared" si="15"/>
        <v>6</v>
      </c>
      <c r="AK60" s="337">
        <f t="shared" si="15"/>
        <v>0</v>
      </c>
      <c r="AL60" s="337">
        <f t="shared" si="15"/>
        <v>4</v>
      </c>
      <c r="AM60" s="59">
        <f t="shared" si="17"/>
        <v>10</v>
      </c>
    </row>
    <row r="61" spans="1:39">
      <c r="A61" s="266"/>
      <c r="B61" s="63"/>
      <c r="C61" s="266"/>
      <c r="D61" s="266"/>
      <c r="E61" s="266"/>
      <c r="F61" s="63"/>
      <c r="G61" s="63"/>
      <c r="H61" s="63"/>
      <c r="I61" s="63"/>
      <c r="J61" s="63"/>
      <c r="K61" s="266"/>
      <c r="L61" s="266"/>
      <c r="M61" s="266"/>
      <c r="N61" s="266"/>
      <c r="O61" s="266"/>
      <c r="P61" s="266"/>
      <c r="Q61" s="266"/>
      <c r="R61" s="266"/>
      <c r="S61" s="266"/>
      <c r="U61" s="266"/>
      <c r="V61" s="266"/>
      <c r="W61" s="266"/>
      <c r="Y61" s="560"/>
      <c r="Z61" s="560"/>
      <c r="AA61" s="560"/>
      <c r="AB61" s="560"/>
      <c r="AC61" s="560"/>
      <c r="AD61" s="560"/>
      <c r="AE61" s="465"/>
      <c r="AF61" s="465"/>
      <c r="AG61" s="59" t="s">
        <v>87</v>
      </c>
      <c r="AH61" s="337">
        <f t="shared" si="16"/>
        <v>0</v>
      </c>
      <c r="AI61" s="337">
        <f t="shared" si="15"/>
        <v>34</v>
      </c>
      <c r="AJ61" s="337">
        <f t="shared" si="15"/>
        <v>44</v>
      </c>
      <c r="AK61" s="337">
        <f t="shared" si="15"/>
        <v>25</v>
      </c>
      <c r="AL61" s="337">
        <f t="shared" si="15"/>
        <v>0</v>
      </c>
      <c r="AM61" s="59">
        <f t="shared" si="17"/>
        <v>103</v>
      </c>
    </row>
    <row r="62" spans="1:39">
      <c r="A62" s="266"/>
      <c r="B62" s="64"/>
      <c r="C62" s="266"/>
      <c r="D62" s="266"/>
      <c r="E62" s="266"/>
      <c r="F62" s="63"/>
      <c r="G62" s="63"/>
      <c r="H62" s="63"/>
      <c r="I62" s="63"/>
      <c r="J62" s="63"/>
      <c r="K62" s="266"/>
      <c r="L62" s="266"/>
      <c r="M62" s="266"/>
      <c r="N62" s="266"/>
      <c r="O62" s="266"/>
      <c r="P62" s="266"/>
      <c r="Q62" s="266"/>
      <c r="R62" s="266"/>
      <c r="S62" s="266"/>
      <c r="Y62" s="466"/>
      <c r="Z62" s="467"/>
      <c r="AA62" s="467"/>
      <c r="AB62" s="467"/>
      <c r="AC62" s="464"/>
      <c r="AD62" s="464"/>
      <c r="AE62" s="464"/>
      <c r="AF62" s="465"/>
      <c r="AG62" s="59" t="s">
        <v>88</v>
      </c>
      <c r="AH62" s="337">
        <f t="shared" si="16"/>
        <v>1</v>
      </c>
      <c r="AI62" s="337">
        <f t="shared" si="15"/>
        <v>0</v>
      </c>
      <c r="AJ62" s="337">
        <f t="shared" si="15"/>
        <v>19</v>
      </c>
      <c r="AK62" s="337">
        <f t="shared" si="15"/>
        <v>1</v>
      </c>
      <c r="AL62" s="337">
        <f t="shared" si="15"/>
        <v>0</v>
      </c>
      <c r="AM62" s="59">
        <f t="shared" si="17"/>
        <v>21</v>
      </c>
    </row>
    <row r="63" spans="1:39">
      <c r="A63" s="266"/>
      <c r="B63" s="64"/>
      <c r="C63" s="266"/>
      <c r="D63" s="266"/>
      <c r="E63" s="266"/>
      <c r="F63" s="63"/>
      <c r="G63" s="63"/>
      <c r="H63" s="63"/>
      <c r="I63" s="63"/>
      <c r="J63" s="63"/>
      <c r="K63" s="266"/>
      <c r="L63" s="266"/>
      <c r="M63" s="266"/>
      <c r="N63" s="266"/>
      <c r="O63" s="266"/>
      <c r="P63" s="266"/>
      <c r="Q63" s="266"/>
      <c r="R63" s="266"/>
      <c r="S63" s="266"/>
      <c r="Y63" s="557" t="s">
        <v>574</v>
      </c>
      <c r="Z63" s="558"/>
      <c r="AA63" s="558"/>
      <c r="AB63" s="558"/>
      <c r="AC63" s="558"/>
      <c r="AD63" s="559"/>
      <c r="AE63" s="154"/>
      <c r="AF63" s="465"/>
      <c r="AG63" s="59" t="s">
        <v>89</v>
      </c>
      <c r="AH63" s="337">
        <f t="shared" si="16"/>
        <v>1</v>
      </c>
      <c r="AI63" s="337">
        <f t="shared" si="15"/>
        <v>21</v>
      </c>
      <c r="AJ63" s="337">
        <f t="shared" si="15"/>
        <v>2</v>
      </c>
      <c r="AK63" s="337">
        <f t="shared" si="15"/>
        <v>1</v>
      </c>
      <c r="AL63" s="337">
        <f t="shared" si="15"/>
        <v>0</v>
      </c>
      <c r="AM63" s="59">
        <f t="shared" si="17"/>
        <v>25</v>
      </c>
    </row>
    <row r="64" spans="1:39">
      <c r="A64" s="266"/>
      <c r="B64" s="64"/>
      <c r="C64" s="266"/>
      <c r="D64" s="266"/>
      <c r="E64" s="266"/>
      <c r="F64" s="63"/>
      <c r="G64" s="63"/>
      <c r="H64" s="63"/>
      <c r="I64" s="63"/>
      <c r="J64" s="63"/>
      <c r="K64" s="266"/>
      <c r="L64" s="266"/>
      <c r="M64" s="266"/>
      <c r="N64" s="266"/>
      <c r="O64" s="266"/>
      <c r="P64" s="266"/>
      <c r="Q64" s="266"/>
      <c r="R64" s="266"/>
      <c r="S64" s="266"/>
      <c r="Y64" s="331" t="s">
        <v>491</v>
      </c>
      <c r="Z64" s="333" t="s">
        <v>493</v>
      </c>
      <c r="AA64" s="333" t="s">
        <v>494</v>
      </c>
      <c r="AB64" s="333" t="s">
        <v>495</v>
      </c>
      <c r="AC64" s="333" t="s">
        <v>496</v>
      </c>
      <c r="AD64" s="334" t="s">
        <v>562</v>
      </c>
      <c r="AE64" s="290" t="s">
        <v>415</v>
      </c>
      <c r="AF64" s="465"/>
      <c r="AG64" s="59" t="s">
        <v>90</v>
      </c>
      <c r="AH64" s="337">
        <f t="shared" si="16"/>
        <v>1</v>
      </c>
      <c r="AI64" s="337">
        <f t="shared" si="15"/>
        <v>0</v>
      </c>
      <c r="AJ64" s="337">
        <f t="shared" si="15"/>
        <v>1</v>
      </c>
      <c r="AK64" s="337">
        <f t="shared" si="15"/>
        <v>4</v>
      </c>
      <c r="AL64" s="337">
        <f t="shared" si="15"/>
        <v>3</v>
      </c>
      <c r="AM64" s="59">
        <f t="shared" si="17"/>
        <v>9</v>
      </c>
    </row>
    <row r="65" spans="1:39">
      <c r="A65" s="266"/>
      <c r="B65" s="63"/>
      <c r="C65" s="266"/>
      <c r="D65" s="266"/>
      <c r="E65" s="266"/>
      <c r="O65" s="266"/>
      <c r="P65" s="266"/>
      <c r="R65" s="266"/>
      <c r="S65" s="266"/>
      <c r="Y65" s="59" t="s">
        <v>84</v>
      </c>
      <c r="Z65" s="337">
        <v>0</v>
      </c>
      <c r="AA65" s="337">
        <f>12</f>
        <v>12</v>
      </c>
      <c r="AB65" s="487">
        <f>2+2</f>
        <v>4</v>
      </c>
      <c r="AC65" s="487">
        <f>2</f>
        <v>2</v>
      </c>
      <c r="AD65" s="337">
        <v>0</v>
      </c>
      <c r="AE65" s="338">
        <f>SUM(Z65:AD65)</f>
        <v>18</v>
      </c>
      <c r="AF65" s="465"/>
      <c r="AG65" s="59" t="s">
        <v>91</v>
      </c>
      <c r="AH65" s="337">
        <f t="shared" si="16"/>
        <v>1</v>
      </c>
      <c r="AI65" s="337">
        <f t="shared" si="15"/>
        <v>24</v>
      </c>
      <c r="AJ65" s="337">
        <f t="shared" si="15"/>
        <v>4</v>
      </c>
      <c r="AK65" s="337">
        <f t="shared" si="15"/>
        <v>2</v>
      </c>
      <c r="AL65" s="337">
        <f t="shared" si="15"/>
        <v>0</v>
      </c>
      <c r="AM65" s="59">
        <f t="shared" si="17"/>
        <v>31</v>
      </c>
    </row>
    <row r="66" spans="1:39">
      <c r="A66" s="266"/>
      <c r="B66" s="63"/>
      <c r="C66" s="266"/>
      <c r="D66" s="266"/>
      <c r="E66" s="266"/>
      <c r="O66" s="266"/>
      <c r="P66" s="266"/>
      <c r="R66" s="266"/>
      <c r="S66" s="266"/>
      <c r="Y66" s="59" t="s">
        <v>85</v>
      </c>
      <c r="Z66" s="337">
        <v>0</v>
      </c>
      <c r="AA66" s="337">
        <f>9+4+5</f>
        <v>18</v>
      </c>
      <c r="AB66" s="337">
        <f>7+3</f>
        <v>10</v>
      </c>
      <c r="AC66" s="337">
        <v>0</v>
      </c>
      <c r="AD66" s="337">
        <f>4+3</f>
        <v>7</v>
      </c>
      <c r="AE66" s="59">
        <f t="shared" ref="AE66:AE76" si="18">SUM(Z66:AD66)</f>
        <v>35</v>
      </c>
      <c r="AF66" s="465"/>
      <c r="AG66" s="59" t="s">
        <v>92</v>
      </c>
      <c r="AH66" s="337">
        <f t="shared" si="16"/>
        <v>1</v>
      </c>
      <c r="AI66" s="337">
        <f t="shared" si="15"/>
        <v>9</v>
      </c>
      <c r="AJ66" s="337">
        <f t="shared" si="15"/>
        <v>21</v>
      </c>
      <c r="AK66" s="337">
        <f t="shared" si="15"/>
        <v>0</v>
      </c>
      <c r="AL66" s="337">
        <f t="shared" si="15"/>
        <v>0</v>
      </c>
      <c r="AM66" s="59">
        <f t="shared" si="17"/>
        <v>31</v>
      </c>
    </row>
    <row r="67" spans="1:39">
      <c r="A67" s="266"/>
      <c r="B67" s="63"/>
      <c r="C67" s="266"/>
      <c r="D67" s="266"/>
      <c r="E67" s="266"/>
      <c r="O67" s="266"/>
      <c r="P67" s="266"/>
      <c r="R67" s="266"/>
      <c r="S67" s="266"/>
      <c r="Y67" s="59" t="s">
        <v>86</v>
      </c>
      <c r="Z67" s="337">
        <v>0</v>
      </c>
      <c r="AA67" s="337">
        <v>0</v>
      </c>
      <c r="AB67" s="335">
        <f>5+1</f>
        <v>6</v>
      </c>
      <c r="AC67" s="337">
        <v>0</v>
      </c>
      <c r="AD67" s="337">
        <f>4</f>
        <v>4</v>
      </c>
      <c r="AE67" s="59">
        <f t="shared" si="18"/>
        <v>10</v>
      </c>
      <c r="AF67" s="465"/>
      <c r="AG67" s="59" t="s">
        <v>93</v>
      </c>
      <c r="AH67" s="337">
        <f t="shared" si="16"/>
        <v>2</v>
      </c>
      <c r="AI67" s="337">
        <f t="shared" si="15"/>
        <v>1</v>
      </c>
      <c r="AJ67" s="337">
        <f t="shared" si="15"/>
        <v>3</v>
      </c>
      <c r="AK67" s="337">
        <f t="shared" si="15"/>
        <v>10</v>
      </c>
      <c r="AL67" s="337">
        <f t="shared" si="15"/>
        <v>0</v>
      </c>
      <c r="AM67" s="59">
        <f t="shared" si="17"/>
        <v>16</v>
      </c>
    </row>
    <row r="68" spans="1:39">
      <c r="A68" s="266"/>
      <c r="B68" s="63"/>
      <c r="C68" s="266"/>
      <c r="D68" s="266"/>
      <c r="E68" s="266"/>
      <c r="F68" s="63"/>
      <c r="G68" s="63"/>
      <c r="H68" s="63"/>
      <c r="I68" s="63"/>
      <c r="J68" s="63"/>
      <c r="K68" s="266"/>
      <c r="L68" s="266"/>
      <c r="M68" s="266"/>
      <c r="N68" s="266"/>
      <c r="O68" s="266"/>
      <c r="P68" s="266"/>
      <c r="Q68" s="266"/>
      <c r="R68" s="266"/>
      <c r="S68" s="266"/>
      <c r="Y68" s="59" t="s">
        <v>87</v>
      </c>
      <c r="Z68" s="337">
        <v>0</v>
      </c>
      <c r="AA68" s="488">
        <f>12+9+10</f>
        <v>31</v>
      </c>
      <c r="AB68" s="337">
        <f>7+5+10+18+4</f>
        <v>44</v>
      </c>
      <c r="AC68" s="337">
        <f>4+10+11</f>
        <v>25</v>
      </c>
      <c r="AD68" s="337">
        <v>0</v>
      </c>
      <c r="AE68" s="59">
        <f t="shared" si="18"/>
        <v>100</v>
      </c>
      <c r="AF68" s="465"/>
      <c r="AG68" s="59" t="s">
        <v>94</v>
      </c>
      <c r="AH68" s="337">
        <f t="shared" si="16"/>
        <v>1</v>
      </c>
      <c r="AI68" s="337">
        <f t="shared" si="15"/>
        <v>5</v>
      </c>
      <c r="AJ68" s="337">
        <f t="shared" si="15"/>
        <v>4</v>
      </c>
      <c r="AK68" s="337">
        <f t="shared" si="15"/>
        <v>11</v>
      </c>
      <c r="AL68" s="337">
        <f t="shared" si="15"/>
        <v>0</v>
      </c>
      <c r="AM68" s="59">
        <f t="shared" si="17"/>
        <v>21</v>
      </c>
    </row>
    <row r="69" spans="1:39">
      <c r="B69" s="63"/>
      <c r="C69" s="266"/>
      <c r="D69" s="266"/>
      <c r="E69" s="266"/>
      <c r="F69" s="63"/>
      <c r="G69" s="63"/>
      <c r="H69" s="63"/>
      <c r="I69" s="63"/>
      <c r="J69" s="63"/>
      <c r="K69" s="266"/>
      <c r="L69" s="266"/>
      <c r="M69" s="266"/>
      <c r="N69" s="266"/>
      <c r="O69" s="266"/>
      <c r="P69" s="266"/>
      <c r="Q69" s="266"/>
      <c r="R69" s="266"/>
      <c r="S69" s="266"/>
      <c r="U69" s="57"/>
      <c r="V69" s="57"/>
      <c r="Y69" s="59" t="s">
        <v>88</v>
      </c>
      <c r="Z69" s="337">
        <v>0</v>
      </c>
      <c r="AA69" s="337">
        <v>0</v>
      </c>
      <c r="AB69" s="337">
        <f>2+3+1+10+1+2</f>
        <v>19</v>
      </c>
      <c r="AC69" s="337">
        <f>1</f>
        <v>1</v>
      </c>
      <c r="AD69" s="337">
        <v>0</v>
      </c>
      <c r="AE69" s="59">
        <f t="shared" si="18"/>
        <v>20</v>
      </c>
      <c r="AF69" s="465"/>
      <c r="AG69" s="343" t="s">
        <v>492</v>
      </c>
      <c r="AH69" s="337">
        <f t="shared" si="16"/>
        <v>0</v>
      </c>
      <c r="AI69" s="337">
        <f t="shared" si="15"/>
        <v>1</v>
      </c>
      <c r="AJ69" s="337">
        <f t="shared" si="15"/>
        <v>4</v>
      </c>
      <c r="AK69" s="337">
        <f t="shared" si="15"/>
        <v>0</v>
      </c>
      <c r="AL69" s="337">
        <f t="shared" si="15"/>
        <v>0</v>
      </c>
      <c r="AM69" s="343">
        <f t="shared" si="17"/>
        <v>5</v>
      </c>
    </row>
    <row r="70" spans="1:39">
      <c r="B70" s="63"/>
      <c r="C70" s="266"/>
      <c r="D70" s="266"/>
      <c r="E70" s="266"/>
      <c r="F70" s="63"/>
      <c r="G70" s="63"/>
      <c r="H70" s="63"/>
      <c r="I70" s="63"/>
      <c r="J70" s="63"/>
      <c r="K70" s="266"/>
      <c r="L70" s="266"/>
      <c r="M70" s="266"/>
      <c r="N70" s="266"/>
      <c r="O70" s="266"/>
      <c r="P70" s="266"/>
      <c r="Q70" s="266"/>
      <c r="R70" s="266"/>
      <c r="S70" s="266"/>
      <c r="U70" s="57"/>
      <c r="V70" s="57"/>
      <c r="Y70" s="59" t="s">
        <v>89</v>
      </c>
      <c r="Z70" s="337">
        <v>0</v>
      </c>
      <c r="AA70" s="337">
        <f>9+9+3</f>
        <v>21</v>
      </c>
      <c r="AB70" s="337">
        <f>2</f>
        <v>2</v>
      </c>
      <c r="AC70" s="337">
        <f>1</f>
        <v>1</v>
      </c>
      <c r="AD70" s="337">
        <v>0</v>
      </c>
      <c r="AE70" s="59">
        <f t="shared" si="18"/>
        <v>24</v>
      </c>
      <c r="AF70" s="465"/>
      <c r="AG70" s="290" t="s">
        <v>501</v>
      </c>
      <c r="AH70" s="345">
        <f t="shared" ref="AH70:AM70" si="19">SUM(AH58:AH69)</f>
        <v>9</v>
      </c>
      <c r="AI70" s="345">
        <f t="shared" si="19"/>
        <v>125</v>
      </c>
      <c r="AJ70" s="345">
        <f t="shared" si="19"/>
        <v>122</v>
      </c>
      <c r="AK70" s="345">
        <f t="shared" si="19"/>
        <v>56</v>
      </c>
      <c r="AL70" s="345">
        <f t="shared" si="19"/>
        <v>14</v>
      </c>
      <c r="AM70" s="346">
        <f t="shared" si="19"/>
        <v>326</v>
      </c>
    </row>
    <row r="71" spans="1:39">
      <c r="B71" s="63"/>
      <c r="C71" s="266"/>
      <c r="D71" s="266"/>
      <c r="E71" s="266"/>
      <c r="F71" s="63"/>
      <c r="G71" s="63"/>
      <c r="H71" s="63"/>
      <c r="I71" s="63"/>
      <c r="J71" s="63"/>
      <c r="K71" s="266"/>
      <c r="L71" s="266"/>
      <c r="M71" s="266"/>
      <c r="N71" s="266"/>
      <c r="O71" s="266"/>
      <c r="P71" s="266"/>
      <c r="Q71" s="266"/>
      <c r="R71" s="266"/>
      <c r="S71" s="266"/>
      <c r="U71" s="57"/>
      <c r="V71" s="57"/>
      <c r="Y71" s="59" t="s">
        <v>90</v>
      </c>
      <c r="Z71" s="337">
        <v>0</v>
      </c>
      <c r="AA71" s="335">
        <v>0</v>
      </c>
      <c r="AB71" s="335">
        <f>1</f>
        <v>1</v>
      </c>
      <c r="AC71" s="337">
        <f>4</f>
        <v>4</v>
      </c>
      <c r="AD71" s="337">
        <f>3</f>
        <v>3</v>
      </c>
      <c r="AE71" s="59">
        <f t="shared" si="18"/>
        <v>8</v>
      </c>
      <c r="AF71" s="465"/>
      <c r="AG71" s="290" t="s">
        <v>500</v>
      </c>
      <c r="AH71" s="347">
        <f>PRODUCT(AH70*AI48)</f>
        <v>135</v>
      </c>
      <c r="AI71" s="489">
        <f>PRODUCT(AI70*AI49)</f>
        <v>2046.1125</v>
      </c>
      <c r="AJ71" s="489">
        <f>PRODUCT(AJ70*AI50)</f>
        <v>2043.0974000000001</v>
      </c>
      <c r="AK71" s="489">
        <f>PRODUCT(AK70*AI51)</f>
        <v>945.64960000000008</v>
      </c>
      <c r="AL71" s="489">
        <f>PRODUCT(AL70*AI52)</f>
        <v>238</v>
      </c>
      <c r="AM71" s="490">
        <f>SUM(AH71:AL71)</f>
        <v>5407.8594999999996</v>
      </c>
    </row>
    <row r="72" spans="1:39">
      <c r="B72" s="63"/>
      <c r="C72" s="266"/>
      <c r="D72" s="266"/>
      <c r="E72" s="266"/>
      <c r="F72" s="63"/>
      <c r="G72" s="63"/>
      <c r="H72" s="63"/>
      <c r="I72" s="63"/>
      <c r="J72" s="63"/>
      <c r="K72" s="266"/>
      <c r="L72" s="266"/>
      <c r="M72" s="266"/>
      <c r="N72" s="266"/>
      <c r="O72" s="266"/>
      <c r="P72" s="266"/>
      <c r="Q72" s="266"/>
      <c r="R72" s="266"/>
      <c r="S72" s="266"/>
      <c r="U72" s="57"/>
      <c r="V72" s="57"/>
      <c r="Y72" s="59" t="s">
        <v>91</v>
      </c>
      <c r="Z72" s="337">
        <v>0</v>
      </c>
      <c r="AA72" s="335">
        <f>4+10+3+4+2+1</f>
        <v>24</v>
      </c>
      <c r="AB72" s="337">
        <f>2+2</f>
        <v>4</v>
      </c>
      <c r="AC72" s="337">
        <f>2</f>
        <v>2</v>
      </c>
      <c r="AD72" s="337">
        <v>0</v>
      </c>
      <c r="AE72" s="59">
        <f t="shared" si="18"/>
        <v>30</v>
      </c>
      <c r="AF72" s="465"/>
      <c r="AG72" s="290" t="s">
        <v>563</v>
      </c>
      <c r="AH72" s="347">
        <f>AH70*AH48</f>
        <v>900</v>
      </c>
      <c r="AI72" s="347">
        <f>AI70*AH49</f>
        <v>18750</v>
      </c>
      <c r="AJ72" s="347">
        <f>AJ70*AH50</f>
        <v>24400</v>
      </c>
      <c r="AK72" s="347">
        <f>AK70*AH51</f>
        <v>14000</v>
      </c>
      <c r="AL72" s="347">
        <f>AL70*AH52</f>
        <v>4200</v>
      </c>
      <c r="AM72" s="290">
        <f>SUM(AH72:AL72)</f>
        <v>62250</v>
      </c>
    </row>
    <row r="73" spans="1:39">
      <c r="B73" s="63"/>
      <c r="C73" s="266"/>
      <c r="D73" s="266"/>
      <c r="E73" s="266"/>
      <c r="F73" s="63"/>
      <c r="G73" s="63"/>
      <c r="H73" s="63"/>
      <c r="I73" s="63"/>
      <c r="J73" s="63"/>
      <c r="K73" s="266"/>
      <c r="L73" s="266"/>
      <c r="M73" s="266"/>
      <c r="N73" s="266"/>
      <c r="O73" s="266"/>
      <c r="P73" s="266"/>
      <c r="Q73" s="266"/>
      <c r="R73" s="266"/>
      <c r="S73" s="266"/>
      <c r="U73" s="57"/>
      <c r="Y73" s="59" t="s">
        <v>92</v>
      </c>
      <c r="Z73" s="337">
        <v>0</v>
      </c>
      <c r="AA73" s="335">
        <f>5+4</f>
        <v>9</v>
      </c>
      <c r="AB73" s="337">
        <f>18+3</f>
        <v>21</v>
      </c>
      <c r="AC73" s="337">
        <v>0</v>
      </c>
      <c r="AD73" s="337">
        <v>0</v>
      </c>
      <c r="AE73" s="59">
        <f t="shared" si="18"/>
        <v>30</v>
      </c>
      <c r="AF73" s="465"/>
      <c r="AH73" s="486"/>
      <c r="AI73" s="335"/>
      <c r="AJ73" s="335"/>
      <c r="AK73" s="337"/>
      <c r="AL73" s="337"/>
      <c r="AM73" s="337"/>
    </row>
    <row r="74" spans="1:39">
      <c r="B74" s="63"/>
      <c r="C74" s="266"/>
      <c r="D74" s="266"/>
      <c r="E74" s="266"/>
      <c r="F74" s="63"/>
      <c r="G74" s="63"/>
      <c r="H74" s="63"/>
      <c r="I74" s="63"/>
      <c r="J74" s="63"/>
      <c r="K74" s="266"/>
      <c r="L74" s="266"/>
      <c r="M74" s="266"/>
      <c r="N74" s="266"/>
      <c r="O74" s="266"/>
      <c r="P74" s="266"/>
      <c r="Q74" s="266"/>
      <c r="R74" s="266"/>
      <c r="S74" s="266"/>
      <c r="U74" s="57"/>
      <c r="Y74" s="59" t="s">
        <v>93</v>
      </c>
      <c r="Z74" s="337">
        <v>0</v>
      </c>
      <c r="AA74" s="335">
        <v>0</v>
      </c>
      <c r="AB74" s="337">
        <f>2+1</f>
        <v>3</v>
      </c>
      <c r="AC74" s="337">
        <f>10</f>
        <v>10</v>
      </c>
      <c r="AD74" s="337">
        <v>0</v>
      </c>
      <c r="AE74" s="59">
        <f t="shared" si="18"/>
        <v>13</v>
      </c>
      <c r="AF74" s="465"/>
      <c r="AH74" s="486"/>
      <c r="AI74" s="337"/>
      <c r="AJ74" s="337"/>
      <c r="AK74" s="337"/>
      <c r="AL74" s="337"/>
      <c r="AM74" s="337"/>
    </row>
    <row r="75" spans="1:39" ht="15">
      <c r="B75" s="63"/>
      <c r="C75" s="266"/>
      <c r="D75" s="266"/>
      <c r="E75" s="266"/>
      <c r="F75" s="63"/>
      <c r="G75" s="63"/>
      <c r="H75" s="63"/>
      <c r="I75" s="63"/>
      <c r="J75" s="63"/>
      <c r="K75" s="266"/>
      <c r="L75" s="266"/>
      <c r="M75" s="266"/>
      <c r="N75" s="266"/>
      <c r="O75" s="266"/>
      <c r="P75" s="266"/>
      <c r="Q75" s="266"/>
      <c r="R75" s="266"/>
      <c r="S75" s="266"/>
      <c r="Y75" s="59" t="s">
        <v>94</v>
      </c>
      <c r="Z75" s="337">
        <v>0</v>
      </c>
      <c r="AA75" s="488">
        <f>2</f>
        <v>2</v>
      </c>
      <c r="AB75" s="337">
        <f>3+1</f>
        <v>4</v>
      </c>
      <c r="AC75" s="337">
        <f>11</f>
        <v>11</v>
      </c>
      <c r="AD75" s="337">
        <v>0</v>
      </c>
      <c r="AE75" s="59">
        <f t="shared" si="18"/>
        <v>17</v>
      </c>
      <c r="AF75" s="465"/>
      <c r="AG75" s="435">
        <f>AE57+AE77</f>
        <v>326</v>
      </c>
      <c r="AH75" s="486"/>
      <c r="AI75" s="337"/>
      <c r="AJ75" s="335"/>
      <c r="AK75" s="337"/>
      <c r="AL75" s="337"/>
      <c r="AM75" s="337"/>
    </row>
    <row r="76" spans="1:39" ht="15">
      <c r="B76" s="63"/>
      <c r="C76" s="266"/>
      <c r="D76" s="266"/>
      <c r="E76" s="266"/>
      <c r="F76" s="63"/>
      <c r="G76" s="63"/>
      <c r="H76" s="63"/>
      <c r="I76" s="63"/>
      <c r="J76" s="63"/>
      <c r="K76" s="266"/>
      <c r="L76" s="266"/>
      <c r="M76" s="266"/>
      <c r="N76" s="266"/>
      <c r="O76" s="266"/>
      <c r="P76" s="266"/>
      <c r="Q76" s="266"/>
      <c r="R76" s="266"/>
      <c r="S76" s="266"/>
      <c r="Y76" s="343" t="s">
        <v>492</v>
      </c>
      <c r="Z76" s="337">
        <v>0</v>
      </c>
      <c r="AA76" s="344">
        <f>1</f>
        <v>1</v>
      </c>
      <c r="AB76" s="344">
        <f>4</f>
        <v>4</v>
      </c>
      <c r="AC76" s="344">
        <v>0</v>
      </c>
      <c r="AD76" s="337">
        <v>0</v>
      </c>
      <c r="AE76" s="343">
        <f t="shared" si="18"/>
        <v>5</v>
      </c>
      <c r="AF76" s="465"/>
      <c r="AG76" s="496">
        <f t="shared" ref="AG76:AG77" si="20">AE58+AE78</f>
        <v>5407.8594999999996</v>
      </c>
      <c r="AH76" s="486"/>
      <c r="AI76" s="337"/>
      <c r="AJ76" s="335"/>
      <c r="AK76" s="337"/>
      <c r="AL76" s="337"/>
      <c r="AM76" s="337"/>
    </row>
    <row r="77" spans="1:39" ht="15">
      <c r="B77" s="63"/>
      <c r="C77" s="266"/>
      <c r="D77" s="266"/>
      <c r="E77" s="266"/>
      <c r="F77" s="63"/>
      <c r="G77" s="63"/>
      <c r="H77" s="63"/>
      <c r="I77" s="63"/>
      <c r="J77" s="63"/>
      <c r="K77" s="266"/>
      <c r="L77" s="266"/>
      <c r="M77" s="266"/>
      <c r="N77" s="266"/>
      <c r="O77" s="266"/>
      <c r="P77" s="266"/>
      <c r="Q77" s="266"/>
      <c r="R77" s="266"/>
      <c r="S77" s="266"/>
      <c r="Y77" s="290" t="s">
        <v>501</v>
      </c>
      <c r="Z77" s="345">
        <f t="shared" ref="Z77:AE77" si="21">SUM(Z65:Z76)</f>
        <v>0</v>
      </c>
      <c r="AA77" s="345">
        <f t="shared" si="21"/>
        <v>118</v>
      </c>
      <c r="AB77" s="345">
        <f t="shared" si="21"/>
        <v>122</v>
      </c>
      <c r="AC77" s="345">
        <f t="shared" si="21"/>
        <v>56</v>
      </c>
      <c r="AD77" s="345">
        <f t="shared" si="21"/>
        <v>14</v>
      </c>
      <c r="AE77" s="346">
        <f t="shared" si="21"/>
        <v>310</v>
      </c>
      <c r="AF77" s="465"/>
      <c r="AG77" s="435">
        <f t="shared" si="20"/>
        <v>62250</v>
      </c>
      <c r="AH77" s="486"/>
      <c r="AI77" s="337"/>
      <c r="AJ77" s="337"/>
      <c r="AK77" s="337"/>
      <c r="AL77" s="337"/>
      <c r="AM77" s="337"/>
    </row>
    <row r="78" spans="1:39">
      <c r="B78" s="63"/>
      <c r="C78" s="266"/>
      <c r="D78" s="266"/>
      <c r="E78" s="266"/>
      <c r="F78" s="63"/>
      <c r="G78" s="63"/>
      <c r="H78" s="63"/>
      <c r="I78" s="63"/>
      <c r="J78" s="63"/>
      <c r="K78" s="266"/>
      <c r="L78" s="266"/>
      <c r="M78" s="266"/>
      <c r="N78" s="266"/>
      <c r="O78" s="266"/>
      <c r="P78" s="266"/>
      <c r="Q78" s="266"/>
      <c r="R78" s="266"/>
      <c r="S78" s="266"/>
      <c r="Y78" s="290" t="s">
        <v>500</v>
      </c>
      <c r="Z78" s="489">
        <f>PRODUCT(Z77*AI48)</f>
        <v>0</v>
      </c>
      <c r="AA78" s="489">
        <f>PRODUCT(AA77*AI49)</f>
        <v>1931.5301999999999</v>
      </c>
      <c r="AB78" s="489">
        <f>PRODUCT(AB77*AI50)</f>
        <v>2043.0974000000001</v>
      </c>
      <c r="AC78" s="489">
        <f>PRODUCT(AC77*AI51)</f>
        <v>945.64960000000008</v>
      </c>
      <c r="AD78" s="489">
        <f>PRODUCT(AD77*AI52)</f>
        <v>238</v>
      </c>
      <c r="AE78" s="490">
        <f>SUM(Z78:AD78)</f>
        <v>5158.2771999999995</v>
      </c>
      <c r="AF78" s="465"/>
    </row>
    <row r="79" spans="1:39">
      <c r="B79" s="63"/>
      <c r="C79" s="266"/>
      <c r="D79" s="266"/>
      <c r="E79" s="266"/>
      <c r="F79" s="63"/>
      <c r="G79" s="63"/>
      <c r="H79" s="63"/>
      <c r="I79" s="63"/>
      <c r="J79" s="63"/>
      <c r="K79" s="266"/>
      <c r="L79" s="266"/>
      <c r="M79" s="266"/>
      <c r="N79" s="266"/>
      <c r="O79" s="266"/>
      <c r="P79" s="266"/>
      <c r="Q79" s="266"/>
      <c r="R79" s="266"/>
      <c r="S79" s="266"/>
      <c r="Y79" s="290" t="s">
        <v>563</v>
      </c>
      <c r="Z79" s="347">
        <f>Z77*AH48</f>
        <v>0</v>
      </c>
      <c r="AA79" s="347">
        <f>AA77*AH49</f>
        <v>17700</v>
      </c>
      <c r="AB79" s="347">
        <f>AB77*AH50</f>
        <v>24400</v>
      </c>
      <c r="AC79" s="347">
        <f>AC77*AH51</f>
        <v>14000</v>
      </c>
      <c r="AD79" s="347">
        <f>AD77*AH52</f>
        <v>4200</v>
      </c>
      <c r="AE79" s="290">
        <f>SUM(Z79:AD79)</f>
        <v>60300</v>
      </c>
      <c r="AG79" s="235"/>
      <c r="AH79" s="235"/>
      <c r="AI79" s="235"/>
      <c r="AJ79" s="235"/>
      <c r="AK79" s="235"/>
      <c r="AL79" s="235"/>
      <c r="AM79" s="235"/>
    </row>
    <row r="80" spans="1:39">
      <c r="B80" s="63"/>
      <c r="C80" s="266"/>
      <c r="D80" s="266"/>
      <c r="E80" s="266"/>
      <c r="F80" s="63"/>
      <c r="G80" s="63"/>
      <c r="H80" s="63"/>
      <c r="I80" s="63"/>
      <c r="J80" s="63"/>
      <c r="K80" s="266"/>
      <c r="L80" s="266"/>
      <c r="M80" s="266"/>
      <c r="N80" s="266"/>
      <c r="O80" s="266"/>
      <c r="P80" s="266"/>
      <c r="Q80" s="266"/>
      <c r="R80" s="266"/>
      <c r="S80" s="266"/>
    </row>
    <row r="81" spans="2:19">
      <c r="B81" s="63"/>
      <c r="C81" s="266"/>
      <c r="D81" s="266"/>
      <c r="E81" s="266"/>
      <c r="F81" s="63"/>
      <c r="G81" s="63"/>
      <c r="H81" s="63"/>
      <c r="I81" s="63"/>
      <c r="J81" s="63"/>
      <c r="K81" s="266"/>
      <c r="L81" s="266"/>
      <c r="M81" s="266"/>
      <c r="N81" s="266"/>
      <c r="O81" s="266"/>
      <c r="P81" s="266"/>
      <c r="Q81" s="266"/>
      <c r="R81" s="266"/>
      <c r="S81" s="266"/>
    </row>
    <row r="82" spans="2:19">
      <c r="B82" s="63"/>
      <c r="C82" s="266"/>
      <c r="D82" s="266"/>
      <c r="E82" s="266"/>
      <c r="F82" s="63"/>
      <c r="G82" s="63"/>
      <c r="H82" s="63"/>
      <c r="I82" s="63"/>
      <c r="J82" s="63"/>
      <c r="K82" s="266"/>
      <c r="L82" s="266"/>
      <c r="M82" s="266"/>
      <c r="N82" s="266"/>
      <c r="O82" s="266"/>
      <c r="P82" s="266"/>
      <c r="Q82" s="266"/>
      <c r="R82" s="266"/>
      <c r="S82" s="266"/>
    </row>
    <row r="83" spans="2:19">
      <c r="B83" s="63"/>
      <c r="C83" s="266"/>
      <c r="D83" s="266"/>
      <c r="E83" s="266"/>
      <c r="F83" s="63"/>
      <c r="G83" s="63"/>
      <c r="H83" s="63"/>
      <c r="I83" s="63"/>
      <c r="J83" s="63"/>
      <c r="K83" s="266"/>
      <c r="L83" s="266"/>
      <c r="M83" s="266"/>
      <c r="N83" s="266"/>
      <c r="O83" s="266"/>
      <c r="P83" s="266"/>
      <c r="Q83" s="266"/>
      <c r="R83" s="266"/>
      <c r="S83" s="266"/>
    </row>
    <row r="84" spans="2:19">
      <c r="B84" s="63"/>
      <c r="C84" s="266"/>
      <c r="D84" s="266"/>
      <c r="E84" s="266"/>
      <c r="F84" s="63"/>
      <c r="G84" s="63"/>
      <c r="H84" s="63"/>
      <c r="I84" s="63"/>
      <c r="J84" s="63"/>
      <c r="K84" s="266"/>
      <c r="L84" s="266"/>
      <c r="M84" s="266"/>
      <c r="N84" s="266"/>
      <c r="O84" s="266"/>
      <c r="P84" s="266"/>
      <c r="Q84" s="266"/>
      <c r="R84" s="266"/>
      <c r="S84" s="266"/>
    </row>
    <row r="85" spans="2:19">
      <c r="B85" s="63"/>
      <c r="C85" s="266"/>
      <c r="D85" s="266"/>
      <c r="E85" s="266"/>
      <c r="F85" s="63"/>
      <c r="G85" s="63"/>
      <c r="H85" s="63"/>
      <c r="I85" s="63"/>
      <c r="J85" s="63"/>
      <c r="K85" s="266"/>
      <c r="L85" s="266"/>
      <c r="M85" s="266"/>
      <c r="N85" s="266"/>
      <c r="O85" s="266"/>
      <c r="P85" s="266"/>
      <c r="Q85" s="266"/>
      <c r="R85" s="266"/>
      <c r="S85" s="266"/>
    </row>
    <row r="86" spans="2:19">
      <c r="B86" s="63"/>
      <c r="C86" s="266"/>
      <c r="D86" s="266"/>
      <c r="E86" s="266"/>
      <c r="F86" s="63"/>
      <c r="G86" s="63"/>
      <c r="H86" s="63"/>
      <c r="I86" s="63"/>
      <c r="J86" s="63"/>
      <c r="K86" s="266"/>
      <c r="L86" s="266"/>
      <c r="M86" s="266"/>
      <c r="N86" s="266"/>
      <c r="O86" s="266"/>
      <c r="P86" s="266"/>
      <c r="Q86" s="266"/>
      <c r="R86" s="266"/>
      <c r="S86" s="266"/>
    </row>
    <row r="87" spans="2:19">
      <c r="B87" s="63"/>
      <c r="C87" s="266"/>
      <c r="D87" s="266"/>
      <c r="E87" s="266"/>
      <c r="F87" s="63"/>
      <c r="G87" s="63"/>
      <c r="H87" s="63"/>
      <c r="I87" s="63"/>
      <c r="J87" s="63"/>
      <c r="K87" s="266"/>
      <c r="L87" s="266"/>
      <c r="M87" s="266"/>
      <c r="N87" s="266"/>
      <c r="O87" s="266"/>
      <c r="P87" s="266"/>
      <c r="Q87" s="266"/>
      <c r="R87" s="266"/>
      <c r="S87" s="266"/>
    </row>
    <row r="88" spans="2:19">
      <c r="B88" s="63"/>
      <c r="C88" s="266"/>
      <c r="D88" s="266"/>
      <c r="E88" s="266"/>
      <c r="F88" s="63"/>
      <c r="G88" s="63"/>
      <c r="H88" s="63"/>
      <c r="I88" s="63"/>
      <c r="J88" s="63"/>
      <c r="K88" s="266"/>
      <c r="L88" s="266"/>
      <c r="M88" s="266"/>
      <c r="N88" s="266"/>
      <c r="O88" s="266"/>
      <c r="P88" s="266"/>
      <c r="Q88" s="266"/>
      <c r="R88" s="266"/>
      <c r="S88" s="266"/>
    </row>
    <row r="89" spans="2:19">
      <c r="B89" s="63"/>
      <c r="C89" s="266"/>
      <c r="D89" s="266"/>
      <c r="E89" s="266"/>
      <c r="F89" s="63"/>
      <c r="G89" s="63"/>
      <c r="H89" s="63"/>
      <c r="I89" s="63"/>
      <c r="J89" s="63"/>
      <c r="K89" s="266"/>
      <c r="L89" s="266"/>
      <c r="M89" s="266"/>
      <c r="N89" s="266"/>
      <c r="O89" s="266"/>
      <c r="P89" s="266"/>
      <c r="Q89" s="266"/>
      <c r="R89" s="266"/>
      <c r="S89" s="266"/>
    </row>
    <row r="90" spans="2:19">
      <c r="B90" s="63"/>
      <c r="C90" s="266"/>
      <c r="D90" s="266"/>
      <c r="E90" s="266"/>
      <c r="F90" s="63"/>
      <c r="G90" s="63"/>
      <c r="H90" s="63"/>
      <c r="I90" s="63"/>
      <c r="J90" s="63"/>
      <c r="K90" s="266"/>
      <c r="L90" s="266"/>
      <c r="M90" s="266"/>
      <c r="N90" s="266"/>
      <c r="O90" s="266"/>
      <c r="P90" s="266"/>
      <c r="Q90" s="266"/>
      <c r="R90" s="266"/>
      <c r="S90" s="266"/>
    </row>
    <row r="91" spans="2:19">
      <c r="B91" s="63"/>
      <c r="C91" s="266"/>
      <c r="D91" s="266"/>
      <c r="E91" s="266"/>
      <c r="F91" s="63"/>
      <c r="G91" s="63"/>
      <c r="H91" s="63"/>
      <c r="I91" s="63"/>
      <c r="J91" s="63"/>
      <c r="K91" s="266"/>
      <c r="L91" s="266"/>
      <c r="M91" s="266"/>
      <c r="N91" s="266"/>
      <c r="O91" s="266"/>
      <c r="P91" s="266"/>
      <c r="Q91" s="266"/>
      <c r="R91" s="266"/>
      <c r="S91" s="266"/>
    </row>
    <row r="92" spans="2:19">
      <c r="B92" s="63"/>
      <c r="C92" s="266"/>
      <c r="D92" s="266"/>
      <c r="E92" s="266"/>
      <c r="F92" s="63"/>
      <c r="G92" s="63"/>
      <c r="H92" s="63"/>
      <c r="I92" s="63"/>
      <c r="J92" s="63"/>
      <c r="K92" s="266"/>
      <c r="L92" s="266"/>
      <c r="M92" s="266"/>
      <c r="N92" s="266"/>
      <c r="O92" s="266"/>
      <c r="P92" s="266"/>
      <c r="Q92" s="266"/>
      <c r="R92" s="266"/>
      <c r="S92" s="266"/>
    </row>
    <row r="93" spans="2:19">
      <c r="B93" s="63"/>
      <c r="C93" s="266"/>
      <c r="D93" s="266"/>
      <c r="E93" s="266"/>
      <c r="F93" s="63"/>
      <c r="G93" s="63"/>
      <c r="H93" s="63"/>
      <c r="I93" s="63"/>
      <c r="J93" s="63"/>
      <c r="K93" s="266"/>
      <c r="L93" s="266"/>
      <c r="M93" s="266"/>
      <c r="N93" s="266"/>
      <c r="O93" s="266"/>
      <c r="P93" s="266"/>
      <c r="Q93" s="266"/>
      <c r="R93" s="266"/>
      <c r="S93" s="266"/>
    </row>
    <row r="94" spans="2:19">
      <c r="B94" s="63"/>
      <c r="C94" s="266"/>
      <c r="D94" s="266"/>
      <c r="E94" s="266"/>
      <c r="F94" s="63"/>
      <c r="G94" s="63"/>
      <c r="H94" s="63"/>
      <c r="I94" s="63"/>
      <c r="J94" s="63"/>
      <c r="K94" s="266"/>
      <c r="L94" s="266"/>
      <c r="M94" s="266"/>
      <c r="N94" s="266"/>
      <c r="O94" s="266"/>
      <c r="P94" s="266"/>
      <c r="Q94" s="266"/>
      <c r="R94" s="266"/>
      <c r="S94" s="266"/>
    </row>
    <row r="95" spans="2:19">
      <c r="B95" s="63"/>
      <c r="C95" s="266"/>
      <c r="D95" s="266"/>
      <c r="E95" s="266"/>
      <c r="F95" s="63"/>
      <c r="G95" s="63"/>
      <c r="H95" s="63"/>
      <c r="I95" s="63"/>
      <c r="J95" s="63"/>
      <c r="K95" s="266"/>
      <c r="L95" s="266"/>
      <c r="M95" s="266"/>
      <c r="N95" s="266"/>
      <c r="O95" s="266"/>
      <c r="P95" s="266"/>
      <c r="Q95" s="266"/>
      <c r="R95" s="266"/>
      <c r="S95" s="266"/>
    </row>
    <row r="96" spans="2:19">
      <c r="B96" s="63"/>
      <c r="C96" s="266"/>
      <c r="D96" s="266"/>
      <c r="E96" s="266"/>
      <c r="F96" s="63"/>
      <c r="G96" s="63"/>
      <c r="H96" s="63"/>
      <c r="I96" s="63"/>
      <c r="J96" s="63"/>
      <c r="K96" s="266"/>
      <c r="L96" s="266"/>
      <c r="M96" s="266"/>
      <c r="N96" s="266"/>
      <c r="O96" s="266"/>
      <c r="P96" s="266"/>
      <c r="Q96" s="266"/>
      <c r="R96" s="266"/>
      <c r="S96" s="266"/>
    </row>
    <row r="97" spans="2:19">
      <c r="B97" s="63"/>
      <c r="C97" s="266"/>
      <c r="D97" s="266"/>
      <c r="E97" s="266"/>
      <c r="F97" s="63"/>
      <c r="G97" s="63"/>
      <c r="H97" s="63"/>
      <c r="I97" s="63"/>
      <c r="J97" s="63"/>
      <c r="K97" s="266"/>
      <c r="L97" s="266"/>
      <c r="M97" s="266"/>
      <c r="N97" s="266"/>
      <c r="O97" s="266"/>
      <c r="P97" s="266"/>
      <c r="Q97" s="266"/>
      <c r="R97" s="266"/>
      <c r="S97" s="266"/>
    </row>
    <row r="98" spans="2:19">
      <c r="B98" s="63"/>
      <c r="C98" s="266"/>
      <c r="D98" s="266"/>
      <c r="E98" s="266"/>
      <c r="F98" s="63"/>
      <c r="G98" s="63"/>
      <c r="H98" s="63"/>
      <c r="I98" s="63"/>
      <c r="J98" s="63"/>
      <c r="K98" s="266"/>
      <c r="L98" s="266"/>
      <c r="M98" s="266"/>
      <c r="N98" s="266"/>
      <c r="O98" s="266"/>
      <c r="P98" s="266"/>
      <c r="Q98" s="266"/>
      <c r="R98" s="266"/>
      <c r="S98" s="266"/>
    </row>
    <row r="99" spans="2:19">
      <c r="B99" s="63"/>
      <c r="C99" s="266"/>
      <c r="D99" s="266"/>
      <c r="E99" s="266"/>
      <c r="F99" s="63"/>
      <c r="G99" s="63"/>
      <c r="H99" s="63"/>
      <c r="I99" s="63"/>
      <c r="J99" s="63"/>
      <c r="K99" s="266"/>
      <c r="L99" s="266"/>
      <c r="M99" s="266"/>
      <c r="N99" s="266"/>
      <c r="O99" s="266"/>
      <c r="P99" s="266"/>
      <c r="Q99" s="266"/>
      <c r="R99" s="266"/>
      <c r="S99" s="266"/>
    </row>
    <row r="100" spans="2:19">
      <c r="B100" s="63"/>
      <c r="C100" s="266"/>
      <c r="D100" s="266"/>
      <c r="E100" s="266"/>
      <c r="F100" s="63"/>
      <c r="G100" s="63"/>
      <c r="H100" s="63"/>
      <c r="I100" s="63"/>
      <c r="J100" s="63"/>
      <c r="K100" s="266"/>
      <c r="L100" s="266"/>
      <c r="M100" s="266"/>
      <c r="N100" s="266"/>
      <c r="O100" s="266"/>
      <c r="P100" s="266"/>
      <c r="Q100" s="266"/>
      <c r="R100" s="266"/>
      <c r="S100" s="266"/>
    </row>
    <row r="101" spans="2:19">
      <c r="B101" s="63"/>
      <c r="C101" s="266"/>
      <c r="D101" s="266"/>
      <c r="E101" s="266"/>
      <c r="F101" s="63"/>
      <c r="G101" s="63"/>
      <c r="H101" s="63"/>
      <c r="I101" s="63"/>
      <c r="J101" s="63"/>
      <c r="K101" s="266"/>
      <c r="L101" s="266"/>
      <c r="M101" s="266"/>
      <c r="N101" s="266"/>
      <c r="O101" s="266"/>
      <c r="P101" s="266"/>
      <c r="Q101" s="266"/>
      <c r="R101" s="266"/>
      <c r="S101" s="266"/>
    </row>
    <row r="102" spans="2:19">
      <c r="B102" s="63"/>
      <c r="C102" s="266"/>
      <c r="D102" s="266"/>
      <c r="E102" s="266"/>
      <c r="F102" s="63"/>
      <c r="G102" s="63"/>
      <c r="H102" s="63"/>
      <c r="I102" s="63"/>
      <c r="J102" s="63"/>
      <c r="K102" s="266"/>
      <c r="L102" s="266"/>
      <c r="M102" s="266"/>
      <c r="N102" s="266"/>
      <c r="O102" s="266"/>
      <c r="P102" s="266"/>
      <c r="Q102" s="266"/>
      <c r="R102" s="266"/>
      <c r="S102" s="266"/>
    </row>
    <row r="103" spans="2:19">
      <c r="B103" s="63"/>
      <c r="C103" s="266"/>
      <c r="D103" s="266"/>
      <c r="E103" s="266"/>
      <c r="F103" s="63"/>
      <c r="G103" s="63"/>
      <c r="H103" s="63"/>
      <c r="I103" s="63"/>
      <c r="J103" s="63"/>
      <c r="K103" s="266"/>
      <c r="L103" s="266"/>
      <c r="M103" s="266"/>
      <c r="N103" s="266"/>
      <c r="O103" s="266"/>
      <c r="P103" s="266"/>
      <c r="Q103" s="266"/>
      <c r="R103" s="266"/>
      <c r="S103" s="266"/>
    </row>
    <row r="104" spans="2:19">
      <c r="B104" s="63"/>
      <c r="C104" s="266"/>
      <c r="D104" s="266"/>
      <c r="E104" s="266"/>
      <c r="F104" s="63"/>
      <c r="G104" s="63"/>
      <c r="H104" s="63"/>
      <c r="I104" s="63"/>
      <c r="J104" s="63"/>
      <c r="K104" s="266"/>
      <c r="L104" s="266"/>
      <c r="M104" s="266"/>
      <c r="N104" s="266"/>
      <c r="O104" s="266"/>
      <c r="P104" s="266"/>
      <c r="Q104" s="266"/>
      <c r="R104" s="266"/>
      <c r="S104" s="266"/>
    </row>
    <row r="105" spans="2:19">
      <c r="B105" s="63"/>
      <c r="C105" s="266"/>
      <c r="D105" s="266"/>
      <c r="E105" s="266"/>
      <c r="F105" s="63"/>
      <c r="G105" s="63"/>
      <c r="H105" s="63"/>
      <c r="I105" s="63"/>
      <c r="J105" s="63"/>
      <c r="K105" s="266"/>
      <c r="L105" s="266"/>
      <c r="M105" s="266"/>
      <c r="N105" s="266"/>
      <c r="O105" s="266"/>
      <c r="P105" s="266"/>
      <c r="Q105" s="266"/>
      <c r="R105" s="266"/>
      <c r="S105" s="266"/>
    </row>
    <row r="106" spans="2:19">
      <c r="B106" s="63"/>
      <c r="C106" s="266"/>
      <c r="D106" s="266"/>
      <c r="E106" s="266"/>
      <c r="F106" s="63"/>
      <c r="G106" s="63"/>
      <c r="H106" s="63"/>
      <c r="I106" s="63"/>
      <c r="J106" s="63"/>
      <c r="K106" s="266"/>
      <c r="L106" s="266"/>
      <c r="M106" s="266"/>
      <c r="N106" s="266"/>
      <c r="O106" s="266"/>
      <c r="P106" s="266"/>
      <c r="Q106" s="266"/>
      <c r="R106" s="266"/>
      <c r="S106" s="266"/>
    </row>
    <row r="107" spans="2:19">
      <c r="B107" s="63"/>
      <c r="C107" s="266"/>
      <c r="D107" s="266"/>
      <c r="E107" s="266"/>
      <c r="F107" s="63"/>
      <c r="G107" s="63"/>
      <c r="H107" s="63"/>
      <c r="I107" s="63"/>
      <c r="J107" s="63"/>
      <c r="K107" s="266"/>
      <c r="L107" s="266"/>
      <c r="M107" s="266"/>
      <c r="N107" s="266"/>
      <c r="O107" s="266"/>
      <c r="P107" s="266"/>
      <c r="Q107" s="266"/>
      <c r="R107" s="266"/>
      <c r="S107" s="266"/>
    </row>
    <row r="108" spans="2:19">
      <c r="B108" s="63"/>
      <c r="C108" s="266"/>
      <c r="D108" s="266"/>
      <c r="E108" s="266"/>
      <c r="F108" s="63"/>
      <c r="G108" s="63"/>
      <c r="H108" s="63"/>
      <c r="I108" s="63"/>
      <c r="J108" s="63"/>
      <c r="K108" s="266"/>
      <c r="L108" s="266"/>
      <c r="M108" s="266"/>
      <c r="N108" s="266"/>
      <c r="O108" s="266"/>
      <c r="P108" s="266"/>
      <c r="Q108" s="266"/>
      <c r="R108" s="266"/>
      <c r="S108" s="266"/>
    </row>
    <row r="109" spans="2:19">
      <c r="B109" s="63"/>
      <c r="C109" s="266"/>
      <c r="D109" s="266"/>
      <c r="E109" s="266"/>
      <c r="F109" s="63"/>
      <c r="G109" s="63"/>
      <c r="H109" s="63"/>
      <c r="I109" s="63"/>
      <c r="J109" s="63"/>
      <c r="K109" s="266"/>
      <c r="L109" s="266"/>
      <c r="M109" s="266"/>
      <c r="N109" s="266"/>
      <c r="O109" s="266"/>
      <c r="P109" s="266"/>
      <c r="Q109" s="266"/>
      <c r="R109" s="266"/>
      <c r="S109" s="266"/>
    </row>
    <row r="110" spans="2:19">
      <c r="B110" s="63"/>
      <c r="C110" s="266"/>
      <c r="D110" s="266"/>
      <c r="E110" s="266"/>
      <c r="F110" s="63"/>
      <c r="G110" s="63"/>
      <c r="H110" s="63"/>
      <c r="I110" s="63"/>
      <c r="J110" s="63"/>
      <c r="K110" s="266"/>
      <c r="L110" s="266"/>
      <c r="M110" s="266"/>
      <c r="N110" s="266"/>
      <c r="O110" s="266"/>
      <c r="P110" s="266"/>
      <c r="Q110" s="266"/>
      <c r="R110" s="266"/>
      <c r="S110" s="266"/>
    </row>
    <row r="111" spans="2:19">
      <c r="B111" s="63"/>
      <c r="C111" s="266"/>
      <c r="D111" s="266"/>
      <c r="E111" s="266"/>
      <c r="F111" s="63"/>
      <c r="G111" s="63"/>
      <c r="H111" s="63"/>
      <c r="I111" s="63"/>
      <c r="J111" s="63"/>
      <c r="K111" s="266"/>
      <c r="L111" s="266"/>
      <c r="M111" s="266"/>
      <c r="N111" s="266"/>
      <c r="O111" s="266"/>
      <c r="P111" s="266"/>
      <c r="Q111" s="266"/>
      <c r="R111" s="266"/>
      <c r="S111" s="266"/>
    </row>
    <row r="112" spans="2:19">
      <c r="B112" s="63"/>
      <c r="C112" s="266"/>
      <c r="D112" s="266"/>
      <c r="E112" s="266"/>
      <c r="F112" s="63"/>
      <c r="G112" s="63"/>
      <c r="H112" s="63"/>
      <c r="I112" s="63"/>
      <c r="J112" s="63"/>
      <c r="K112" s="266"/>
      <c r="L112" s="266"/>
      <c r="M112" s="266"/>
      <c r="N112" s="266"/>
      <c r="O112" s="266"/>
      <c r="P112" s="266"/>
      <c r="Q112" s="266"/>
      <c r="R112" s="266"/>
      <c r="S112" s="266"/>
    </row>
    <row r="113" spans="1:19">
      <c r="B113" s="63"/>
      <c r="C113" s="266"/>
      <c r="D113" s="266"/>
      <c r="E113" s="266"/>
      <c r="F113" s="63"/>
      <c r="G113" s="63"/>
      <c r="H113" s="63"/>
      <c r="I113" s="63"/>
      <c r="J113" s="63"/>
      <c r="K113" s="266"/>
      <c r="L113" s="266"/>
      <c r="M113" s="266"/>
      <c r="N113" s="266"/>
      <c r="O113" s="266"/>
      <c r="P113" s="266"/>
      <c r="Q113" s="266"/>
      <c r="R113" s="266"/>
      <c r="S113" s="266"/>
    </row>
    <row r="114" spans="1:19">
      <c r="B114" s="63"/>
      <c r="C114" s="266"/>
      <c r="D114" s="266"/>
      <c r="E114" s="266"/>
      <c r="F114" s="63"/>
      <c r="G114" s="63"/>
      <c r="H114" s="63"/>
      <c r="I114" s="63"/>
      <c r="J114" s="63"/>
      <c r="K114" s="266"/>
      <c r="L114" s="266"/>
      <c r="M114" s="266"/>
      <c r="N114" s="266"/>
      <c r="O114" s="266"/>
      <c r="P114" s="266"/>
      <c r="Q114" s="266"/>
      <c r="R114" s="266"/>
      <c r="S114" s="266"/>
    </row>
    <row r="115" spans="1:19">
      <c r="B115" s="63"/>
      <c r="C115" s="266"/>
      <c r="D115" s="266"/>
      <c r="E115" s="266"/>
      <c r="F115" s="63"/>
      <c r="G115" s="63"/>
      <c r="H115" s="63"/>
      <c r="I115" s="63"/>
      <c r="J115" s="63"/>
      <c r="K115" s="266"/>
      <c r="L115" s="266"/>
      <c r="M115" s="266"/>
      <c r="N115" s="266"/>
      <c r="O115" s="266"/>
      <c r="P115" s="266"/>
      <c r="Q115" s="266"/>
      <c r="R115" s="266"/>
      <c r="S115" s="266"/>
    </row>
    <row r="116" spans="1:19">
      <c r="B116" s="63"/>
      <c r="C116" s="266"/>
      <c r="D116" s="266"/>
      <c r="E116" s="266"/>
      <c r="F116" s="63"/>
      <c r="G116" s="63"/>
      <c r="H116" s="63"/>
      <c r="I116" s="63"/>
      <c r="J116" s="63"/>
      <c r="K116" s="266"/>
      <c r="L116" s="266"/>
      <c r="M116" s="266"/>
      <c r="N116" s="266"/>
      <c r="O116" s="266"/>
      <c r="P116" s="266"/>
      <c r="Q116" s="266"/>
      <c r="R116" s="266"/>
      <c r="S116" s="266"/>
    </row>
    <row r="117" spans="1:19">
      <c r="B117" s="63"/>
      <c r="C117" s="266"/>
      <c r="D117" s="266"/>
      <c r="E117" s="266"/>
      <c r="F117" s="63"/>
      <c r="G117" s="63"/>
      <c r="H117" s="63"/>
      <c r="I117" s="63"/>
      <c r="J117" s="63"/>
      <c r="K117" s="266"/>
      <c r="L117" s="266"/>
      <c r="M117" s="266"/>
      <c r="N117" s="266"/>
      <c r="O117" s="266"/>
      <c r="P117" s="266"/>
      <c r="Q117" s="266"/>
      <c r="R117" s="266"/>
      <c r="S117" s="266"/>
    </row>
    <row r="118" spans="1:19">
      <c r="B118" s="63"/>
      <c r="C118" s="266"/>
      <c r="D118" s="266"/>
      <c r="E118" s="266"/>
      <c r="F118" s="63"/>
      <c r="G118" s="63"/>
      <c r="H118" s="63"/>
      <c r="I118" s="63"/>
      <c r="J118" s="63"/>
      <c r="K118" s="266"/>
      <c r="L118" s="266"/>
      <c r="M118" s="266"/>
      <c r="N118" s="266"/>
      <c r="O118" s="266"/>
      <c r="P118" s="266"/>
      <c r="Q118" s="266"/>
      <c r="R118" s="266"/>
      <c r="S118" s="266"/>
    </row>
    <row r="119" spans="1:19">
      <c r="B119" s="63"/>
      <c r="C119" s="266"/>
      <c r="D119" s="266"/>
      <c r="E119" s="266"/>
      <c r="F119" s="63"/>
      <c r="G119" s="63"/>
      <c r="H119" s="63"/>
      <c r="I119" s="63"/>
      <c r="J119" s="63"/>
      <c r="K119" s="266"/>
      <c r="L119" s="266"/>
      <c r="M119" s="266"/>
      <c r="N119" s="266"/>
      <c r="O119" s="266"/>
      <c r="P119" s="266"/>
      <c r="Q119" s="266"/>
      <c r="R119" s="266"/>
      <c r="S119" s="266"/>
    </row>
    <row r="120" spans="1:19">
      <c r="B120" s="63"/>
      <c r="C120" s="266"/>
      <c r="D120" s="266"/>
      <c r="E120" s="266"/>
      <c r="F120" s="63"/>
      <c r="G120" s="63"/>
      <c r="H120" s="63"/>
      <c r="I120" s="63"/>
      <c r="J120" s="63"/>
      <c r="K120" s="266"/>
      <c r="L120" s="266"/>
      <c r="M120" s="266"/>
      <c r="N120" s="266"/>
      <c r="O120" s="266"/>
      <c r="P120" s="266"/>
      <c r="Q120" s="266"/>
      <c r="R120" s="266"/>
      <c r="S120" s="266"/>
    </row>
    <row r="121" spans="1:19">
      <c r="B121" s="63"/>
      <c r="C121" s="266"/>
      <c r="D121" s="266"/>
      <c r="E121" s="266"/>
      <c r="F121" s="63"/>
      <c r="G121" s="63"/>
      <c r="H121" s="63"/>
      <c r="I121" s="63"/>
      <c r="J121" s="63"/>
      <c r="K121" s="266"/>
      <c r="L121" s="266"/>
      <c r="M121" s="266"/>
      <c r="N121" s="266"/>
      <c r="O121" s="266"/>
      <c r="P121" s="266"/>
      <c r="Q121" s="266"/>
      <c r="R121" s="266"/>
      <c r="S121" s="266"/>
    </row>
    <row r="122" spans="1:19">
      <c r="B122" s="63"/>
      <c r="C122" s="266"/>
      <c r="D122" s="266"/>
      <c r="E122" s="266"/>
      <c r="F122" s="63"/>
      <c r="G122" s="63"/>
      <c r="H122" s="63"/>
      <c r="I122" s="63"/>
      <c r="J122" s="63"/>
      <c r="K122" s="266"/>
      <c r="L122" s="266"/>
      <c r="M122" s="266"/>
      <c r="N122" s="266"/>
      <c r="O122" s="266"/>
      <c r="P122" s="266"/>
      <c r="Q122" s="266"/>
      <c r="R122" s="266"/>
      <c r="S122" s="266"/>
    </row>
    <row r="123" spans="1:19">
      <c r="B123" s="63"/>
      <c r="C123" s="266"/>
      <c r="D123" s="266"/>
      <c r="E123" s="266"/>
      <c r="F123" s="63"/>
      <c r="G123" s="63"/>
      <c r="H123" s="63"/>
      <c r="I123" s="63"/>
      <c r="J123" s="63"/>
      <c r="K123" s="266"/>
      <c r="L123" s="266"/>
      <c r="M123" s="266"/>
      <c r="N123" s="266"/>
      <c r="O123" s="266"/>
      <c r="P123" s="266"/>
      <c r="Q123" s="266"/>
      <c r="R123" s="266"/>
      <c r="S123" s="266"/>
    </row>
    <row r="124" spans="1:19">
      <c r="A124" s="266"/>
      <c r="B124" s="63"/>
      <c r="C124" s="266"/>
      <c r="D124" s="266"/>
      <c r="E124" s="266"/>
      <c r="F124" s="63"/>
      <c r="G124" s="63"/>
      <c r="H124" s="63"/>
      <c r="I124" s="63"/>
      <c r="J124" s="63"/>
      <c r="K124" s="266"/>
      <c r="L124" s="266"/>
      <c r="M124" s="266"/>
      <c r="N124" s="266"/>
      <c r="O124" s="266"/>
      <c r="P124" s="266"/>
      <c r="Q124" s="266"/>
      <c r="R124" s="266"/>
      <c r="S124" s="266"/>
    </row>
    <row r="125" spans="1:19">
      <c r="A125" s="266"/>
      <c r="B125" s="63"/>
      <c r="C125" s="266"/>
      <c r="D125" s="266"/>
      <c r="E125" s="266"/>
      <c r="F125" s="63"/>
      <c r="G125" s="63"/>
      <c r="H125" s="63"/>
      <c r="I125" s="63"/>
      <c r="J125" s="63"/>
      <c r="K125" s="266"/>
      <c r="L125" s="266"/>
      <c r="M125" s="266"/>
      <c r="N125" s="266"/>
      <c r="O125" s="266"/>
      <c r="P125" s="266"/>
      <c r="Q125" s="266"/>
      <c r="R125" s="266"/>
      <c r="S125" s="266"/>
    </row>
    <row r="126" spans="1:19">
      <c r="A126" s="266"/>
      <c r="B126" s="63"/>
      <c r="C126" s="266"/>
      <c r="D126" s="266"/>
      <c r="E126" s="266"/>
      <c r="F126" s="63"/>
      <c r="G126" s="63"/>
      <c r="H126" s="63"/>
      <c r="I126" s="63"/>
      <c r="J126" s="63"/>
      <c r="K126" s="266"/>
      <c r="L126" s="266"/>
      <c r="M126" s="266"/>
      <c r="N126" s="266"/>
      <c r="O126" s="266"/>
      <c r="P126" s="266"/>
      <c r="Q126" s="266"/>
      <c r="R126" s="266"/>
      <c r="S126" s="266"/>
    </row>
    <row r="127" spans="1:19">
      <c r="A127" s="266"/>
      <c r="B127" s="63"/>
      <c r="C127" s="266"/>
      <c r="D127" s="266"/>
      <c r="E127" s="266"/>
      <c r="F127" s="63"/>
      <c r="G127" s="63"/>
      <c r="H127" s="63"/>
      <c r="I127" s="63"/>
      <c r="J127" s="63"/>
      <c r="K127" s="266"/>
      <c r="L127" s="266"/>
      <c r="M127" s="266"/>
      <c r="N127" s="266"/>
      <c r="O127" s="266"/>
      <c r="P127" s="266"/>
      <c r="Q127" s="266"/>
      <c r="R127" s="266"/>
      <c r="S127" s="266"/>
    </row>
    <row r="128" spans="1:19">
      <c r="A128" s="266"/>
      <c r="B128" s="63"/>
      <c r="C128" s="266"/>
      <c r="D128" s="266"/>
      <c r="E128" s="266"/>
      <c r="F128" s="63"/>
      <c r="G128" s="63"/>
      <c r="H128" s="63"/>
      <c r="I128" s="63"/>
      <c r="J128" s="63"/>
      <c r="K128" s="266"/>
      <c r="L128" s="266"/>
      <c r="M128" s="266"/>
      <c r="N128" s="266"/>
      <c r="O128" s="266"/>
      <c r="P128" s="266"/>
      <c r="Q128" s="266"/>
      <c r="R128" s="266"/>
      <c r="S128" s="266"/>
    </row>
    <row r="129" spans="1:19">
      <c r="A129" s="266"/>
      <c r="B129" s="63"/>
      <c r="C129" s="266"/>
      <c r="D129" s="266"/>
      <c r="E129" s="266"/>
      <c r="F129" s="63"/>
      <c r="G129" s="63"/>
      <c r="H129" s="63"/>
      <c r="I129" s="63"/>
      <c r="J129" s="63"/>
      <c r="K129" s="266"/>
      <c r="L129" s="266"/>
      <c r="M129" s="266"/>
      <c r="N129" s="266"/>
      <c r="O129" s="266"/>
      <c r="P129" s="266"/>
      <c r="Q129" s="266"/>
      <c r="R129" s="266"/>
      <c r="S129" s="266"/>
    </row>
    <row r="130" spans="1:19">
      <c r="A130" s="266"/>
      <c r="B130" s="63"/>
      <c r="C130" s="266"/>
      <c r="D130" s="266"/>
      <c r="E130" s="266"/>
      <c r="F130" s="63"/>
      <c r="G130" s="63"/>
      <c r="H130" s="63"/>
      <c r="I130" s="63"/>
      <c r="J130" s="63"/>
      <c r="K130" s="266"/>
      <c r="L130" s="266"/>
      <c r="M130" s="266"/>
      <c r="N130" s="266"/>
      <c r="O130" s="266"/>
      <c r="P130" s="266"/>
      <c r="Q130" s="266"/>
      <c r="R130" s="266"/>
      <c r="S130" s="266"/>
    </row>
    <row r="131" spans="1:19">
      <c r="A131" s="266"/>
      <c r="B131" s="63"/>
      <c r="C131" s="266"/>
      <c r="D131" s="266"/>
      <c r="E131" s="266"/>
      <c r="F131" s="63"/>
      <c r="G131" s="63"/>
      <c r="H131" s="63"/>
      <c r="I131" s="63"/>
      <c r="J131" s="63"/>
      <c r="K131" s="266"/>
      <c r="L131" s="266"/>
      <c r="M131" s="266"/>
      <c r="N131" s="266"/>
      <c r="O131" s="266"/>
      <c r="P131" s="266"/>
      <c r="Q131" s="266"/>
      <c r="R131" s="266"/>
      <c r="S131" s="266"/>
    </row>
    <row r="132" spans="1:19">
      <c r="A132" s="266"/>
      <c r="B132" s="63"/>
      <c r="C132" s="266"/>
      <c r="D132" s="266"/>
      <c r="E132" s="266"/>
      <c r="F132" s="63"/>
      <c r="G132" s="63"/>
      <c r="H132" s="63"/>
      <c r="I132" s="63"/>
      <c r="J132" s="63"/>
      <c r="K132" s="266"/>
      <c r="L132" s="266"/>
      <c r="M132" s="266"/>
      <c r="N132" s="266"/>
      <c r="O132" s="266"/>
      <c r="P132" s="266"/>
      <c r="Q132" s="266"/>
      <c r="R132" s="266"/>
      <c r="S132" s="266"/>
    </row>
    <row r="133" spans="1:19">
      <c r="A133" s="266"/>
      <c r="B133" s="63"/>
      <c r="C133" s="266"/>
      <c r="D133" s="266"/>
      <c r="E133" s="266"/>
      <c r="F133" s="63"/>
      <c r="G133" s="63"/>
      <c r="H133" s="63"/>
      <c r="I133" s="63"/>
      <c r="J133" s="63"/>
      <c r="K133" s="266"/>
      <c r="L133" s="266"/>
      <c r="M133" s="266"/>
      <c r="N133" s="266"/>
      <c r="O133" s="266"/>
      <c r="P133" s="266"/>
      <c r="Q133" s="266"/>
      <c r="R133" s="266"/>
      <c r="S133" s="266"/>
    </row>
    <row r="134" spans="1:19">
      <c r="A134" s="266"/>
      <c r="B134" s="63"/>
      <c r="C134" s="266"/>
      <c r="D134" s="266"/>
      <c r="E134" s="266"/>
      <c r="F134" s="63"/>
      <c r="G134" s="63"/>
      <c r="H134" s="63"/>
      <c r="I134" s="63"/>
      <c r="J134" s="63"/>
      <c r="K134" s="266"/>
      <c r="L134" s="266"/>
      <c r="M134" s="266"/>
      <c r="N134" s="266"/>
      <c r="O134" s="266"/>
      <c r="P134" s="266"/>
      <c r="Q134" s="266"/>
      <c r="R134" s="266"/>
      <c r="S134" s="266"/>
    </row>
    <row r="135" spans="1:19">
      <c r="A135" s="266"/>
      <c r="B135" s="63"/>
      <c r="C135" s="266"/>
      <c r="D135" s="266"/>
      <c r="E135" s="266"/>
      <c r="F135" s="63"/>
      <c r="G135" s="63"/>
      <c r="H135" s="63"/>
      <c r="I135" s="63"/>
      <c r="J135" s="63"/>
      <c r="K135" s="266"/>
      <c r="L135" s="266"/>
      <c r="M135" s="266"/>
      <c r="N135" s="266"/>
      <c r="O135" s="266"/>
      <c r="P135" s="266"/>
      <c r="Q135" s="266"/>
      <c r="R135" s="266"/>
      <c r="S135" s="266"/>
    </row>
    <row r="136" spans="1:19">
      <c r="A136" s="266"/>
      <c r="B136" s="63"/>
      <c r="C136" s="266"/>
      <c r="D136" s="266"/>
      <c r="E136" s="266"/>
      <c r="F136" s="63"/>
      <c r="G136" s="63"/>
      <c r="H136" s="63"/>
      <c r="I136" s="63"/>
      <c r="J136" s="63"/>
      <c r="K136" s="266"/>
      <c r="L136" s="266"/>
      <c r="M136" s="266"/>
      <c r="N136" s="266"/>
      <c r="O136" s="266"/>
      <c r="P136" s="266"/>
      <c r="Q136" s="266"/>
      <c r="R136" s="266"/>
      <c r="S136" s="266"/>
    </row>
    <row r="137" spans="1:19">
      <c r="A137" s="266"/>
      <c r="B137" s="63"/>
      <c r="C137" s="266"/>
      <c r="D137" s="266"/>
      <c r="E137" s="266"/>
      <c r="F137" s="63"/>
      <c r="G137" s="63"/>
      <c r="H137" s="63"/>
      <c r="I137" s="63"/>
      <c r="J137" s="63"/>
      <c r="K137" s="266"/>
      <c r="L137" s="266"/>
      <c r="M137" s="266"/>
      <c r="N137" s="266"/>
      <c r="O137" s="266"/>
      <c r="P137" s="266"/>
      <c r="Q137" s="266"/>
      <c r="R137" s="266"/>
      <c r="S137" s="266"/>
    </row>
    <row r="138" spans="1:19">
      <c r="A138" s="266"/>
      <c r="B138" s="63"/>
      <c r="C138" s="266"/>
      <c r="D138" s="266"/>
      <c r="E138" s="266"/>
      <c r="F138" s="63"/>
      <c r="G138" s="63"/>
      <c r="H138" s="63"/>
      <c r="I138" s="63"/>
      <c r="J138" s="63"/>
      <c r="K138" s="266"/>
      <c r="L138" s="266"/>
      <c r="M138" s="266"/>
      <c r="N138" s="266"/>
      <c r="O138" s="266"/>
      <c r="P138" s="266"/>
      <c r="Q138" s="266"/>
      <c r="R138" s="266"/>
      <c r="S138" s="266"/>
    </row>
    <row r="139" spans="1:19">
      <c r="A139" s="266"/>
      <c r="B139" s="63"/>
      <c r="C139" s="266"/>
      <c r="D139" s="266"/>
      <c r="E139" s="266"/>
      <c r="F139" s="63"/>
      <c r="G139" s="63"/>
      <c r="H139" s="63"/>
      <c r="I139" s="63"/>
      <c r="J139" s="63"/>
      <c r="K139" s="266"/>
      <c r="L139" s="266"/>
      <c r="M139" s="266"/>
      <c r="N139" s="266"/>
      <c r="O139" s="266"/>
      <c r="P139" s="266"/>
      <c r="Q139" s="266"/>
      <c r="R139" s="266"/>
      <c r="S139" s="266"/>
    </row>
    <row r="140" spans="1:19">
      <c r="A140" s="266"/>
      <c r="B140" s="63"/>
      <c r="C140" s="266"/>
      <c r="D140" s="266"/>
      <c r="E140" s="266"/>
      <c r="F140" s="63"/>
      <c r="G140" s="63"/>
      <c r="H140" s="63"/>
      <c r="I140" s="63"/>
      <c r="J140" s="63"/>
      <c r="K140" s="266"/>
      <c r="L140" s="266"/>
      <c r="M140" s="266"/>
      <c r="N140" s="266"/>
      <c r="O140" s="266"/>
      <c r="P140" s="266"/>
      <c r="Q140" s="266"/>
      <c r="R140" s="266"/>
      <c r="S140" s="266"/>
    </row>
    <row r="141" spans="1:19">
      <c r="A141" s="266"/>
      <c r="B141" s="63"/>
      <c r="C141" s="266"/>
      <c r="D141" s="266"/>
      <c r="E141" s="266"/>
      <c r="F141" s="63"/>
      <c r="G141" s="63"/>
      <c r="H141" s="63"/>
      <c r="I141" s="63"/>
      <c r="J141" s="63"/>
      <c r="K141" s="266"/>
      <c r="L141" s="266"/>
      <c r="M141" s="266"/>
      <c r="N141" s="266"/>
      <c r="O141" s="266"/>
      <c r="P141" s="266"/>
      <c r="Q141" s="266"/>
      <c r="R141" s="266"/>
      <c r="S141" s="266"/>
    </row>
    <row r="142" spans="1:19">
      <c r="A142" s="266"/>
      <c r="B142" s="63"/>
      <c r="C142" s="266"/>
      <c r="D142" s="266"/>
      <c r="E142" s="266"/>
      <c r="F142" s="63"/>
      <c r="G142" s="63"/>
      <c r="H142" s="63"/>
      <c r="I142" s="63"/>
      <c r="J142" s="63"/>
      <c r="K142" s="266"/>
      <c r="L142" s="266"/>
      <c r="M142" s="266"/>
      <c r="N142" s="266"/>
      <c r="O142" s="266"/>
      <c r="P142" s="266"/>
      <c r="Q142" s="266"/>
      <c r="R142" s="266"/>
      <c r="S142" s="266"/>
    </row>
    <row r="143" spans="1:19">
      <c r="A143" s="266"/>
      <c r="B143" s="63"/>
      <c r="C143" s="266"/>
      <c r="D143" s="266"/>
      <c r="E143" s="266"/>
      <c r="F143" s="63"/>
      <c r="G143" s="63"/>
      <c r="H143" s="63"/>
      <c r="I143" s="63"/>
      <c r="J143" s="63"/>
      <c r="K143" s="266"/>
      <c r="L143" s="266"/>
      <c r="M143" s="266"/>
      <c r="N143" s="266"/>
      <c r="O143" s="266"/>
      <c r="P143" s="266"/>
      <c r="Q143" s="266"/>
      <c r="R143" s="266"/>
      <c r="S143" s="266"/>
    </row>
    <row r="144" spans="1:19">
      <c r="A144" s="266"/>
      <c r="B144" s="63"/>
      <c r="C144" s="266"/>
      <c r="D144" s="266"/>
      <c r="E144" s="266"/>
      <c r="F144" s="63"/>
      <c r="G144" s="63"/>
      <c r="H144" s="63"/>
      <c r="I144" s="63"/>
      <c r="J144" s="63"/>
      <c r="K144" s="266"/>
      <c r="L144" s="266"/>
      <c r="M144" s="266"/>
      <c r="N144" s="266"/>
      <c r="O144" s="266"/>
      <c r="P144" s="266"/>
      <c r="Q144" s="266"/>
      <c r="R144" s="266"/>
      <c r="S144" s="266"/>
    </row>
    <row r="145" spans="1:19">
      <c r="A145" s="266"/>
      <c r="B145" s="63"/>
      <c r="C145" s="266"/>
      <c r="D145" s="266"/>
      <c r="E145" s="266"/>
      <c r="F145" s="63"/>
      <c r="G145" s="63"/>
      <c r="H145" s="63"/>
      <c r="I145" s="63"/>
      <c r="J145" s="63"/>
      <c r="K145" s="266"/>
      <c r="L145" s="266"/>
      <c r="M145" s="266"/>
      <c r="N145" s="266"/>
      <c r="O145" s="266"/>
      <c r="P145" s="266"/>
      <c r="Q145" s="266"/>
      <c r="R145" s="266"/>
      <c r="S145" s="266"/>
    </row>
    <row r="146" spans="1:19">
      <c r="A146" s="266"/>
      <c r="B146" s="63"/>
      <c r="C146" s="266"/>
      <c r="D146" s="266"/>
      <c r="E146" s="266"/>
      <c r="F146" s="63"/>
      <c r="G146" s="63"/>
      <c r="H146" s="63"/>
      <c r="I146" s="63"/>
      <c r="J146" s="63"/>
      <c r="K146" s="266"/>
      <c r="L146" s="266"/>
      <c r="M146" s="266"/>
      <c r="N146" s="266"/>
      <c r="O146" s="266"/>
      <c r="P146" s="266"/>
      <c r="Q146" s="266"/>
      <c r="R146" s="266"/>
      <c r="S146" s="266"/>
    </row>
    <row r="147" spans="1:19">
      <c r="A147" s="266"/>
      <c r="B147" s="63"/>
      <c r="C147" s="266"/>
      <c r="D147" s="266"/>
      <c r="E147" s="266"/>
      <c r="F147" s="63"/>
      <c r="G147" s="63"/>
      <c r="H147" s="63"/>
      <c r="I147" s="63"/>
      <c r="J147" s="63"/>
      <c r="K147" s="266"/>
      <c r="L147" s="266"/>
      <c r="M147" s="266"/>
      <c r="N147" s="266"/>
      <c r="O147" s="266"/>
      <c r="P147" s="266"/>
      <c r="Q147" s="266"/>
      <c r="R147" s="266"/>
      <c r="S147" s="266"/>
    </row>
    <row r="148" spans="1:19">
      <c r="A148" s="266"/>
      <c r="B148" s="63"/>
      <c r="C148" s="266"/>
      <c r="D148" s="266"/>
      <c r="E148" s="266"/>
      <c r="F148" s="63"/>
      <c r="G148" s="63"/>
      <c r="H148" s="63"/>
      <c r="I148" s="63"/>
      <c r="J148" s="63"/>
      <c r="K148" s="266"/>
      <c r="L148" s="266"/>
      <c r="M148" s="266"/>
      <c r="N148" s="266"/>
      <c r="O148" s="266"/>
      <c r="P148" s="266"/>
      <c r="Q148" s="266"/>
      <c r="R148" s="266"/>
      <c r="S148" s="266"/>
    </row>
    <row r="149" spans="1:19">
      <c r="A149" s="266"/>
      <c r="B149" s="63"/>
      <c r="C149" s="266"/>
      <c r="D149" s="266"/>
      <c r="E149" s="266"/>
      <c r="F149" s="63"/>
      <c r="G149" s="63"/>
      <c r="H149" s="63"/>
      <c r="I149" s="63"/>
      <c r="J149" s="63"/>
      <c r="K149" s="266"/>
      <c r="L149" s="266"/>
      <c r="M149" s="266"/>
      <c r="N149" s="266"/>
      <c r="O149" s="266"/>
      <c r="P149" s="266"/>
      <c r="Q149" s="266"/>
      <c r="R149" s="266"/>
      <c r="S149" s="266"/>
    </row>
    <row r="150" spans="1:19">
      <c r="A150" s="266"/>
      <c r="B150" s="63"/>
      <c r="C150" s="266"/>
      <c r="D150" s="266"/>
      <c r="E150" s="266"/>
      <c r="F150" s="63"/>
      <c r="G150" s="63"/>
      <c r="H150" s="63"/>
      <c r="I150" s="63"/>
      <c r="J150" s="63"/>
      <c r="K150" s="266"/>
      <c r="L150" s="266"/>
      <c r="M150" s="266"/>
      <c r="N150" s="266"/>
      <c r="O150" s="266"/>
      <c r="P150" s="266"/>
      <c r="Q150" s="266"/>
      <c r="R150" s="266"/>
      <c r="S150" s="266"/>
    </row>
    <row r="151" spans="1:19">
      <c r="A151" s="266"/>
      <c r="B151" s="63"/>
      <c r="C151" s="266"/>
      <c r="D151" s="266"/>
      <c r="E151" s="266"/>
      <c r="F151" s="63"/>
      <c r="G151" s="63"/>
      <c r="H151" s="63"/>
      <c r="I151" s="63"/>
      <c r="J151" s="63"/>
      <c r="K151" s="266"/>
      <c r="L151" s="266"/>
      <c r="M151" s="266"/>
      <c r="N151" s="266"/>
      <c r="O151" s="266"/>
      <c r="P151" s="266"/>
      <c r="Q151" s="266"/>
      <c r="R151" s="266"/>
      <c r="S151" s="266"/>
    </row>
    <row r="152" spans="1:19">
      <c r="A152" s="266"/>
      <c r="B152" s="63"/>
      <c r="C152" s="266"/>
      <c r="D152" s="266"/>
      <c r="E152" s="266"/>
      <c r="F152" s="63"/>
      <c r="G152" s="63"/>
      <c r="H152" s="63"/>
      <c r="I152" s="63"/>
      <c r="J152" s="63"/>
      <c r="K152" s="266"/>
      <c r="L152" s="266"/>
      <c r="M152" s="266"/>
      <c r="N152" s="266"/>
      <c r="O152" s="266"/>
      <c r="P152" s="266"/>
      <c r="Q152" s="266"/>
      <c r="R152" s="266"/>
      <c r="S152" s="266"/>
    </row>
    <row r="153" spans="1:19">
      <c r="A153" s="266"/>
      <c r="B153" s="63"/>
      <c r="C153" s="266"/>
      <c r="D153" s="266"/>
      <c r="E153" s="266"/>
      <c r="F153" s="63"/>
      <c r="G153" s="63"/>
      <c r="H153" s="63"/>
      <c r="I153" s="63"/>
      <c r="J153" s="63"/>
      <c r="K153" s="266"/>
      <c r="L153" s="266"/>
      <c r="M153" s="266"/>
      <c r="N153" s="266"/>
      <c r="O153" s="266"/>
      <c r="P153" s="266"/>
      <c r="Q153" s="266"/>
      <c r="R153" s="266"/>
      <c r="S153" s="266"/>
    </row>
    <row r="154" spans="1:19">
      <c r="A154" s="266"/>
      <c r="B154" s="63"/>
      <c r="C154" s="266"/>
      <c r="D154" s="266"/>
      <c r="E154" s="266"/>
      <c r="F154" s="63"/>
      <c r="G154" s="63"/>
      <c r="H154" s="63"/>
      <c r="I154" s="63"/>
      <c r="J154" s="63"/>
      <c r="K154" s="266"/>
      <c r="L154" s="266"/>
      <c r="M154" s="266"/>
      <c r="N154" s="266"/>
      <c r="O154" s="266"/>
      <c r="P154" s="266"/>
      <c r="Q154" s="266"/>
      <c r="R154" s="266"/>
      <c r="S154" s="266"/>
    </row>
    <row r="155" spans="1:19">
      <c r="A155" s="266"/>
      <c r="B155" s="63"/>
      <c r="C155" s="266"/>
      <c r="D155" s="266"/>
      <c r="E155" s="266"/>
      <c r="F155" s="63"/>
      <c r="G155" s="63"/>
      <c r="H155" s="63"/>
      <c r="I155" s="63"/>
      <c r="J155" s="63"/>
      <c r="K155" s="266"/>
      <c r="L155" s="266"/>
      <c r="M155" s="266"/>
      <c r="N155" s="266"/>
      <c r="O155" s="266"/>
      <c r="P155" s="266"/>
      <c r="Q155" s="266"/>
      <c r="R155" s="266"/>
      <c r="S155" s="266"/>
    </row>
    <row r="156" spans="1:19">
      <c r="A156" s="266"/>
      <c r="B156" s="63"/>
      <c r="C156" s="266"/>
      <c r="D156" s="266"/>
      <c r="E156" s="266"/>
      <c r="F156" s="63"/>
      <c r="G156" s="63"/>
      <c r="H156" s="63"/>
      <c r="I156" s="63"/>
      <c r="J156" s="63"/>
      <c r="K156" s="266"/>
      <c r="L156" s="266"/>
      <c r="M156" s="266"/>
      <c r="N156" s="266"/>
      <c r="O156" s="266"/>
      <c r="P156" s="266"/>
      <c r="Q156" s="266"/>
      <c r="R156" s="266"/>
      <c r="S156" s="266"/>
    </row>
    <row r="157" spans="1:19">
      <c r="A157" s="266"/>
      <c r="B157" s="63"/>
      <c r="C157" s="266"/>
      <c r="D157" s="266"/>
      <c r="E157" s="266"/>
      <c r="F157" s="63"/>
      <c r="G157" s="63"/>
      <c r="H157" s="63"/>
      <c r="I157" s="63"/>
      <c r="J157" s="63"/>
      <c r="K157" s="266"/>
      <c r="L157" s="266"/>
      <c r="M157" s="266"/>
      <c r="N157" s="266"/>
      <c r="O157" s="266"/>
      <c r="P157" s="266"/>
      <c r="Q157" s="266"/>
      <c r="R157" s="266"/>
      <c r="S157" s="266"/>
    </row>
    <row r="158" spans="1:19">
      <c r="A158" s="266"/>
      <c r="B158" s="63"/>
      <c r="C158" s="266"/>
      <c r="D158" s="266"/>
      <c r="E158" s="266"/>
      <c r="F158" s="63"/>
      <c r="G158" s="63"/>
      <c r="H158" s="63"/>
      <c r="I158" s="63"/>
      <c r="J158" s="63"/>
      <c r="K158" s="266"/>
      <c r="L158" s="266"/>
      <c r="M158" s="266"/>
      <c r="N158" s="266"/>
      <c r="O158" s="266"/>
      <c r="P158" s="266"/>
      <c r="Q158" s="266"/>
      <c r="R158" s="266"/>
      <c r="S158" s="266"/>
    </row>
    <row r="159" spans="1:19">
      <c r="A159" s="266"/>
      <c r="B159" s="63"/>
      <c r="C159" s="266"/>
      <c r="D159" s="266"/>
      <c r="E159" s="266"/>
      <c r="F159" s="63"/>
      <c r="G159" s="63"/>
      <c r="H159" s="63"/>
      <c r="I159" s="63"/>
      <c r="J159" s="63"/>
      <c r="K159" s="266"/>
      <c r="L159" s="266"/>
      <c r="M159" s="266"/>
      <c r="N159" s="266"/>
      <c r="O159" s="266"/>
      <c r="P159" s="266"/>
      <c r="Q159" s="266"/>
      <c r="R159" s="266"/>
      <c r="S159" s="266"/>
    </row>
    <row r="160" spans="1:19">
      <c r="A160" s="266"/>
      <c r="B160" s="63"/>
      <c r="C160" s="266"/>
      <c r="D160" s="266"/>
      <c r="E160" s="266"/>
      <c r="F160" s="63"/>
      <c r="G160" s="63"/>
      <c r="H160" s="63"/>
      <c r="I160" s="63"/>
      <c r="J160" s="63"/>
      <c r="K160" s="266"/>
      <c r="L160" s="266"/>
      <c r="M160" s="266"/>
      <c r="N160" s="266"/>
      <c r="O160" s="266"/>
      <c r="P160" s="266"/>
      <c r="Q160" s="266"/>
      <c r="R160" s="266"/>
      <c r="S160" s="266"/>
    </row>
    <row r="161" spans="1:19">
      <c r="A161" s="266"/>
      <c r="B161" s="63"/>
      <c r="C161" s="266"/>
      <c r="D161" s="266"/>
      <c r="E161" s="266"/>
      <c r="F161" s="63"/>
      <c r="G161" s="63"/>
      <c r="H161" s="63"/>
      <c r="I161" s="63"/>
      <c r="J161" s="63"/>
      <c r="K161" s="266"/>
      <c r="L161" s="266"/>
      <c r="M161" s="266"/>
      <c r="N161" s="266"/>
      <c r="O161" s="266"/>
      <c r="P161" s="266"/>
      <c r="Q161" s="266"/>
      <c r="R161" s="266"/>
      <c r="S161" s="266"/>
    </row>
    <row r="162" spans="1:19">
      <c r="A162" s="266"/>
      <c r="B162" s="63"/>
      <c r="C162" s="266"/>
      <c r="D162" s="266"/>
      <c r="E162" s="266"/>
      <c r="F162" s="63"/>
      <c r="G162" s="63"/>
      <c r="H162" s="63"/>
      <c r="I162" s="63"/>
      <c r="J162" s="63"/>
      <c r="K162" s="266"/>
      <c r="L162" s="266"/>
      <c r="M162" s="266"/>
      <c r="N162" s="266"/>
      <c r="O162" s="266"/>
      <c r="P162" s="266"/>
      <c r="Q162" s="266"/>
      <c r="R162" s="266"/>
      <c r="S162" s="266"/>
    </row>
    <row r="163" spans="1:19">
      <c r="A163" s="266"/>
      <c r="B163" s="63"/>
      <c r="C163" s="266"/>
      <c r="D163" s="266"/>
      <c r="E163" s="266"/>
      <c r="F163" s="63"/>
      <c r="G163" s="63"/>
      <c r="H163" s="63"/>
      <c r="I163" s="63"/>
      <c r="J163" s="63"/>
      <c r="K163" s="266"/>
      <c r="L163" s="266"/>
      <c r="M163" s="266"/>
      <c r="N163" s="266"/>
      <c r="O163" s="266"/>
      <c r="P163" s="266"/>
      <c r="Q163" s="266"/>
      <c r="R163" s="266"/>
      <c r="S163" s="266"/>
    </row>
    <row r="164" spans="1:19">
      <c r="A164" s="266"/>
      <c r="B164" s="63"/>
      <c r="C164" s="266"/>
      <c r="D164" s="266"/>
      <c r="E164" s="266"/>
      <c r="F164" s="63"/>
      <c r="G164" s="63"/>
      <c r="H164" s="63"/>
      <c r="I164" s="63"/>
      <c r="J164" s="63"/>
      <c r="K164" s="266"/>
      <c r="L164" s="266"/>
      <c r="M164" s="266"/>
      <c r="N164" s="266"/>
      <c r="O164" s="266"/>
      <c r="P164" s="266"/>
      <c r="Q164" s="266"/>
      <c r="R164" s="266"/>
      <c r="S164" s="266"/>
    </row>
    <row r="165" spans="1:19">
      <c r="A165" s="266"/>
      <c r="B165" s="63"/>
      <c r="C165" s="266"/>
      <c r="D165" s="266"/>
      <c r="E165" s="266"/>
      <c r="F165" s="63"/>
      <c r="G165" s="63"/>
      <c r="H165" s="63"/>
      <c r="I165" s="63"/>
      <c r="J165" s="63"/>
      <c r="K165" s="266"/>
      <c r="L165" s="266"/>
      <c r="M165" s="266"/>
      <c r="N165" s="266"/>
      <c r="O165" s="266"/>
      <c r="P165" s="266"/>
      <c r="Q165" s="266"/>
      <c r="R165" s="266"/>
      <c r="S165" s="266"/>
    </row>
    <row r="166" spans="1:19">
      <c r="A166" s="266"/>
      <c r="B166" s="63"/>
      <c r="C166" s="266"/>
      <c r="D166" s="266"/>
      <c r="E166" s="266"/>
      <c r="F166" s="63"/>
      <c r="G166" s="63"/>
      <c r="H166" s="63"/>
      <c r="I166" s="63"/>
      <c r="J166" s="63"/>
      <c r="K166" s="266"/>
      <c r="L166" s="266"/>
      <c r="M166" s="266"/>
      <c r="N166" s="266"/>
      <c r="O166" s="266"/>
      <c r="P166" s="266"/>
      <c r="Q166" s="266"/>
      <c r="R166" s="266"/>
      <c r="S166" s="266"/>
    </row>
    <row r="167" spans="1:19">
      <c r="A167" s="266"/>
      <c r="B167" s="63"/>
      <c r="C167" s="266"/>
      <c r="D167" s="266"/>
      <c r="E167" s="266"/>
      <c r="F167" s="63"/>
      <c r="G167" s="63"/>
      <c r="H167" s="63"/>
      <c r="I167" s="63"/>
      <c r="J167" s="63"/>
      <c r="K167" s="266"/>
      <c r="L167" s="266"/>
      <c r="M167" s="266"/>
      <c r="N167" s="266"/>
      <c r="O167" s="266"/>
      <c r="P167" s="266"/>
      <c r="Q167" s="266"/>
      <c r="R167" s="266"/>
      <c r="S167" s="266"/>
    </row>
    <row r="168" spans="1:19">
      <c r="A168" s="266"/>
      <c r="B168" s="63"/>
      <c r="C168" s="266"/>
      <c r="D168" s="266"/>
      <c r="E168" s="266"/>
      <c r="F168" s="63"/>
      <c r="G168" s="63"/>
      <c r="H168" s="63"/>
      <c r="I168" s="63"/>
      <c r="J168" s="63"/>
      <c r="K168" s="266"/>
      <c r="L168" s="266"/>
      <c r="M168" s="266"/>
      <c r="N168" s="266"/>
      <c r="O168" s="266"/>
      <c r="P168" s="266"/>
      <c r="Q168" s="266"/>
      <c r="R168" s="266"/>
      <c r="S168" s="266"/>
    </row>
    <row r="169" spans="1:19">
      <c r="A169" s="266"/>
      <c r="B169" s="63"/>
      <c r="C169" s="266"/>
      <c r="D169" s="266"/>
      <c r="E169" s="266"/>
      <c r="F169" s="63"/>
      <c r="G169" s="63"/>
      <c r="H169" s="63"/>
      <c r="I169" s="63"/>
      <c r="J169" s="63"/>
      <c r="K169" s="266"/>
      <c r="L169" s="266"/>
      <c r="M169" s="266"/>
      <c r="N169" s="266"/>
      <c r="O169" s="266"/>
      <c r="P169" s="266"/>
      <c r="Q169" s="266"/>
      <c r="R169" s="266"/>
      <c r="S169" s="266"/>
    </row>
    <row r="170" spans="1:19">
      <c r="A170" s="266"/>
      <c r="B170" s="63"/>
      <c r="C170" s="266"/>
      <c r="D170" s="266"/>
      <c r="E170" s="266"/>
      <c r="F170" s="63"/>
      <c r="G170" s="63"/>
      <c r="H170" s="63"/>
      <c r="I170" s="63"/>
      <c r="J170" s="63"/>
      <c r="K170" s="266"/>
      <c r="L170" s="266"/>
      <c r="M170" s="266"/>
      <c r="N170" s="266"/>
      <c r="O170" s="266"/>
      <c r="P170" s="266"/>
      <c r="Q170" s="266"/>
      <c r="R170" s="266"/>
      <c r="S170" s="266"/>
    </row>
    <row r="171" spans="1:19">
      <c r="A171" s="266"/>
      <c r="B171" s="63"/>
      <c r="C171" s="266"/>
      <c r="D171" s="266"/>
      <c r="E171" s="266"/>
      <c r="F171" s="63"/>
      <c r="G171" s="63"/>
      <c r="H171" s="63"/>
      <c r="I171" s="63"/>
      <c r="J171" s="63"/>
      <c r="K171" s="266"/>
      <c r="L171" s="266"/>
      <c r="M171" s="266"/>
      <c r="N171" s="266"/>
      <c r="O171" s="266"/>
      <c r="P171" s="266"/>
      <c r="Q171" s="266"/>
      <c r="R171" s="266"/>
      <c r="S171" s="266"/>
    </row>
    <row r="172" spans="1:19">
      <c r="A172" s="266"/>
      <c r="B172" s="63"/>
      <c r="C172" s="266"/>
      <c r="D172" s="266"/>
      <c r="E172" s="266"/>
      <c r="F172" s="63"/>
      <c r="G172" s="63"/>
      <c r="H172" s="63"/>
      <c r="I172" s="63"/>
      <c r="J172" s="63"/>
      <c r="K172" s="266"/>
      <c r="L172" s="266"/>
      <c r="M172" s="266"/>
      <c r="N172" s="266"/>
      <c r="O172" s="266"/>
      <c r="P172" s="266"/>
      <c r="Q172" s="266"/>
      <c r="R172" s="266"/>
      <c r="S172" s="266"/>
    </row>
    <row r="173" spans="1:19">
      <c r="A173" s="266"/>
      <c r="B173" s="63"/>
      <c r="C173" s="266"/>
      <c r="D173" s="266"/>
      <c r="E173" s="266"/>
      <c r="F173" s="63"/>
      <c r="G173" s="63"/>
      <c r="H173" s="63"/>
      <c r="I173" s="63"/>
      <c r="J173" s="63"/>
      <c r="K173" s="266"/>
      <c r="L173" s="266"/>
      <c r="M173" s="266"/>
      <c r="N173" s="266"/>
      <c r="O173" s="266"/>
      <c r="P173" s="266"/>
      <c r="Q173" s="266"/>
      <c r="R173" s="266"/>
      <c r="S173" s="266"/>
    </row>
    <row r="174" spans="1:19">
      <c r="A174" s="266"/>
      <c r="B174" s="63"/>
      <c r="C174" s="266"/>
      <c r="D174" s="266"/>
      <c r="E174" s="266"/>
      <c r="F174" s="63"/>
      <c r="G174" s="63"/>
      <c r="H174" s="63"/>
      <c r="I174" s="63"/>
      <c r="J174" s="63"/>
      <c r="K174" s="266"/>
      <c r="L174" s="266"/>
      <c r="M174" s="266"/>
      <c r="N174" s="266"/>
      <c r="O174" s="266"/>
      <c r="P174" s="266"/>
      <c r="Q174" s="266"/>
      <c r="R174" s="266"/>
      <c r="S174" s="266"/>
    </row>
    <row r="175" spans="1:19">
      <c r="A175" s="266"/>
      <c r="B175" s="63"/>
      <c r="C175" s="266"/>
      <c r="D175" s="266"/>
      <c r="E175" s="266"/>
      <c r="F175" s="63"/>
      <c r="G175" s="63"/>
      <c r="H175" s="63"/>
      <c r="I175" s="63"/>
      <c r="J175" s="63"/>
      <c r="K175" s="266"/>
      <c r="L175" s="266"/>
      <c r="M175" s="266"/>
      <c r="N175" s="266"/>
      <c r="O175" s="266"/>
      <c r="P175" s="266"/>
      <c r="Q175" s="266"/>
      <c r="R175" s="266"/>
      <c r="S175" s="266"/>
    </row>
    <row r="176" spans="1:19">
      <c r="A176" s="266"/>
      <c r="B176" s="63"/>
      <c r="C176" s="266"/>
      <c r="D176" s="266"/>
      <c r="E176" s="266"/>
      <c r="F176" s="63"/>
      <c r="G176" s="63"/>
      <c r="H176" s="63"/>
      <c r="I176" s="63"/>
      <c r="J176" s="63"/>
      <c r="K176" s="266"/>
      <c r="L176" s="266"/>
      <c r="M176" s="266"/>
      <c r="N176" s="266"/>
      <c r="O176" s="266"/>
      <c r="P176" s="266"/>
      <c r="Q176" s="266"/>
      <c r="R176" s="266"/>
      <c r="S176" s="266"/>
    </row>
    <row r="177" spans="1:19">
      <c r="A177" s="266"/>
      <c r="B177" s="63"/>
      <c r="C177" s="266"/>
      <c r="D177" s="266"/>
      <c r="E177" s="266"/>
      <c r="F177" s="63"/>
      <c r="G177" s="63"/>
      <c r="H177" s="63"/>
      <c r="I177" s="63"/>
      <c r="J177" s="63"/>
      <c r="K177" s="266"/>
      <c r="L177" s="266"/>
      <c r="M177" s="266"/>
      <c r="N177" s="266"/>
      <c r="O177" s="266"/>
      <c r="P177" s="266"/>
      <c r="Q177" s="266"/>
      <c r="R177" s="266"/>
      <c r="S177" s="266"/>
    </row>
    <row r="178" spans="1:19">
      <c r="A178" s="266"/>
      <c r="B178" s="63"/>
      <c r="C178" s="266"/>
      <c r="D178" s="266"/>
      <c r="E178" s="266"/>
      <c r="F178" s="63"/>
      <c r="G178" s="63"/>
      <c r="H178" s="63"/>
      <c r="I178" s="63"/>
      <c r="J178" s="63"/>
      <c r="K178" s="266"/>
      <c r="L178" s="266"/>
      <c r="M178" s="266"/>
      <c r="N178" s="266"/>
      <c r="O178" s="266"/>
      <c r="P178" s="266"/>
      <c r="Q178" s="266"/>
      <c r="R178" s="266"/>
      <c r="S178" s="266"/>
    </row>
    <row r="179" spans="1:19">
      <c r="A179" s="266"/>
      <c r="B179" s="63"/>
      <c r="C179" s="266"/>
      <c r="D179" s="266"/>
      <c r="E179" s="266"/>
      <c r="F179" s="63"/>
      <c r="G179" s="63"/>
      <c r="H179" s="63"/>
      <c r="I179" s="63"/>
      <c r="J179" s="63"/>
      <c r="K179" s="266"/>
      <c r="L179" s="266"/>
      <c r="M179" s="266"/>
      <c r="N179" s="266"/>
      <c r="O179" s="266"/>
      <c r="P179" s="266"/>
      <c r="Q179" s="266"/>
      <c r="R179" s="266"/>
      <c r="S179" s="266"/>
    </row>
  </sheetData>
  <dataConsolidate/>
  <mergeCells count="38">
    <mergeCell ref="C1:K1"/>
    <mergeCell ref="M1:Q1"/>
    <mergeCell ref="R1:S1"/>
    <mergeCell ref="U1:W1"/>
    <mergeCell ref="R3:S3"/>
    <mergeCell ref="A4:A5"/>
    <mergeCell ref="R4:S5"/>
    <mergeCell ref="A6:A8"/>
    <mergeCell ref="R6:S8"/>
    <mergeCell ref="A9:A13"/>
    <mergeCell ref="R9:S13"/>
    <mergeCell ref="Y43:AD43"/>
    <mergeCell ref="A26:A27"/>
    <mergeCell ref="A28:A32"/>
    <mergeCell ref="U31:W31"/>
    <mergeCell ref="A33:A35"/>
    <mergeCell ref="R33:R35"/>
    <mergeCell ref="S33:S35"/>
    <mergeCell ref="R44:S44"/>
    <mergeCell ref="A45:A48"/>
    <mergeCell ref="R45:R48"/>
    <mergeCell ref="S45:S48"/>
    <mergeCell ref="A15:A20"/>
    <mergeCell ref="A21:A24"/>
    <mergeCell ref="R21:S24"/>
    <mergeCell ref="A36:A37"/>
    <mergeCell ref="R36:R37"/>
    <mergeCell ref="S36:S37"/>
    <mergeCell ref="A39:A40"/>
    <mergeCell ref="A41:A43"/>
    <mergeCell ref="Y63:AD63"/>
    <mergeCell ref="AG56:AL56"/>
    <mergeCell ref="Y61:AD61"/>
    <mergeCell ref="U46:W46"/>
    <mergeCell ref="A51:A52"/>
    <mergeCell ref="A53:A54"/>
    <mergeCell ref="A55:A56"/>
    <mergeCell ref="A49:A50"/>
  </mergeCells>
  <conditionalFormatting sqref="Q3:Q56">
    <cfRule type="cellIs" dxfId="113" priority="11" operator="lessThan">
      <formula>0</formula>
    </cfRule>
  </conditionalFormatting>
  <conditionalFormatting sqref="Z45:AE56">
    <cfRule type="cellIs" dxfId="112" priority="10" operator="greaterThan">
      <formula>0</formula>
    </cfRule>
  </conditionalFormatting>
  <conditionalFormatting sqref="AI73:AM77">
    <cfRule type="cellIs" dxfId="111" priority="7" operator="greaterThan">
      <formula>0</formula>
    </cfRule>
  </conditionalFormatting>
  <conditionalFormatting sqref="AH58:AM69">
    <cfRule type="cellIs" dxfId="110" priority="6" operator="greaterThan">
      <formula>0</formula>
    </cfRule>
  </conditionalFormatting>
  <conditionalFormatting sqref="AE65:AE76">
    <cfRule type="cellIs" dxfId="109" priority="5" operator="greaterThan">
      <formula>0</formula>
    </cfRule>
  </conditionalFormatting>
  <conditionalFormatting sqref="AA65:AD76">
    <cfRule type="cellIs" dxfId="108" priority="2" operator="greaterThan">
      <formula>0</formula>
    </cfRule>
  </conditionalFormatting>
  <conditionalFormatting sqref="Z65:Z76">
    <cfRule type="cellIs" dxfId="107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9"/>
  <sheetViews>
    <sheetView topLeftCell="W55" zoomScale="110" zoomScaleNormal="110" workbookViewId="0">
      <selection activeCell="AH75" sqref="AH75"/>
    </sheetView>
  </sheetViews>
  <sheetFormatPr defaultColWidth="9" defaultRowHeight="12.75"/>
  <cols>
    <col min="1" max="1" width="13.42578125" style="5" customWidth="1"/>
    <col min="2" max="2" width="22.7109375" style="62" customWidth="1"/>
    <col min="3" max="3" width="26.7109375" style="58" customWidth="1"/>
    <col min="4" max="4" width="16.85546875" style="58" customWidth="1"/>
    <col min="5" max="5" width="18.28515625" style="58" customWidth="1"/>
    <col min="6" max="6" width="23.7109375" style="60" customWidth="1"/>
    <col min="7" max="7" width="21.42578125" style="60" customWidth="1"/>
    <col min="8" max="8" width="23.7109375" style="60" customWidth="1"/>
    <col min="9" max="9" width="19.5703125" style="60" customWidth="1"/>
    <col min="10" max="10" width="23.7109375" style="60" customWidth="1"/>
    <col min="11" max="11" width="16.140625" style="58" customWidth="1"/>
    <col min="12" max="12" width="18.5703125" style="58" customWidth="1"/>
    <col min="13" max="13" width="28.85546875" style="58" customWidth="1"/>
    <col min="14" max="16" width="17.7109375" style="58" customWidth="1"/>
    <col min="17" max="17" width="23.28515625" style="58" customWidth="1"/>
    <col min="18" max="18" width="30.7109375" style="59" customWidth="1"/>
    <col min="19" max="19" width="28.140625" style="266" customWidth="1"/>
    <col min="20" max="20" width="26.42578125" style="58" customWidth="1"/>
    <col min="21" max="21" width="23" style="57" customWidth="1"/>
    <col min="22" max="22" width="22.85546875" style="5" customWidth="1"/>
    <col min="23" max="23" width="23.7109375" style="5" customWidth="1"/>
    <col min="24" max="24" width="21.5703125" style="5" customWidth="1"/>
    <col min="25" max="16384" width="9" style="5"/>
  </cols>
  <sheetData>
    <row r="1" spans="1:24" ht="14.25" customHeight="1">
      <c r="A1" s="184"/>
      <c r="B1" s="185"/>
      <c r="C1" s="572" t="s">
        <v>450</v>
      </c>
      <c r="D1" s="573"/>
      <c r="E1" s="573"/>
      <c r="F1" s="573"/>
      <c r="G1" s="573"/>
      <c r="H1" s="573"/>
      <c r="I1" s="573"/>
      <c r="J1" s="573"/>
      <c r="K1" s="574"/>
      <c r="L1" s="462"/>
      <c r="M1" s="570" t="s">
        <v>449</v>
      </c>
      <c r="N1" s="571"/>
      <c r="O1" s="571"/>
      <c r="P1" s="571"/>
      <c r="Q1" s="571"/>
      <c r="R1" s="613" t="s">
        <v>514</v>
      </c>
      <c r="S1" s="566"/>
      <c r="T1" s="566"/>
      <c r="V1" s="560"/>
      <c r="W1" s="560"/>
      <c r="X1" s="560"/>
    </row>
    <row r="2" spans="1:24" ht="13.5" thickBot="1">
      <c r="A2" s="184" t="s">
        <v>448</v>
      </c>
      <c r="B2" s="183" t="s">
        <v>447</v>
      </c>
      <c r="C2" s="182" t="s">
        <v>446</v>
      </c>
      <c r="D2" s="181" t="s">
        <v>34</v>
      </c>
      <c r="E2" s="180" t="s">
        <v>41</v>
      </c>
      <c r="F2" s="277" t="s">
        <v>445</v>
      </c>
      <c r="G2" s="181" t="s">
        <v>456</v>
      </c>
      <c r="H2" s="181" t="s">
        <v>458</v>
      </c>
      <c r="I2" s="181" t="s">
        <v>464</v>
      </c>
      <c r="J2" s="180" t="s">
        <v>33</v>
      </c>
      <c r="K2" s="278" t="s">
        <v>442</v>
      </c>
      <c r="L2" s="314" t="s">
        <v>79</v>
      </c>
      <c r="M2" s="179" t="s">
        <v>444</v>
      </c>
      <c r="N2" s="179" t="s">
        <v>34</v>
      </c>
      <c r="O2" s="178" t="s">
        <v>465</v>
      </c>
      <c r="P2" s="177" t="s">
        <v>33</v>
      </c>
      <c r="Q2" s="178" t="s">
        <v>442</v>
      </c>
      <c r="R2" s="175" t="s">
        <v>439</v>
      </c>
      <c r="S2" s="174" t="s">
        <v>438</v>
      </c>
      <c r="T2" s="173" t="s">
        <v>437</v>
      </c>
      <c r="V2" s="465"/>
      <c r="W2" s="465"/>
      <c r="X2" s="465"/>
    </row>
    <row r="3" spans="1:24" ht="15" customHeight="1" thickBot="1">
      <c r="A3" s="151" t="s">
        <v>436</v>
      </c>
      <c r="B3" s="172" t="s">
        <v>435</v>
      </c>
      <c r="C3" s="171" t="s">
        <v>434</v>
      </c>
      <c r="D3" s="170">
        <v>386.9</v>
      </c>
      <c r="E3" s="169">
        <f>IF(D3&lt;135,300, IF(AND(D3&gt;135,D3&lt;288),250, IF(AND(D3&gt;288,D3&lt;537),200,IF(AND(D3&gt;537,D3&lt;1096),150,100))))</f>
        <v>200</v>
      </c>
      <c r="F3" s="276">
        <v>131.95400000000001</v>
      </c>
      <c r="G3" s="169">
        <v>2.5</v>
      </c>
      <c r="H3" s="276">
        <f>F3*G3</f>
        <v>329.88499999999999</v>
      </c>
      <c r="I3" s="169">
        <f t="shared" ref="I3:I56" si="0">CEILING(H3/(0.84*E3),1)</f>
        <v>2</v>
      </c>
      <c r="J3" s="169">
        <f>I3*E3</f>
        <v>400</v>
      </c>
      <c r="K3" s="169">
        <f>J3-H3</f>
        <v>70.115000000000009</v>
      </c>
      <c r="L3" s="276">
        <f>H3/J3</f>
        <v>0.82471249999999996</v>
      </c>
      <c r="M3" s="166" t="s">
        <v>433</v>
      </c>
      <c r="N3" s="168">
        <v>598.85</v>
      </c>
      <c r="O3" s="167">
        <f>IF(N3&lt;135,300, IF(AND(N3&gt;135,N3&lt;288),250, IF(AND(N3&gt;288,N3&lt;537),200,IF(AND(N3&gt;537,N3&lt;1096),150,100))))</f>
        <v>150</v>
      </c>
      <c r="P3" s="166">
        <f>O3*I3</f>
        <v>300</v>
      </c>
      <c r="Q3" s="167">
        <f>P3-H3</f>
        <v>-29.884999999999991</v>
      </c>
      <c r="R3" s="361">
        <v>0.75</v>
      </c>
      <c r="S3" s="362" t="s">
        <v>2</v>
      </c>
      <c r="T3" s="363">
        <v>10</v>
      </c>
      <c r="V3" s="464"/>
      <c r="W3" s="464"/>
      <c r="X3" s="464"/>
    </row>
    <row r="4" spans="1:24" ht="15" customHeight="1" thickBot="1">
      <c r="A4" s="562" t="s">
        <v>44</v>
      </c>
      <c r="B4" s="165" t="s">
        <v>3</v>
      </c>
      <c r="C4" s="164" t="s">
        <v>44</v>
      </c>
      <c r="D4" s="163">
        <v>424.31</v>
      </c>
      <c r="E4" s="91">
        <f t="shared" ref="E4:E56" si="1">IF(D4&lt;135,300, IF(AND(D4&gt;135,D4&lt;288),250, IF(AND(D4&gt;288,D4&lt;537),200,IF(AND(D4&gt;537,D4&lt;1096),150,100))))</f>
        <v>200</v>
      </c>
      <c r="F4" s="267">
        <v>79.758499999999998</v>
      </c>
      <c r="G4" s="81">
        <v>2.5</v>
      </c>
      <c r="H4" s="269">
        <f t="shared" ref="H4:H56" si="2">F4*G4</f>
        <v>199.39625000000001</v>
      </c>
      <c r="I4" s="81">
        <f t="shared" si="0"/>
        <v>2</v>
      </c>
      <c r="J4" s="81">
        <f t="shared" ref="J4:J56" si="3">I4*E4</f>
        <v>400</v>
      </c>
      <c r="K4" s="81">
        <f t="shared" ref="K4:K13" si="4">J4-H4</f>
        <v>200.60374999999999</v>
      </c>
      <c r="L4" s="276">
        <f t="shared" ref="L4:L56" si="5">H4/J4</f>
        <v>0.49849062500000002</v>
      </c>
      <c r="M4" s="161" t="s">
        <v>432</v>
      </c>
      <c r="N4" s="162">
        <v>561.44000000000005</v>
      </c>
      <c r="O4" s="89">
        <f t="shared" ref="O4:O56" si="6">IF(N4&lt;135,300, IF(AND(N4&gt;135,N4&lt;288),250, IF(AND(N4&gt;288,N4&lt;537),200,IF(AND(N4&gt;537,N4&lt;1096),150,100))))</f>
        <v>150</v>
      </c>
      <c r="P4" s="88">
        <f t="shared" ref="P4:P56" si="7">O4*I4</f>
        <v>300</v>
      </c>
      <c r="Q4" s="89">
        <f t="shared" ref="Q4:Q13" si="8">P4-H4</f>
        <v>100.60374999999999</v>
      </c>
      <c r="R4" s="443"/>
      <c r="S4" s="611"/>
      <c r="T4" s="612"/>
      <c r="V4" s="465"/>
      <c r="W4" s="465"/>
      <c r="X4" s="465"/>
    </row>
    <row r="5" spans="1:24" ht="14.25" customHeight="1" thickBot="1">
      <c r="A5" s="563"/>
      <c r="B5" s="160" t="s">
        <v>25</v>
      </c>
      <c r="C5" s="111" t="s">
        <v>65</v>
      </c>
      <c r="D5" s="92">
        <v>645.40499999999997</v>
      </c>
      <c r="E5" s="91">
        <f t="shared" si="1"/>
        <v>150</v>
      </c>
      <c r="F5" s="268">
        <v>101.52370000000001</v>
      </c>
      <c r="G5" s="71">
        <v>2.5</v>
      </c>
      <c r="H5" s="271">
        <f t="shared" si="2"/>
        <v>253.80925000000002</v>
      </c>
      <c r="I5" s="71">
        <f t="shared" si="0"/>
        <v>3</v>
      </c>
      <c r="J5" s="71">
        <f t="shared" si="3"/>
        <v>450</v>
      </c>
      <c r="K5" s="71">
        <f t="shared" si="4"/>
        <v>196.19074999999998</v>
      </c>
      <c r="L5" s="276">
        <f t="shared" si="5"/>
        <v>0.56402055555555564</v>
      </c>
      <c r="M5" s="88" t="s">
        <v>427</v>
      </c>
      <c r="N5" s="90">
        <v>691.82</v>
      </c>
      <c r="O5" s="89">
        <f t="shared" si="6"/>
        <v>150</v>
      </c>
      <c r="P5" s="88">
        <f t="shared" si="7"/>
        <v>450</v>
      </c>
      <c r="Q5" s="89">
        <f t="shared" si="8"/>
        <v>196.19074999999998</v>
      </c>
      <c r="R5" s="361"/>
      <c r="S5" s="364"/>
      <c r="T5" s="365"/>
      <c r="V5" s="465"/>
      <c r="W5" s="465"/>
      <c r="X5" s="465"/>
    </row>
    <row r="6" spans="1:24" ht="14.25" customHeight="1" thickBot="1">
      <c r="A6" s="562" t="s">
        <v>431</v>
      </c>
      <c r="B6" s="84" t="s">
        <v>430</v>
      </c>
      <c r="C6" s="83" t="s">
        <v>390</v>
      </c>
      <c r="D6" s="82">
        <v>774.56</v>
      </c>
      <c r="E6" s="81">
        <f t="shared" si="1"/>
        <v>150</v>
      </c>
      <c r="F6" s="269">
        <v>593.39</v>
      </c>
      <c r="G6" s="91">
        <v>2.5</v>
      </c>
      <c r="H6" s="268">
        <f t="shared" si="2"/>
        <v>1483.4749999999999</v>
      </c>
      <c r="I6" s="91">
        <f t="shared" si="0"/>
        <v>12</v>
      </c>
      <c r="J6" s="91">
        <f t="shared" si="3"/>
        <v>1800</v>
      </c>
      <c r="K6" s="91">
        <f t="shared" si="4"/>
        <v>316.52500000000009</v>
      </c>
      <c r="L6" s="276">
        <f t="shared" si="5"/>
        <v>0.82415277777777773</v>
      </c>
      <c r="M6" s="98" t="s">
        <v>429</v>
      </c>
      <c r="N6" s="80">
        <v>778.62</v>
      </c>
      <c r="O6" s="79">
        <f t="shared" si="6"/>
        <v>150</v>
      </c>
      <c r="P6" s="98">
        <f t="shared" si="7"/>
        <v>1800</v>
      </c>
      <c r="Q6" s="79">
        <f t="shared" si="8"/>
        <v>316.52500000000009</v>
      </c>
      <c r="R6" s="360"/>
      <c r="S6" s="366"/>
      <c r="T6" s="367"/>
      <c r="V6" s="465"/>
      <c r="W6" s="465"/>
      <c r="X6" s="465"/>
    </row>
    <row r="7" spans="1:24" ht="14.25" customHeight="1" thickBot="1">
      <c r="A7" s="564"/>
      <c r="B7" s="94" t="s">
        <v>4</v>
      </c>
      <c r="C7" s="93" t="s">
        <v>45</v>
      </c>
      <c r="D7" s="105">
        <v>221.095</v>
      </c>
      <c r="E7" s="91">
        <f t="shared" si="1"/>
        <v>250</v>
      </c>
      <c r="F7" s="273">
        <v>165.54</v>
      </c>
      <c r="G7" s="91">
        <v>2.5</v>
      </c>
      <c r="H7" s="268">
        <f t="shared" si="2"/>
        <v>413.84999999999997</v>
      </c>
      <c r="I7" s="91">
        <f t="shared" si="0"/>
        <v>2</v>
      </c>
      <c r="J7" s="91">
        <f t="shared" si="3"/>
        <v>500</v>
      </c>
      <c r="K7" s="91">
        <f t="shared" si="4"/>
        <v>86.150000000000034</v>
      </c>
      <c r="L7" s="276">
        <f t="shared" si="5"/>
        <v>0.82769999999999988</v>
      </c>
      <c r="M7" s="99" t="s">
        <v>428</v>
      </c>
      <c r="N7" s="104">
        <v>904.18</v>
      </c>
      <c r="O7" s="89">
        <f t="shared" si="6"/>
        <v>150</v>
      </c>
      <c r="P7" s="88">
        <f t="shared" si="7"/>
        <v>300</v>
      </c>
      <c r="Q7" s="89">
        <f t="shared" si="8"/>
        <v>-113.84999999999997</v>
      </c>
      <c r="R7" s="360">
        <v>0.6</v>
      </c>
      <c r="S7" s="368" t="s">
        <v>507</v>
      </c>
      <c r="T7" s="369">
        <v>15</v>
      </c>
      <c r="V7" s="465"/>
      <c r="W7" s="465"/>
      <c r="X7" s="465"/>
    </row>
    <row r="8" spans="1:24" ht="14.25" customHeight="1" thickBot="1">
      <c r="A8" s="564"/>
      <c r="B8" s="94" t="s">
        <v>25</v>
      </c>
      <c r="C8" s="93" t="s">
        <v>65</v>
      </c>
      <c r="D8" s="92">
        <v>645.40499999999997</v>
      </c>
      <c r="E8" s="71">
        <f t="shared" si="1"/>
        <v>150</v>
      </c>
      <c r="F8" s="268">
        <v>101.52370000000001</v>
      </c>
      <c r="G8" s="91">
        <v>2.5</v>
      </c>
      <c r="H8" s="268">
        <f t="shared" si="2"/>
        <v>253.80925000000002</v>
      </c>
      <c r="I8" s="91">
        <f t="shared" si="0"/>
        <v>3</v>
      </c>
      <c r="J8" s="91">
        <f t="shared" si="3"/>
        <v>450</v>
      </c>
      <c r="K8" s="91">
        <f t="shared" si="4"/>
        <v>196.19074999999998</v>
      </c>
      <c r="L8" s="276">
        <f t="shared" si="5"/>
        <v>0.56402055555555564</v>
      </c>
      <c r="M8" s="88" t="s">
        <v>427</v>
      </c>
      <c r="N8" s="90">
        <v>691.82</v>
      </c>
      <c r="O8" s="115">
        <f t="shared" si="6"/>
        <v>150</v>
      </c>
      <c r="P8" s="69">
        <f t="shared" si="7"/>
        <v>450</v>
      </c>
      <c r="Q8" s="115">
        <f t="shared" si="8"/>
        <v>196.19074999999998</v>
      </c>
      <c r="R8" s="361"/>
      <c r="S8" s="370"/>
      <c r="T8" s="371"/>
      <c r="V8" s="465"/>
      <c r="W8" s="465"/>
      <c r="X8" s="465"/>
    </row>
    <row r="9" spans="1:24" ht="14.25" customHeight="1" thickBot="1">
      <c r="A9" s="562" t="s">
        <v>46</v>
      </c>
      <c r="B9" s="84" t="s">
        <v>5</v>
      </c>
      <c r="C9" s="83" t="s">
        <v>46</v>
      </c>
      <c r="D9" s="82">
        <v>87.444999999999993</v>
      </c>
      <c r="E9" s="91">
        <f t="shared" si="1"/>
        <v>300</v>
      </c>
      <c r="F9" s="269">
        <v>330.03719999999998</v>
      </c>
      <c r="G9" s="81">
        <v>2.5</v>
      </c>
      <c r="H9" s="269">
        <f t="shared" si="2"/>
        <v>825.09299999999996</v>
      </c>
      <c r="I9" s="81">
        <f t="shared" si="0"/>
        <v>4</v>
      </c>
      <c r="J9" s="81">
        <f t="shared" si="3"/>
        <v>1200</v>
      </c>
      <c r="K9" s="81">
        <f t="shared" si="4"/>
        <v>374.90700000000004</v>
      </c>
      <c r="L9" s="276">
        <f t="shared" si="5"/>
        <v>0.68757749999999995</v>
      </c>
      <c r="M9" s="98" t="s">
        <v>426</v>
      </c>
      <c r="N9" s="80">
        <v>243.73500000000001</v>
      </c>
      <c r="O9" s="89">
        <f t="shared" si="6"/>
        <v>250</v>
      </c>
      <c r="P9" s="88">
        <f t="shared" si="7"/>
        <v>1000</v>
      </c>
      <c r="Q9" s="89">
        <f t="shared" si="8"/>
        <v>174.90700000000004</v>
      </c>
      <c r="R9" s="443"/>
      <c r="S9" s="366"/>
      <c r="T9" s="367"/>
      <c r="V9" s="465"/>
      <c r="W9" s="465"/>
      <c r="X9" s="465"/>
    </row>
    <row r="10" spans="1:24" ht="14.25" customHeight="1" thickBot="1">
      <c r="A10" s="564"/>
      <c r="B10" s="94" t="s">
        <v>7</v>
      </c>
      <c r="C10" s="93" t="s">
        <v>48</v>
      </c>
      <c r="D10" s="105">
        <v>457.755</v>
      </c>
      <c r="E10" s="91">
        <f t="shared" si="1"/>
        <v>200</v>
      </c>
      <c r="F10" s="273">
        <v>200.11</v>
      </c>
      <c r="G10" s="91">
        <v>2.5</v>
      </c>
      <c r="H10" s="268">
        <f t="shared" si="2"/>
        <v>500.27500000000003</v>
      </c>
      <c r="I10" s="91">
        <f t="shared" si="0"/>
        <v>3</v>
      </c>
      <c r="J10" s="91">
        <f t="shared" si="3"/>
        <v>600</v>
      </c>
      <c r="K10" s="91">
        <f t="shared" si="4"/>
        <v>99.724999999999966</v>
      </c>
      <c r="L10" s="276">
        <f t="shared" si="5"/>
        <v>0.83379166666666671</v>
      </c>
      <c r="M10" s="99" t="s">
        <v>425</v>
      </c>
      <c r="N10" s="104">
        <v>614.06500000000005</v>
      </c>
      <c r="O10" s="89">
        <f t="shared" si="6"/>
        <v>150</v>
      </c>
      <c r="P10" s="88">
        <f t="shared" si="7"/>
        <v>450</v>
      </c>
      <c r="Q10" s="89">
        <f t="shared" si="8"/>
        <v>-50.275000000000034</v>
      </c>
      <c r="R10" s="360"/>
      <c r="S10" s="368"/>
      <c r="T10" s="369"/>
      <c r="V10" s="465"/>
      <c r="W10" s="465"/>
      <c r="X10" s="465"/>
    </row>
    <row r="11" spans="1:24" ht="14.25" customHeight="1" thickBot="1">
      <c r="A11" s="564"/>
      <c r="B11" s="94" t="s">
        <v>8</v>
      </c>
      <c r="C11" s="93" t="s">
        <v>74</v>
      </c>
      <c r="D11" s="105">
        <v>632.29</v>
      </c>
      <c r="E11" s="91">
        <f t="shared" si="1"/>
        <v>150</v>
      </c>
      <c r="F11" s="273">
        <v>416.14780000000002</v>
      </c>
      <c r="G11" s="91">
        <v>2.5</v>
      </c>
      <c r="H11" s="268">
        <f t="shared" si="2"/>
        <v>1040.3695</v>
      </c>
      <c r="I11" s="91">
        <f t="shared" si="0"/>
        <v>9</v>
      </c>
      <c r="J11" s="91">
        <f t="shared" si="3"/>
        <v>1350</v>
      </c>
      <c r="K11" s="91">
        <f t="shared" si="4"/>
        <v>309.63049999999998</v>
      </c>
      <c r="L11" s="276">
        <f t="shared" si="5"/>
        <v>0.77064407407407409</v>
      </c>
      <c r="M11" s="99" t="s">
        <v>424</v>
      </c>
      <c r="N11" s="104">
        <v>692.19500000000005</v>
      </c>
      <c r="O11" s="89">
        <f t="shared" si="6"/>
        <v>150</v>
      </c>
      <c r="P11" s="88">
        <f t="shared" si="7"/>
        <v>1350</v>
      </c>
      <c r="Q11" s="89">
        <f t="shared" si="8"/>
        <v>309.63049999999998</v>
      </c>
      <c r="R11" s="360">
        <v>0.75</v>
      </c>
      <c r="S11" s="368" t="s">
        <v>7</v>
      </c>
      <c r="T11" s="369">
        <v>17</v>
      </c>
      <c r="V11" s="465"/>
      <c r="W11" s="465"/>
      <c r="X11" s="465"/>
    </row>
    <row r="12" spans="1:24" ht="14.25" customHeight="1" thickBot="1">
      <c r="A12" s="564"/>
      <c r="B12" s="94" t="s">
        <v>12</v>
      </c>
      <c r="C12" s="93" t="s">
        <v>52</v>
      </c>
      <c r="D12" s="105">
        <v>428.91</v>
      </c>
      <c r="E12" s="91">
        <f t="shared" si="1"/>
        <v>200</v>
      </c>
      <c r="F12" s="273">
        <v>320.77999999999997</v>
      </c>
      <c r="G12" s="91">
        <v>2.5</v>
      </c>
      <c r="H12" s="268">
        <f t="shared" si="2"/>
        <v>801.94999999999993</v>
      </c>
      <c r="I12" s="91">
        <f t="shared" si="0"/>
        <v>5</v>
      </c>
      <c r="J12" s="91">
        <f t="shared" si="3"/>
        <v>1000</v>
      </c>
      <c r="K12" s="91">
        <f t="shared" si="4"/>
        <v>198.05000000000007</v>
      </c>
      <c r="L12" s="276">
        <f t="shared" si="5"/>
        <v>0.80194999999999994</v>
      </c>
      <c r="M12" s="99" t="s">
        <v>418</v>
      </c>
      <c r="N12" s="104">
        <v>440.09</v>
      </c>
      <c r="O12" s="89">
        <f t="shared" si="6"/>
        <v>200</v>
      </c>
      <c r="P12" s="88">
        <f t="shared" si="7"/>
        <v>1000</v>
      </c>
      <c r="Q12" s="89">
        <f t="shared" si="8"/>
        <v>198.05000000000007</v>
      </c>
      <c r="R12" s="360"/>
      <c r="S12" s="368"/>
      <c r="T12" s="369"/>
      <c r="V12" s="465"/>
      <c r="W12" s="465"/>
      <c r="X12" s="465"/>
    </row>
    <row r="13" spans="1:24" ht="14.25" customHeight="1" thickBot="1">
      <c r="A13" s="564"/>
      <c r="B13" s="94" t="s">
        <v>394</v>
      </c>
      <c r="C13" s="93" t="s">
        <v>63</v>
      </c>
      <c r="D13" s="92">
        <v>530.30999999999995</v>
      </c>
      <c r="E13" s="91">
        <f t="shared" si="1"/>
        <v>200</v>
      </c>
      <c r="F13" s="268">
        <v>22.35</v>
      </c>
      <c r="G13" s="71">
        <v>2.5</v>
      </c>
      <c r="H13" s="271">
        <f t="shared" si="2"/>
        <v>55.875</v>
      </c>
      <c r="I13" s="71">
        <f t="shared" si="0"/>
        <v>1</v>
      </c>
      <c r="J13" s="71">
        <f t="shared" si="3"/>
        <v>200</v>
      </c>
      <c r="K13" s="71">
        <f t="shared" si="4"/>
        <v>144.125</v>
      </c>
      <c r="L13" s="276">
        <f t="shared" si="5"/>
        <v>0.27937499999999998</v>
      </c>
      <c r="M13" s="88" t="s">
        <v>416</v>
      </c>
      <c r="N13" s="90">
        <v>541.49</v>
      </c>
      <c r="O13" s="89">
        <f t="shared" si="6"/>
        <v>150</v>
      </c>
      <c r="P13" s="88">
        <f t="shared" si="7"/>
        <v>150</v>
      </c>
      <c r="Q13" s="89">
        <f t="shared" si="8"/>
        <v>94.125</v>
      </c>
      <c r="R13" s="361"/>
      <c r="S13" s="370"/>
      <c r="T13" s="371"/>
      <c r="V13" s="465"/>
      <c r="W13" s="465"/>
      <c r="X13" s="465"/>
    </row>
    <row r="14" spans="1:24" ht="13.5" thickBot="1">
      <c r="A14" s="460" t="s">
        <v>424</v>
      </c>
      <c r="B14" s="84" t="s">
        <v>351</v>
      </c>
      <c r="C14" s="150"/>
      <c r="D14" s="82"/>
      <c r="E14" s="169">
        <f t="shared" si="1"/>
        <v>300</v>
      </c>
      <c r="F14" s="269"/>
      <c r="G14" s="91">
        <v>2.5</v>
      </c>
      <c r="H14" s="268">
        <f t="shared" si="2"/>
        <v>0</v>
      </c>
      <c r="I14" s="91">
        <f t="shared" si="0"/>
        <v>0</v>
      </c>
      <c r="J14" s="91">
        <f t="shared" si="3"/>
        <v>0</v>
      </c>
      <c r="K14" s="91"/>
      <c r="L14" s="276"/>
      <c r="M14" s="98"/>
      <c r="N14" s="80"/>
      <c r="O14" s="167">
        <f t="shared" si="6"/>
        <v>300</v>
      </c>
      <c r="P14" s="166">
        <f t="shared" si="7"/>
        <v>0</v>
      </c>
      <c r="Q14" s="167"/>
      <c r="R14" s="444"/>
      <c r="S14" s="158"/>
      <c r="T14" s="455"/>
      <c r="V14" s="465"/>
      <c r="W14" s="465"/>
      <c r="X14" s="465"/>
    </row>
    <row r="15" spans="1:24" ht="14.25" customHeight="1" thickBot="1">
      <c r="A15" s="562" t="s">
        <v>49</v>
      </c>
      <c r="B15" s="84" t="s">
        <v>423</v>
      </c>
      <c r="C15" s="83" t="s">
        <v>47</v>
      </c>
      <c r="D15" s="82">
        <v>341.36500000000001</v>
      </c>
      <c r="E15" s="91">
        <f t="shared" si="1"/>
        <v>200</v>
      </c>
      <c r="F15" s="269">
        <v>414.50749999999999</v>
      </c>
      <c r="G15" s="81">
        <v>2.5</v>
      </c>
      <c r="H15" s="269">
        <f t="shared" si="2"/>
        <v>1036.26875</v>
      </c>
      <c r="I15" s="81">
        <f t="shared" si="0"/>
        <v>7</v>
      </c>
      <c r="J15" s="81">
        <f t="shared" si="3"/>
        <v>1400</v>
      </c>
      <c r="K15" s="81">
        <f>J15-H15</f>
        <v>363.73125000000005</v>
      </c>
      <c r="L15" s="276">
        <f t="shared" si="5"/>
        <v>0.74019196428571421</v>
      </c>
      <c r="M15" s="98" t="s">
        <v>422</v>
      </c>
      <c r="N15" s="80">
        <v>527.53499999999997</v>
      </c>
      <c r="O15" s="89">
        <f t="shared" si="6"/>
        <v>200</v>
      </c>
      <c r="P15" s="88">
        <f t="shared" si="7"/>
        <v>1400</v>
      </c>
      <c r="Q15" s="89">
        <f>P15-H15</f>
        <v>363.73125000000005</v>
      </c>
      <c r="R15" s="360"/>
      <c r="S15" s="567"/>
      <c r="T15" s="608"/>
      <c r="V15" s="465"/>
      <c r="W15" s="465"/>
      <c r="X15" s="465"/>
    </row>
    <row r="16" spans="1:24" ht="14.25" customHeight="1" thickBot="1">
      <c r="A16" s="564"/>
      <c r="B16" s="94" t="s">
        <v>9</v>
      </c>
      <c r="C16" s="93" t="s">
        <v>421</v>
      </c>
      <c r="D16" s="105">
        <v>72.555000000000007</v>
      </c>
      <c r="E16" s="91">
        <f t="shared" si="1"/>
        <v>300</v>
      </c>
      <c r="F16" s="273">
        <v>249.06020000000001</v>
      </c>
      <c r="G16" s="91">
        <v>2.5</v>
      </c>
      <c r="H16" s="268">
        <f t="shared" si="2"/>
        <v>622.65049999999997</v>
      </c>
      <c r="I16" s="91">
        <f t="shared" si="0"/>
        <v>3</v>
      </c>
      <c r="J16" s="91">
        <f t="shared" si="3"/>
        <v>900</v>
      </c>
      <c r="K16" s="91">
        <f t="shared" ref="K16:K24" si="9">J16-H16</f>
        <v>277.34950000000003</v>
      </c>
      <c r="L16" s="276">
        <f t="shared" si="5"/>
        <v>0.69183388888888886</v>
      </c>
      <c r="M16" s="99" t="s">
        <v>420</v>
      </c>
      <c r="N16" s="104">
        <v>258.625</v>
      </c>
      <c r="O16" s="89">
        <f t="shared" si="6"/>
        <v>250</v>
      </c>
      <c r="P16" s="88">
        <f t="shared" si="7"/>
        <v>750</v>
      </c>
      <c r="Q16" s="89">
        <f t="shared" ref="Q16:Q24" si="10">P16-H16</f>
        <v>127.34950000000003</v>
      </c>
      <c r="R16" s="360"/>
      <c r="S16" s="568"/>
      <c r="T16" s="609"/>
      <c r="V16" s="465"/>
      <c r="W16" s="465"/>
      <c r="X16" s="465"/>
    </row>
    <row r="17" spans="1:26" ht="14.25" customHeight="1" thickBot="1">
      <c r="A17" s="564"/>
      <c r="B17" s="94" t="s">
        <v>10</v>
      </c>
      <c r="C17" s="93" t="s">
        <v>384</v>
      </c>
      <c r="D17" s="105">
        <v>894.93</v>
      </c>
      <c r="E17" s="91">
        <f t="shared" si="1"/>
        <v>150</v>
      </c>
      <c r="F17" s="273">
        <v>185.4342</v>
      </c>
      <c r="G17" s="91">
        <v>2.5</v>
      </c>
      <c r="H17" s="268">
        <f t="shared" si="2"/>
        <v>463.58550000000002</v>
      </c>
      <c r="I17" s="91">
        <f t="shared" si="0"/>
        <v>4</v>
      </c>
      <c r="J17" s="91">
        <f t="shared" si="3"/>
        <v>600</v>
      </c>
      <c r="K17" s="91">
        <f t="shared" si="9"/>
        <v>136.41449999999998</v>
      </c>
      <c r="L17" s="276">
        <f t="shared" si="5"/>
        <v>0.77264250000000001</v>
      </c>
      <c r="M17" s="99" t="s">
        <v>383</v>
      </c>
      <c r="N17" s="104">
        <v>975.03499999999997</v>
      </c>
      <c r="O17" s="89">
        <f t="shared" si="6"/>
        <v>150</v>
      </c>
      <c r="P17" s="88">
        <f t="shared" si="7"/>
        <v>600</v>
      </c>
      <c r="Q17" s="89">
        <f t="shared" si="10"/>
        <v>136.41449999999998</v>
      </c>
      <c r="R17" s="360"/>
      <c r="S17" s="568"/>
      <c r="T17" s="609"/>
      <c r="V17" s="465"/>
      <c r="W17" s="465"/>
      <c r="X17" s="465"/>
    </row>
    <row r="18" spans="1:26" ht="14.25" customHeight="1" thickBot="1">
      <c r="A18" s="564"/>
      <c r="B18" s="94" t="s">
        <v>11</v>
      </c>
      <c r="C18" s="93" t="s">
        <v>377</v>
      </c>
      <c r="D18" s="105">
        <v>839.23</v>
      </c>
      <c r="E18" s="91">
        <f t="shared" si="1"/>
        <v>150</v>
      </c>
      <c r="F18" s="273">
        <v>213.84829999999999</v>
      </c>
      <c r="G18" s="91">
        <v>2.5</v>
      </c>
      <c r="H18" s="268">
        <f t="shared" si="2"/>
        <v>534.62075000000004</v>
      </c>
      <c r="I18" s="91">
        <f t="shared" si="0"/>
        <v>5</v>
      </c>
      <c r="J18" s="91">
        <f t="shared" si="3"/>
        <v>750</v>
      </c>
      <c r="K18" s="91">
        <f t="shared" si="9"/>
        <v>215.37924999999996</v>
      </c>
      <c r="L18" s="276">
        <f t="shared" si="5"/>
        <v>0.71282766666666675</v>
      </c>
      <c r="M18" s="99" t="s">
        <v>419</v>
      </c>
      <c r="N18" s="104">
        <v>1025.3</v>
      </c>
      <c r="O18" s="89">
        <f t="shared" si="6"/>
        <v>150</v>
      </c>
      <c r="P18" s="88">
        <f t="shared" si="7"/>
        <v>750</v>
      </c>
      <c r="Q18" s="89">
        <f t="shared" si="10"/>
        <v>215.37924999999996</v>
      </c>
      <c r="R18" s="360"/>
      <c r="S18" s="568"/>
      <c r="T18" s="609"/>
      <c r="V18" s="465"/>
      <c r="W18" s="465"/>
      <c r="X18" s="465"/>
    </row>
    <row r="19" spans="1:26" ht="14.25" customHeight="1" thickBot="1">
      <c r="A19" s="564"/>
      <c r="B19" s="94" t="s">
        <v>12</v>
      </c>
      <c r="C19" s="93" t="s">
        <v>52</v>
      </c>
      <c r="D19" s="105">
        <v>428.91</v>
      </c>
      <c r="E19" s="91">
        <f t="shared" si="1"/>
        <v>200</v>
      </c>
      <c r="F19" s="273">
        <v>320.7817</v>
      </c>
      <c r="G19" s="91">
        <v>2.5</v>
      </c>
      <c r="H19" s="268">
        <f t="shared" si="2"/>
        <v>801.95425</v>
      </c>
      <c r="I19" s="91">
        <f t="shared" si="0"/>
        <v>5</v>
      </c>
      <c r="J19" s="91">
        <f t="shared" si="3"/>
        <v>1000</v>
      </c>
      <c r="K19" s="91">
        <f t="shared" si="9"/>
        <v>198.04575</v>
      </c>
      <c r="L19" s="276">
        <f t="shared" si="5"/>
        <v>0.80195424999999998</v>
      </c>
      <c r="M19" s="99" t="s">
        <v>418</v>
      </c>
      <c r="N19" s="104">
        <v>440.09</v>
      </c>
      <c r="O19" s="89">
        <f t="shared" si="6"/>
        <v>200</v>
      </c>
      <c r="P19" s="88">
        <f t="shared" si="7"/>
        <v>1000</v>
      </c>
      <c r="Q19" s="89">
        <f t="shared" si="10"/>
        <v>198.04575</v>
      </c>
      <c r="R19" s="360"/>
      <c r="S19" s="568"/>
      <c r="T19" s="609"/>
      <c r="V19" s="465"/>
      <c r="W19" s="465"/>
      <c r="X19" s="465"/>
    </row>
    <row r="20" spans="1:26" ht="14.25" customHeight="1" thickBot="1">
      <c r="A20" s="564"/>
      <c r="B20" s="94" t="s">
        <v>417</v>
      </c>
      <c r="C20" s="93" t="s">
        <v>409</v>
      </c>
      <c r="D20" s="92">
        <v>530.30999999999995</v>
      </c>
      <c r="E20" s="91">
        <f t="shared" si="1"/>
        <v>200</v>
      </c>
      <c r="F20" s="268">
        <v>22.35</v>
      </c>
      <c r="G20" s="71">
        <v>2.5</v>
      </c>
      <c r="H20" s="271">
        <f t="shared" si="2"/>
        <v>55.875</v>
      </c>
      <c r="I20" s="71">
        <f t="shared" si="0"/>
        <v>1</v>
      </c>
      <c r="J20" s="71">
        <f t="shared" si="3"/>
        <v>200</v>
      </c>
      <c r="K20" s="71">
        <f t="shared" si="9"/>
        <v>144.125</v>
      </c>
      <c r="L20" s="276">
        <f t="shared" si="5"/>
        <v>0.27937499999999998</v>
      </c>
      <c r="M20" s="88" t="s">
        <v>416</v>
      </c>
      <c r="N20" s="90">
        <v>541.49</v>
      </c>
      <c r="O20" s="89">
        <f t="shared" si="6"/>
        <v>150</v>
      </c>
      <c r="P20" s="88">
        <f t="shared" si="7"/>
        <v>150</v>
      </c>
      <c r="Q20" s="89">
        <f t="shared" si="10"/>
        <v>94.125</v>
      </c>
      <c r="R20" s="361"/>
      <c r="S20" s="569"/>
      <c r="T20" s="610"/>
      <c r="V20" s="18"/>
      <c r="W20" s="465"/>
      <c r="X20" s="465"/>
    </row>
    <row r="21" spans="1:26" ht="14.25" customHeight="1" thickBot="1">
      <c r="A21" s="562" t="s">
        <v>411</v>
      </c>
      <c r="B21" s="84" t="s">
        <v>7</v>
      </c>
      <c r="C21" s="83" t="s">
        <v>48</v>
      </c>
      <c r="D21" s="82">
        <v>457.755</v>
      </c>
      <c r="E21" s="81">
        <f t="shared" si="1"/>
        <v>200</v>
      </c>
      <c r="F21" s="269">
        <v>200.1122</v>
      </c>
      <c r="G21" s="91">
        <v>2.5</v>
      </c>
      <c r="H21" s="268">
        <f t="shared" si="2"/>
        <v>500.28050000000002</v>
      </c>
      <c r="I21" s="91">
        <f t="shared" si="0"/>
        <v>3</v>
      </c>
      <c r="J21" s="91">
        <f t="shared" si="3"/>
        <v>600</v>
      </c>
      <c r="K21" s="91">
        <f t="shared" si="9"/>
        <v>99.719499999999982</v>
      </c>
      <c r="L21" s="276">
        <f t="shared" si="5"/>
        <v>0.83380083333333332</v>
      </c>
      <c r="M21" s="98" t="s">
        <v>414</v>
      </c>
      <c r="N21" s="80">
        <v>733.18499999999995</v>
      </c>
      <c r="O21" s="79">
        <f t="shared" si="6"/>
        <v>150</v>
      </c>
      <c r="P21" s="98">
        <f t="shared" si="7"/>
        <v>450</v>
      </c>
      <c r="Q21" s="79">
        <f t="shared" si="10"/>
        <v>-50.280500000000018</v>
      </c>
      <c r="R21" s="360">
        <v>0.75</v>
      </c>
      <c r="S21" s="366" t="s">
        <v>7</v>
      </c>
      <c r="T21" s="367">
        <v>17</v>
      </c>
      <c r="V21" s="18"/>
      <c r="W21" s="465"/>
      <c r="X21" s="465"/>
    </row>
    <row r="22" spans="1:26" ht="14.25" customHeight="1" thickBot="1">
      <c r="A22" s="564"/>
      <c r="B22" s="94" t="s">
        <v>413</v>
      </c>
      <c r="C22" s="93" t="s">
        <v>74</v>
      </c>
      <c r="D22" s="105">
        <v>632.29</v>
      </c>
      <c r="E22" s="91">
        <f t="shared" si="1"/>
        <v>150</v>
      </c>
      <c r="F22" s="273">
        <v>416.14780000000002</v>
      </c>
      <c r="G22" s="91">
        <v>2.5</v>
      </c>
      <c r="H22" s="268">
        <f t="shared" si="2"/>
        <v>1040.3695</v>
      </c>
      <c r="I22" s="91">
        <f t="shared" si="0"/>
        <v>9</v>
      </c>
      <c r="J22" s="91">
        <f t="shared" si="3"/>
        <v>1350</v>
      </c>
      <c r="K22" s="91">
        <f t="shared" si="9"/>
        <v>309.63049999999998</v>
      </c>
      <c r="L22" s="276">
        <f t="shared" si="5"/>
        <v>0.77064407407407409</v>
      </c>
      <c r="M22" s="99" t="s">
        <v>361</v>
      </c>
      <c r="N22" s="104">
        <v>692.19500000000005</v>
      </c>
      <c r="O22" s="89">
        <f t="shared" si="6"/>
        <v>150</v>
      </c>
      <c r="P22" s="88">
        <f t="shared" si="7"/>
        <v>1350</v>
      </c>
      <c r="Q22" s="89">
        <f t="shared" si="10"/>
        <v>309.63049999999998</v>
      </c>
      <c r="R22" s="360"/>
      <c r="S22" s="360"/>
      <c r="T22" s="456"/>
      <c r="V22" s="465"/>
      <c r="W22" s="465"/>
      <c r="X22" s="465"/>
    </row>
    <row r="23" spans="1:26" ht="14.25" customHeight="1" thickBot="1">
      <c r="A23" s="564"/>
      <c r="B23" s="94" t="s">
        <v>412</v>
      </c>
      <c r="C23" s="93" t="s">
        <v>411</v>
      </c>
      <c r="D23" s="105">
        <v>370.31</v>
      </c>
      <c r="E23" s="91">
        <f t="shared" si="1"/>
        <v>200</v>
      </c>
      <c r="F23" s="273">
        <v>24.103000000000002</v>
      </c>
      <c r="G23" s="91">
        <v>2.5</v>
      </c>
      <c r="H23" s="268">
        <f t="shared" si="2"/>
        <v>60.257500000000007</v>
      </c>
      <c r="I23" s="91">
        <f t="shared" si="0"/>
        <v>1</v>
      </c>
      <c r="J23" s="91">
        <f t="shared" si="3"/>
        <v>200</v>
      </c>
      <c r="K23" s="91">
        <f t="shared" si="9"/>
        <v>139.74250000000001</v>
      </c>
      <c r="L23" s="276">
        <f t="shared" si="5"/>
        <v>0.30128750000000004</v>
      </c>
      <c r="M23" s="99" t="s">
        <v>410</v>
      </c>
      <c r="N23" s="104">
        <v>820.63</v>
      </c>
      <c r="O23" s="89">
        <f t="shared" si="6"/>
        <v>150</v>
      </c>
      <c r="P23" s="88">
        <f t="shared" si="7"/>
        <v>150</v>
      </c>
      <c r="Q23" s="89">
        <f t="shared" si="10"/>
        <v>89.742499999999993</v>
      </c>
      <c r="R23" s="360"/>
      <c r="S23" s="360"/>
      <c r="T23" s="456"/>
      <c r="V23" s="266"/>
      <c r="W23" s="57"/>
    </row>
    <row r="24" spans="1:26" ht="14.25" customHeight="1" thickBot="1">
      <c r="A24" s="564"/>
      <c r="B24" s="94" t="s">
        <v>394</v>
      </c>
      <c r="C24" s="93" t="s">
        <v>409</v>
      </c>
      <c r="D24" s="92">
        <v>530.30999999999995</v>
      </c>
      <c r="E24" s="71">
        <f t="shared" si="1"/>
        <v>200</v>
      </c>
      <c r="F24" s="268">
        <v>22.35</v>
      </c>
      <c r="G24" s="91">
        <v>2.5</v>
      </c>
      <c r="H24" s="268">
        <f t="shared" si="2"/>
        <v>55.875</v>
      </c>
      <c r="I24" s="91">
        <f t="shared" si="0"/>
        <v>1</v>
      </c>
      <c r="J24" s="91">
        <f t="shared" si="3"/>
        <v>200</v>
      </c>
      <c r="K24" s="91">
        <f t="shared" si="9"/>
        <v>144.125</v>
      </c>
      <c r="L24" s="276">
        <f t="shared" si="5"/>
        <v>0.27937499999999998</v>
      </c>
      <c r="M24" s="88" t="s">
        <v>408</v>
      </c>
      <c r="N24" s="90">
        <v>660.63</v>
      </c>
      <c r="O24" s="115">
        <f t="shared" si="6"/>
        <v>150</v>
      </c>
      <c r="P24" s="69">
        <f t="shared" si="7"/>
        <v>150</v>
      </c>
      <c r="Q24" s="115">
        <f t="shared" si="10"/>
        <v>94.125</v>
      </c>
      <c r="R24" s="361"/>
      <c r="S24" s="361"/>
      <c r="T24" s="457"/>
      <c r="V24" s="266"/>
    </row>
    <row r="25" spans="1:26" ht="15" customHeight="1" thickBot="1">
      <c r="A25" s="151" t="s">
        <v>407</v>
      </c>
      <c r="B25" s="84" t="s">
        <v>406</v>
      </c>
      <c r="C25" s="150"/>
      <c r="D25" s="82"/>
      <c r="E25" s="91">
        <f t="shared" si="1"/>
        <v>300</v>
      </c>
      <c r="F25" s="269"/>
      <c r="G25" s="169">
        <v>2.5</v>
      </c>
      <c r="H25" s="276">
        <f t="shared" si="2"/>
        <v>0</v>
      </c>
      <c r="I25" s="169">
        <f t="shared" si="0"/>
        <v>0</v>
      </c>
      <c r="J25" s="169">
        <f t="shared" si="3"/>
        <v>0</v>
      </c>
      <c r="K25" s="169"/>
      <c r="L25" s="276"/>
      <c r="M25" s="98"/>
      <c r="N25" s="80"/>
      <c r="O25" s="89">
        <f t="shared" si="6"/>
        <v>300</v>
      </c>
      <c r="P25" s="88">
        <f t="shared" si="7"/>
        <v>0</v>
      </c>
      <c r="Q25" s="89"/>
      <c r="R25" s="444"/>
      <c r="S25" s="606"/>
      <c r="T25" s="607"/>
    </row>
    <row r="26" spans="1:26" ht="13.5" thickBot="1">
      <c r="A26" s="575" t="s">
        <v>405</v>
      </c>
      <c r="B26" s="148" t="s">
        <v>14</v>
      </c>
      <c r="C26" s="83" t="s">
        <v>404</v>
      </c>
      <c r="D26" s="82">
        <v>391.72</v>
      </c>
      <c r="E26" s="81">
        <f t="shared" si="1"/>
        <v>200</v>
      </c>
      <c r="F26" s="269">
        <v>664.51419999999996</v>
      </c>
      <c r="G26" s="91">
        <v>2.5</v>
      </c>
      <c r="H26" s="268">
        <f t="shared" si="2"/>
        <v>1661.2855</v>
      </c>
      <c r="I26" s="91">
        <f t="shared" si="0"/>
        <v>10</v>
      </c>
      <c r="J26" s="91">
        <f t="shared" si="3"/>
        <v>2000</v>
      </c>
      <c r="K26" s="91">
        <f>J26-H26</f>
        <v>338.71450000000004</v>
      </c>
      <c r="L26" s="276">
        <f t="shared" si="5"/>
        <v>0.83064274999999999</v>
      </c>
      <c r="M26" s="98" t="s">
        <v>403</v>
      </c>
      <c r="N26" s="80">
        <v>799.22</v>
      </c>
      <c r="O26" s="79">
        <f t="shared" si="6"/>
        <v>150</v>
      </c>
      <c r="P26" s="98">
        <f t="shared" si="7"/>
        <v>1500</v>
      </c>
      <c r="Q26" s="188">
        <f>P26-H26</f>
        <v>-161.28549999999996</v>
      </c>
      <c r="R26" s="360">
        <f>P26/J26</f>
        <v>0.75</v>
      </c>
      <c r="S26" s="458" t="s">
        <v>382</v>
      </c>
      <c r="T26" s="147">
        <v>134.81</v>
      </c>
    </row>
    <row r="27" spans="1:26" ht="14.25" customHeight="1" thickBot="1">
      <c r="A27" s="576"/>
      <c r="B27" s="74" t="s">
        <v>360</v>
      </c>
      <c r="C27" s="73" t="s">
        <v>55</v>
      </c>
      <c r="D27" s="146">
        <v>566.26</v>
      </c>
      <c r="E27" s="71">
        <f t="shared" si="1"/>
        <v>150</v>
      </c>
      <c r="F27" s="275">
        <v>424.66829999999999</v>
      </c>
      <c r="G27" s="91">
        <v>2.5</v>
      </c>
      <c r="H27" s="268">
        <f t="shared" si="2"/>
        <v>1061.67075</v>
      </c>
      <c r="I27" s="91">
        <f t="shared" si="0"/>
        <v>9</v>
      </c>
      <c r="J27" s="91">
        <f t="shared" si="3"/>
        <v>1350</v>
      </c>
      <c r="K27" s="91">
        <f t="shared" ref="K27:K56" si="11">J27-H27</f>
        <v>288.32925</v>
      </c>
      <c r="L27" s="276">
        <f t="shared" si="5"/>
        <v>0.7864227777777778</v>
      </c>
      <c r="M27" s="246" t="s">
        <v>402</v>
      </c>
      <c r="N27" s="145">
        <v>973.76</v>
      </c>
      <c r="O27" s="115">
        <f t="shared" si="6"/>
        <v>150</v>
      </c>
      <c r="P27" s="69">
        <f t="shared" si="7"/>
        <v>1350</v>
      </c>
      <c r="Q27" s="288">
        <f t="shared" ref="Q27:Q56" si="12">P27-H27</f>
        <v>288.32925</v>
      </c>
      <c r="R27" s="361"/>
      <c r="S27" s="143"/>
      <c r="T27" s="142"/>
    </row>
    <row r="28" spans="1:26" ht="13.5" thickBot="1">
      <c r="A28" s="564" t="s">
        <v>401</v>
      </c>
      <c r="B28" s="62" t="s">
        <v>6</v>
      </c>
      <c r="C28" s="111" t="s">
        <v>47</v>
      </c>
      <c r="D28" s="92">
        <v>341.46499999999997</v>
      </c>
      <c r="E28" s="91">
        <f t="shared" si="1"/>
        <v>200</v>
      </c>
      <c r="F28" s="268">
        <v>414.50749999999999</v>
      </c>
      <c r="G28" s="81">
        <v>2.5</v>
      </c>
      <c r="H28" s="269">
        <f t="shared" si="2"/>
        <v>1036.26875</v>
      </c>
      <c r="I28" s="81">
        <f t="shared" si="0"/>
        <v>7</v>
      </c>
      <c r="J28" s="81">
        <f t="shared" si="3"/>
        <v>1400</v>
      </c>
      <c r="K28" s="81">
        <f t="shared" si="11"/>
        <v>363.73125000000005</v>
      </c>
      <c r="L28" s="276">
        <f t="shared" si="5"/>
        <v>0.74019196428571421</v>
      </c>
      <c r="M28" s="88" t="s">
        <v>400</v>
      </c>
      <c r="N28" s="90">
        <v>849.47500000000002</v>
      </c>
      <c r="O28" s="89">
        <f t="shared" si="6"/>
        <v>150</v>
      </c>
      <c r="P28" s="88">
        <f t="shared" si="7"/>
        <v>1050</v>
      </c>
      <c r="Q28" s="289">
        <f t="shared" si="12"/>
        <v>13.731250000000045</v>
      </c>
      <c r="R28" s="360"/>
      <c r="S28" s="452" t="s">
        <v>483</v>
      </c>
      <c r="T28" s="136"/>
    </row>
    <row r="29" spans="1:26" ht="14.25" customHeight="1" thickBot="1">
      <c r="A29" s="564"/>
      <c r="B29" s="62" t="s">
        <v>399</v>
      </c>
      <c r="C29" s="111" t="s">
        <v>384</v>
      </c>
      <c r="D29" s="92">
        <v>894.93</v>
      </c>
      <c r="E29" s="91">
        <f t="shared" si="1"/>
        <v>150</v>
      </c>
      <c r="F29" s="268">
        <v>185.4342</v>
      </c>
      <c r="G29" s="91">
        <v>2.5</v>
      </c>
      <c r="H29" s="268">
        <f t="shared" si="2"/>
        <v>463.58550000000002</v>
      </c>
      <c r="I29" s="91">
        <f t="shared" si="0"/>
        <v>4</v>
      </c>
      <c r="J29" s="91">
        <f t="shared" si="3"/>
        <v>600</v>
      </c>
      <c r="K29" s="91">
        <f t="shared" si="11"/>
        <v>136.41449999999998</v>
      </c>
      <c r="L29" s="276">
        <f t="shared" si="5"/>
        <v>0.77264250000000001</v>
      </c>
      <c r="M29" s="88" t="s">
        <v>383</v>
      </c>
      <c r="N29" s="90">
        <v>975.03499999999997</v>
      </c>
      <c r="O29" s="89">
        <f t="shared" si="6"/>
        <v>150</v>
      </c>
      <c r="P29" s="88">
        <f t="shared" si="7"/>
        <v>600</v>
      </c>
      <c r="Q29" s="289">
        <f t="shared" si="12"/>
        <v>136.41449999999998</v>
      </c>
      <c r="R29" s="360"/>
      <c r="S29" s="318" t="s">
        <v>6</v>
      </c>
      <c r="T29" s="319">
        <v>16.149999999999999</v>
      </c>
    </row>
    <row r="30" spans="1:26" ht="14.25" customHeight="1" thickBot="1">
      <c r="A30" s="564"/>
      <c r="B30" s="94" t="s">
        <v>398</v>
      </c>
      <c r="C30" s="93" t="s">
        <v>377</v>
      </c>
      <c r="D30" s="105">
        <v>839.23</v>
      </c>
      <c r="E30" s="91">
        <f t="shared" si="1"/>
        <v>150</v>
      </c>
      <c r="F30" s="273">
        <v>213.84829999999999</v>
      </c>
      <c r="G30" s="91">
        <v>2.5</v>
      </c>
      <c r="H30" s="268">
        <f t="shared" si="2"/>
        <v>534.62075000000004</v>
      </c>
      <c r="I30" s="91">
        <f t="shared" si="0"/>
        <v>5</v>
      </c>
      <c r="J30" s="91">
        <f t="shared" si="3"/>
        <v>750</v>
      </c>
      <c r="K30" s="91">
        <f t="shared" si="11"/>
        <v>215.37924999999996</v>
      </c>
      <c r="L30" s="276">
        <f t="shared" si="5"/>
        <v>0.71282766666666675</v>
      </c>
      <c r="M30" s="99" t="s">
        <v>397</v>
      </c>
      <c r="N30" s="104">
        <v>1347.24</v>
      </c>
      <c r="O30" s="89">
        <f t="shared" si="6"/>
        <v>100</v>
      </c>
      <c r="P30" s="88">
        <f t="shared" si="7"/>
        <v>500</v>
      </c>
      <c r="Q30" s="289">
        <f t="shared" si="12"/>
        <v>-34.620750000000044</v>
      </c>
      <c r="R30" s="360">
        <f>P30/J30</f>
        <v>0.66666666666666663</v>
      </c>
      <c r="S30" s="140" t="s">
        <v>12</v>
      </c>
      <c r="T30" s="139">
        <v>26.84</v>
      </c>
    </row>
    <row r="31" spans="1:26" ht="14.25" customHeight="1" thickBot="1">
      <c r="A31" s="564"/>
      <c r="B31" s="94" t="s">
        <v>396</v>
      </c>
      <c r="C31" s="93" t="s">
        <v>52</v>
      </c>
      <c r="D31" s="92">
        <v>428.91</v>
      </c>
      <c r="E31" s="91">
        <f t="shared" si="1"/>
        <v>200</v>
      </c>
      <c r="F31" s="268">
        <v>320.7817</v>
      </c>
      <c r="G31" s="91">
        <v>2.5</v>
      </c>
      <c r="H31" s="268">
        <f t="shared" si="2"/>
        <v>801.95425</v>
      </c>
      <c r="I31" s="91">
        <f t="shared" si="0"/>
        <v>5</v>
      </c>
      <c r="J31" s="91">
        <f t="shared" si="3"/>
        <v>1000</v>
      </c>
      <c r="K31" s="91">
        <f t="shared" si="11"/>
        <v>198.04575</v>
      </c>
      <c r="L31" s="276">
        <f t="shared" si="5"/>
        <v>0.80195424999999998</v>
      </c>
      <c r="M31" s="88" t="s">
        <v>395</v>
      </c>
      <c r="N31" s="90">
        <v>762.03</v>
      </c>
      <c r="O31" s="89">
        <f t="shared" si="6"/>
        <v>150</v>
      </c>
      <c r="P31" s="88">
        <f t="shared" si="7"/>
        <v>750</v>
      </c>
      <c r="Q31" s="289">
        <f t="shared" si="12"/>
        <v>-51.954250000000002</v>
      </c>
      <c r="R31" s="360">
        <f>P31/J31</f>
        <v>0.75</v>
      </c>
      <c r="S31" s="318" t="s">
        <v>393</v>
      </c>
      <c r="T31" s="319">
        <v>61.15</v>
      </c>
      <c r="V31" s="603" t="s">
        <v>547</v>
      </c>
      <c r="W31" s="604"/>
      <c r="X31" s="605"/>
      <c r="Y31" s="266"/>
      <c r="Z31" s="17"/>
    </row>
    <row r="32" spans="1:26" ht="14.25" customHeight="1" thickBot="1">
      <c r="A32" s="564"/>
      <c r="B32" s="94" t="s">
        <v>393</v>
      </c>
      <c r="C32" s="93" t="s">
        <v>56</v>
      </c>
      <c r="D32" s="92">
        <v>268.91000000000003</v>
      </c>
      <c r="E32" s="91">
        <f t="shared" si="1"/>
        <v>250</v>
      </c>
      <c r="F32" s="268">
        <v>277.57420000000002</v>
      </c>
      <c r="G32" s="71">
        <v>2.5</v>
      </c>
      <c r="H32" s="271">
        <f t="shared" si="2"/>
        <v>693.93550000000005</v>
      </c>
      <c r="I32" s="71">
        <f t="shared" si="0"/>
        <v>4</v>
      </c>
      <c r="J32" s="71">
        <f t="shared" si="3"/>
        <v>1000</v>
      </c>
      <c r="K32" s="71">
        <f t="shared" si="11"/>
        <v>306.06449999999995</v>
      </c>
      <c r="L32" s="276">
        <f t="shared" si="5"/>
        <v>0.69393550000000004</v>
      </c>
      <c r="M32" s="88" t="s">
        <v>392</v>
      </c>
      <c r="N32" s="90">
        <v>922.03</v>
      </c>
      <c r="O32" s="89">
        <f t="shared" si="6"/>
        <v>150</v>
      </c>
      <c r="P32" s="88">
        <f t="shared" si="7"/>
        <v>600</v>
      </c>
      <c r="Q32" s="289">
        <f t="shared" si="12"/>
        <v>-93.935500000000047</v>
      </c>
      <c r="R32" s="361">
        <f>P32/J31</f>
        <v>0.6</v>
      </c>
      <c r="S32" s="135"/>
      <c r="T32" s="134"/>
      <c r="V32" s="87"/>
      <c r="W32" s="266"/>
      <c r="X32" s="97"/>
      <c r="Y32" s="266"/>
    </row>
    <row r="33" spans="1:36" ht="13.5" thickBot="1">
      <c r="A33" s="562" t="s">
        <v>380</v>
      </c>
      <c r="B33" s="84" t="s">
        <v>391</v>
      </c>
      <c r="C33" s="83" t="s">
        <v>390</v>
      </c>
      <c r="D33" s="82">
        <v>774.56</v>
      </c>
      <c r="E33" s="81">
        <f t="shared" si="1"/>
        <v>150</v>
      </c>
      <c r="F33" s="269">
        <v>593.39</v>
      </c>
      <c r="G33" s="91">
        <v>2.5</v>
      </c>
      <c r="H33" s="268">
        <f t="shared" si="2"/>
        <v>1483.4749999999999</v>
      </c>
      <c r="I33" s="91">
        <f t="shared" si="0"/>
        <v>12</v>
      </c>
      <c r="J33" s="91">
        <f t="shared" si="3"/>
        <v>1800</v>
      </c>
      <c r="K33" s="91">
        <f t="shared" si="11"/>
        <v>316.52500000000009</v>
      </c>
      <c r="L33" s="276">
        <f t="shared" si="5"/>
        <v>0.82415277777777773</v>
      </c>
      <c r="M33" s="98" t="s">
        <v>389</v>
      </c>
      <c r="N33" s="80">
        <v>778.62</v>
      </c>
      <c r="O33" s="79">
        <f t="shared" si="6"/>
        <v>150</v>
      </c>
      <c r="P33" s="98">
        <f t="shared" si="7"/>
        <v>1800</v>
      </c>
      <c r="Q33" s="188">
        <f t="shared" si="12"/>
        <v>316.52500000000009</v>
      </c>
      <c r="R33" s="445"/>
      <c r="S33" s="132"/>
      <c r="T33" s="103"/>
      <c r="V33" s="131" t="s">
        <v>388</v>
      </c>
      <c r="W33" s="130" t="s">
        <v>387</v>
      </c>
      <c r="X33" s="129" t="s">
        <v>386</v>
      </c>
      <c r="Y33" s="266"/>
    </row>
    <row r="34" spans="1:36" ht="14.25" customHeight="1" thickBot="1">
      <c r="A34" s="564"/>
      <c r="B34" s="94" t="s">
        <v>385</v>
      </c>
      <c r="C34" s="93" t="s">
        <v>384</v>
      </c>
      <c r="D34" s="105">
        <v>894.93</v>
      </c>
      <c r="E34" s="91">
        <f t="shared" si="1"/>
        <v>150</v>
      </c>
      <c r="F34" s="273">
        <v>185.4342</v>
      </c>
      <c r="G34" s="91">
        <v>2.5</v>
      </c>
      <c r="H34" s="268">
        <f t="shared" si="2"/>
        <v>463.58550000000002</v>
      </c>
      <c r="I34" s="91">
        <f t="shared" si="0"/>
        <v>4</v>
      </c>
      <c r="J34" s="91">
        <f t="shared" si="3"/>
        <v>600</v>
      </c>
      <c r="K34" s="91">
        <f t="shared" si="11"/>
        <v>136.41449999999998</v>
      </c>
      <c r="L34" s="276">
        <f t="shared" si="5"/>
        <v>0.77264250000000001</v>
      </c>
      <c r="M34" s="99" t="s">
        <v>383</v>
      </c>
      <c r="N34" s="104">
        <v>975.03499999999997</v>
      </c>
      <c r="O34" s="89">
        <f t="shared" si="6"/>
        <v>150</v>
      </c>
      <c r="P34" s="88">
        <f t="shared" si="7"/>
        <v>600</v>
      </c>
      <c r="Q34" s="289">
        <f t="shared" si="12"/>
        <v>136.41449999999998</v>
      </c>
      <c r="R34" s="446"/>
      <c r="S34" s="110"/>
      <c r="T34" s="102"/>
      <c r="V34" s="126" t="s">
        <v>382</v>
      </c>
      <c r="W34" s="125">
        <v>134.81</v>
      </c>
      <c r="X34" s="97">
        <f>W34/J26*100</f>
        <v>6.7405000000000008</v>
      </c>
      <c r="Y34" s="266"/>
    </row>
    <row r="35" spans="1:36" ht="14.25" customHeight="1" thickBot="1">
      <c r="A35" s="564"/>
      <c r="B35" s="94" t="s">
        <v>381</v>
      </c>
      <c r="C35" s="93" t="s">
        <v>380</v>
      </c>
      <c r="D35" s="92">
        <v>553.46500000000003</v>
      </c>
      <c r="E35" s="71">
        <f t="shared" si="1"/>
        <v>150</v>
      </c>
      <c r="F35" s="268">
        <v>491.47570000000002</v>
      </c>
      <c r="G35" s="91">
        <v>2.5</v>
      </c>
      <c r="H35" s="268">
        <f t="shared" si="2"/>
        <v>1228.6892500000001</v>
      </c>
      <c r="I35" s="91">
        <f t="shared" si="0"/>
        <v>10</v>
      </c>
      <c r="J35" s="91">
        <f t="shared" si="3"/>
        <v>1500</v>
      </c>
      <c r="K35" s="91">
        <f t="shared" si="11"/>
        <v>271.31074999999987</v>
      </c>
      <c r="L35" s="276">
        <f t="shared" si="5"/>
        <v>0.81912616666666671</v>
      </c>
      <c r="M35" s="88" t="s">
        <v>379</v>
      </c>
      <c r="N35" s="90">
        <v>660.12</v>
      </c>
      <c r="O35" s="115">
        <f t="shared" si="6"/>
        <v>150</v>
      </c>
      <c r="P35" s="69">
        <f t="shared" si="7"/>
        <v>1500</v>
      </c>
      <c r="Q35" s="288">
        <f t="shared" si="12"/>
        <v>271.31074999999987</v>
      </c>
      <c r="R35" s="447"/>
      <c r="S35" s="128"/>
      <c r="T35" s="127"/>
      <c r="V35" s="126" t="s">
        <v>6</v>
      </c>
      <c r="W35" s="125">
        <v>16.149999999999999</v>
      </c>
      <c r="X35" s="97">
        <f>W35/J15*100</f>
        <v>1.1535714285714285</v>
      </c>
    </row>
    <row r="36" spans="1:36" ht="13.5" thickBot="1">
      <c r="A36" s="562" t="s">
        <v>374</v>
      </c>
      <c r="B36" s="84" t="s">
        <v>378</v>
      </c>
      <c r="C36" s="83" t="s">
        <v>377</v>
      </c>
      <c r="D36" s="82">
        <v>839.23</v>
      </c>
      <c r="E36" s="91">
        <f t="shared" si="1"/>
        <v>150</v>
      </c>
      <c r="F36" s="269">
        <v>213.84829999999999</v>
      </c>
      <c r="G36" s="81">
        <v>2.5</v>
      </c>
      <c r="H36" s="269">
        <f t="shared" si="2"/>
        <v>534.62075000000004</v>
      </c>
      <c r="I36" s="81">
        <f t="shared" si="0"/>
        <v>5</v>
      </c>
      <c r="J36" s="81">
        <f t="shared" si="3"/>
        <v>750</v>
      </c>
      <c r="K36" s="81">
        <f t="shared" si="11"/>
        <v>215.37924999999996</v>
      </c>
      <c r="L36" s="276">
        <f t="shared" si="5"/>
        <v>0.71282766666666675</v>
      </c>
      <c r="M36" s="98" t="s">
        <v>376</v>
      </c>
      <c r="N36" s="80">
        <v>844.89</v>
      </c>
      <c r="O36" s="89">
        <f t="shared" si="6"/>
        <v>150</v>
      </c>
      <c r="P36" s="88">
        <f t="shared" si="7"/>
        <v>750</v>
      </c>
      <c r="Q36" s="289">
        <f t="shared" si="12"/>
        <v>215.37924999999996</v>
      </c>
      <c r="R36" s="446"/>
      <c r="S36" s="76"/>
      <c r="T36" s="75"/>
      <c r="V36" s="126" t="s">
        <v>12</v>
      </c>
      <c r="W36" s="125">
        <v>26.84</v>
      </c>
      <c r="X36" s="97">
        <f>W36/J31*100</f>
        <v>2.6839999999999997</v>
      </c>
    </row>
    <row r="37" spans="1:36" ht="14.25" customHeight="1" thickBot="1">
      <c r="A37" s="564"/>
      <c r="B37" s="94" t="s">
        <v>375</v>
      </c>
      <c r="C37" s="93" t="s">
        <v>374</v>
      </c>
      <c r="D37" s="92">
        <v>497.76499999999999</v>
      </c>
      <c r="E37" s="91">
        <f t="shared" si="1"/>
        <v>200</v>
      </c>
      <c r="F37" s="268">
        <v>1151.328</v>
      </c>
      <c r="G37" s="71">
        <v>2.5</v>
      </c>
      <c r="H37" s="271">
        <f t="shared" si="2"/>
        <v>2878.3199999999997</v>
      </c>
      <c r="I37" s="71">
        <f t="shared" si="0"/>
        <v>18</v>
      </c>
      <c r="J37" s="71">
        <f t="shared" si="3"/>
        <v>3600</v>
      </c>
      <c r="K37" s="71">
        <f t="shared" si="11"/>
        <v>721.68000000000029</v>
      </c>
      <c r="L37" s="276">
        <f t="shared" si="5"/>
        <v>0.79953333333333321</v>
      </c>
      <c r="M37" s="88" t="s">
        <v>373</v>
      </c>
      <c r="N37" s="90">
        <v>503.42500000000001</v>
      </c>
      <c r="O37" s="89">
        <f t="shared" si="6"/>
        <v>200</v>
      </c>
      <c r="P37" s="88">
        <f t="shared" si="7"/>
        <v>3600</v>
      </c>
      <c r="Q37" s="289">
        <f t="shared" si="12"/>
        <v>721.68000000000029</v>
      </c>
      <c r="R37" s="447"/>
      <c r="S37" s="66"/>
      <c r="T37" s="65"/>
      <c r="V37" s="126" t="s">
        <v>16</v>
      </c>
      <c r="W37" s="125">
        <v>61.15</v>
      </c>
      <c r="X37" s="97">
        <f>W37/J32*100</f>
        <v>6.1149999999999993</v>
      </c>
    </row>
    <row r="38" spans="1:36" ht="13.5" thickBot="1">
      <c r="A38" s="460" t="s">
        <v>371</v>
      </c>
      <c r="B38" s="84" t="s">
        <v>372</v>
      </c>
      <c r="C38" s="83" t="s">
        <v>371</v>
      </c>
      <c r="D38" s="82">
        <v>285.27999999999997</v>
      </c>
      <c r="E38" s="169">
        <f t="shared" si="1"/>
        <v>250</v>
      </c>
      <c r="F38" s="269">
        <v>779.52329999999995</v>
      </c>
      <c r="G38" s="91">
        <v>2.5</v>
      </c>
      <c r="H38" s="268">
        <f t="shared" si="2"/>
        <v>1948.8082499999998</v>
      </c>
      <c r="I38" s="91">
        <f t="shared" si="0"/>
        <v>10</v>
      </c>
      <c r="J38" s="91">
        <f t="shared" si="3"/>
        <v>2500</v>
      </c>
      <c r="K38" s="91">
        <f t="shared" si="11"/>
        <v>551.19175000000018</v>
      </c>
      <c r="L38" s="276">
        <f t="shared" si="5"/>
        <v>0.77952329999999992</v>
      </c>
      <c r="M38" s="98" t="s">
        <v>370</v>
      </c>
      <c r="N38" s="80">
        <v>539.80499999999995</v>
      </c>
      <c r="O38" s="167">
        <f t="shared" si="6"/>
        <v>150</v>
      </c>
      <c r="P38" s="166">
        <f t="shared" si="7"/>
        <v>1500</v>
      </c>
      <c r="Q38" s="228">
        <f t="shared" si="12"/>
        <v>-448.80824999999982</v>
      </c>
      <c r="R38" s="361">
        <f>P38/J38</f>
        <v>0.6</v>
      </c>
      <c r="S38" s="122" t="s">
        <v>484</v>
      </c>
      <c r="T38" s="121">
        <v>362.28</v>
      </c>
      <c r="V38" s="5" t="s">
        <v>19</v>
      </c>
      <c r="W38" s="5">
        <v>362.28</v>
      </c>
      <c r="X38" s="86">
        <f>W38/J38*100</f>
        <v>14.491199999999999</v>
      </c>
    </row>
    <row r="39" spans="1:36" ht="13.5" thickBot="1">
      <c r="A39" s="562" t="s">
        <v>60</v>
      </c>
      <c r="B39" s="84" t="s">
        <v>368</v>
      </c>
      <c r="C39" s="83" t="s">
        <v>367</v>
      </c>
      <c r="D39" s="82">
        <v>239.47</v>
      </c>
      <c r="E39" s="91">
        <f t="shared" si="1"/>
        <v>250</v>
      </c>
      <c r="F39" s="269">
        <v>886.15449999999998</v>
      </c>
      <c r="G39" s="81">
        <v>2.5</v>
      </c>
      <c r="H39" s="269">
        <f t="shared" si="2"/>
        <v>2215.38625</v>
      </c>
      <c r="I39" s="81">
        <f t="shared" si="0"/>
        <v>11</v>
      </c>
      <c r="J39" s="81">
        <f t="shared" si="3"/>
        <v>2750</v>
      </c>
      <c r="K39" s="81">
        <f t="shared" si="11"/>
        <v>534.61374999999998</v>
      </c>
      <c r="L39" s="276">
        <f t="shared" si="5"/>
        <v>0.80559500000000006</v>
      </c>
      <c r="M39" s="98" t="s">
        <v>366</v>
      </c>
      <c r="N39" s="80">
        <v>585.61500000000001</v>
      </c>
      <c r="O39" s="89">
        <f t="shared" si="6"/>
        <v>150</v>
      </c>
      <c r="P39" s="88">
        <f t="shared" si="7"/>
        <v>1650</v>
      </c>
      <c r="Q39" s="289">
        <f t="shared" si="12"/>
        <v>-565.38625000000002</v>
      </c>
      <c r="R39" s="360">
        <f>P39/J39</f>
        <v>0.6</v>
      </c>
      <c r="S39" s="116" t="s">
        <v>20</v>
      </c>
      <c r="T39" s="459">
        <v>507.11</v>
      </c>
      <c r="V39" s="5" t="s">
        <v>20</v>
      </c>
      <c r="W39" s="5">
        <v>507.11</v>
      </c>
      <c r="X39" s="5">
        <f>W39/J39*100</f>
        <v>18.440363636363639</v>
      </c>
    </row>
    <row r="40" spans="1:36" ht="14.25" customHeight="1" thickBot="1">
      <c r="A40" s="563"/>
      <c r="B40" s="74" t="s">
        <v>364</v>
      </c>
      <c r="C40" s="73" t="s">
        <v>61</v>
      </c>
      <c r="D40" s="72">
        <v>381.34</v>
      </c>
      <c r="E40" s="91">
        <f t="shared" si="1"/>
        <v>200</v>
      </c>
      <c r="F40" s="271">
        <v>233.80699999999999</v>
      </c>
      <c r="G40" s="71">
        <v>2.5</v>
      </c>
      <c r="H40" s="271">
        <f t="shared" si="2"/>
        <v>584.51749999999993</v>
      </c>
      <c r="I40" s="71">
        <f t="shared" si="0"/>
        <v>4</v>
      </c>
      <c r="J40" s="71">
        <f t="shared" si="3"/>
        <v>800</v>
      </c>
      <c r="K40" s="71">
        <f t="shared" si="11"/>
        <v>215.48250000000007</v>
      </c>
      <c r="L40" s="276">
        <f t="shared" si="5"/>
        <v>0.73064687499999992</v>
      </c>
      <c r="M40" s="69" t="s">
        <v>328</v>
      </c>
      <c r="N40" s="70">
        <v>673.16499999999996</v>
      </c>
      <c r="O40" s="89">
        <f t="shared" si="6"/>
        <v>150</v>
      </c>
      <c r="P40" s="88">
        <f t="shared" si="7"/>
        <v>600</v>
      </c>
      <c r="Q40" s="289">
        <f t="shared" si="12"/>
        <v>15.482500000000073</v>
      </c>
      <c r="R40" s="361"/>
      <c r="S40" s="320"/>
      <c r="T40" s="112"/>
      <c r="V40" s="120" t="s">
        <v>369</v>
      </c>
      <c r="W40" s="119">
        <f>SUM(W34:W39)</f>
        <v>1108.3400000000001</v>
      </c>
    </row>
    <row r="41" spans="1:36" ht="13.5" thickBot="1">
      <c r="A41" s="564" t="s">
        <v>363</v>
      </c>
      <c r="B41" s="62" t="s">
        <v>362</v>
      </c>
      <c r="C41" s="111" t="s">
        <v>74</v>
      </c>
      <c r="D41" s="92">
        <v>632.29499999999996</v>
      </c>
      <c r="E41" s="81">
        <f t="shared" si="1"/>
        <v>150</v>
      </c>
      <c r="F41" s="268">
        <v>416.14780000000002</v>
      </c>
      <c r="G41" s="91">
        <v>2.5</v>
      </c>
      <c r="H41" s="268">
        <f t="shared" si="2"/>
        <v>1040.3695</v>
      </c>
      <c r="I41" s="91">
        <f t="shared" si="0"/>
        <v>9</v>
      </c>
      <c r="J41" s="91">
        <f t="shared" si="3"/>
        <v>1350</v>
      </c>
      <c r="K41" s="91">
        <f t="shared" si="11"/>
        <v>309.63049999999998</v>
      </c>
      <c r="L41" s="276">
        <f t="shared" si="5"/>
        <v>0.77064407407407409</v>
      </c>
      <c r="M41" s="88" t="s">
        <v>361</v>
      </c>
      <c r="N41" s="90">
        <v>692.19500000000005</v>
      </c>
      <c r="O41" s="79">
        <f t="shared" si="6"/>
        <v>150</v>
      </c>
      <c r="P41" s="98">
        <f t="shared" si="7"/>
        <v>1350</v>
      </c>
      <c r="Q41" s="188">
        <f t="shared" si="12"/>
        <v>309.63049999999998</v>
      </c>
      <c r="R41" s="360"/>
      <c r="S41" s="135"/>
      <c r="T41" s="134"/>
      <c r="V41" s="17" t="s">
        <v>365</v>
      </c>
      <c r="W41" s="17">
        <f>W40/30150*100</f>
        <v>3.6760862354892212</v>
      </c>
    </row>
    <row r="42" spans="1:36" ht="14.25" customHeight="1" thickBot="1">
      <c r="A42" s="564"/>
      <c r="B42" s="94" t="s">
        <v>360</v>
      </c>
      <c r="C42" s="93" t="s">
        <v>55</v>
      </c>
      <c r="D42" s="105">
        <v>566.26</v>
      </c>
      <c r="E42" s="91">
        <f t="shared" si="1"/>
        <v>150</v>
      </c>
      <c r="F42" s="273">
        <v>424.66829999999999</v>
      </c>
      <c r="G42" s="91">
        <v>2.5</v>
      </c>
      <c r="H42" s="268">
        <f t="shared" si="2"/>
        <v>1061.67075</v>
      </c>
      <c r="I42" s="91">
        <f t="shared" si="0"/>
        <v>9</v>
      </c>
      <c r="J42" s="91">
        <f t="shared" si="3"/>
        <v>1350</v>
      </c>
      <c r="K42" s="91">
        <f t="shared" si="11"/>
        <v>288.32925</v>
      </c>
      <c r="L42" s="276">
        <f t="shared" si="5"/>
        <v>0.7864227777777778</v>
      </c>
      <c r="M42" s="99" t="s">
        <v>359</v>
      </c>
      <c r="N42" s="104">
        <v>1033.6600000000001</v>
      </c>
      <c r="O42" s="89">
        <f t="shared" si="6"/>
        <v>150</v>
      </c>
      <c r="P42" s="88">
        <f t="shared" si="7"/>
        <v>1350</v>
      </c>
      <c r="Q42" s="302">
        <f t="shared" si="12"/>
        <v>288.32925</v>
      </c>
      <c r="R42" s="360">
        <v>0.6</v>
      </c>
      <c r="S42" s="140" t="s">
        <v>505</v>
      </c>
      <c r="T42" s="139">
        <v>42</v>
      </c>
    </row>
    <row r="43" spans="1:36" ht="14.25" customHeight="1" thickBot="1">
      <c r="A43" s="564"/>
      <c r="B43" s="94" t="s">
        <v>358</v>
      </c>
      <c r="C43" s="93" t="s">
        <v>62</v>
      </c>
      <c r="D43" s="92">
        <v>174.54</v>
      </c>
      <c r="E43" s="71">
        <f t="shared" si="1"/>
        <v>250</v>
      </c>
      <c r="F43" s="268">
        <v>80.336669999999998</v>
      </c>
      <c r="G43" s="91">
        <v>2.5</v>
      </c>
      <c r="H43" s="268">
        <f t="shared" si="2"/>
        <v>200.84167500000001</v>
      </c>
      <c r="I43" s="91">
        <f t="shared" si="0"/>
        <v>1</v>
      </c>
      <c r="J43" s="91">
        <f t="shared" si="3"/>
        <v>250</v>
      </c>
      <c r="K43" s="91">
        <f t="shared" si="11"/>
        <v>49.158324999999991</v>
      </c>
      <c r="L43" s="276">
        <f t="shared" si="5"/>
        <v>0.80336669999999999</v>
      </c>
      <c r="M43" s="88" t="s">
        <v>357</v>
      </c>
      <c r="N43" s="90">
        <v>811.21</v>
      </c>
      <c r="O43" s="115">
        <f t="shared" si="6"/>
        <v>150</v>
      </c>
      <c r="P43" s="69">
        <f t="shared" si="7"/>
        <v>150</v>
      </c>
      <c r="Q43" s="288">
        <f t="shared" si="12"/>
        <v>-50.841675000000009</v>
      </c>
      <c r="R43" s="361"/>
      <c r="S43" s="135"/>
      <c r="T43" s="134"/>
      <c r="Z43" s="560"/>
      <c r="AA43" s="560"/>
      <c r="AB43" s="560"/>
      <c r="AC43" s="560"/>
      <c r="AD43" s="560"/>
      <c r="AE43" s="560"/>
      <c r="AF43" s="465"/>
    </row>
    <row r="44" spans="1:36" ht="13.5" thickBot="1">
      <c r="A44" s="460" t="s">
        <v>355</v>
      </c>
      <c r="B44" s="84" t="s">
        <v>356</v>
      </c>
      <c r="C44" s="83" t="s">
        <v>355</v>
      </c>
      <c r="D44" s="82">
        <v>517.28</v>
      </c>
      <c r="E44" s="91">
        <f t="shared" si="1"/>
        <v>200</v>
      </c>
      <c r="F44" s="269">
        <v>67.241829999999993</v>
      </c>
      <c r="G44" s="169">
        <v>2.5</v>
      </c>
      <c r="H44" s="276">
        <f t="shared" si="2"/>
        <v>168.10457499999998</v>
      </c>
      <c r="I44" s="169">
        <f t="shared" si="0"/>
        <v>2</v>
      </c>
      <c r="J44" s="169">
        <f t="shared" si="3"/>
        <v>400</v>
      </c>
      <c r="K44" s="169">
        <f t="shared" si="11"/>
        <v>231.89542500000002</v>
      </c>
      <c r="L44" s="276">
        <f t="shared" si="5"/>
        <v>0.42026143749999995</v>
      </c>
      <c r="M44" s="98" t="s">
        <v>354</v>
      </c>
      <c r="N44" s="80">
        <v>607.995</v>
      </c>
      <c r="O44" s="89">
        <f t="shared" si="6"/>
        <v>150</v>
      </c>
      <c r="P44" s="88">
        <f t="shared" si="7"/>
        <v>300</v>
      </c>
      <c r="Q44" s="289">
        <f t="shared" si="12"/>
        <v>131.89542500000002</v>
      </c>
      <c r="R44" s="447"/>
      <c r="S44" s="107"/>
      <c r="T44" s="455"/>
      <c r="Z44" s="466"/>
      <c r="AA44" s="467"/>
      <c r="AB44" s="467"/>
      <c r="AC44" s="467"/>
      <c r="AD44" s="464"/>
      <c r="AE44" s="464"/>
      <c r="AF44" s="464"/>
    </row>
    <row r="45" spans="1:36" ht="13.5" thickBot="1">
      <c r="A45" s="562" t="s">
        <v>349</v>
      </c>
      <c r="B45" s="84" t="s">
        <v>353</v>
      </c>
      <c r="C45" s="83" t="s">
        <v>342</v>
      </c>
      <c r="D45" s="82">
        <v>592.98500000000001</v>
      </c>
      <c r="E45" s="81">
        <f t="shared" si="1"/>
        <v>150</v>
      </c>
      <c r="F45" s="269">
        <v>175.91919999999999</v>
      </c>
      <c r="G45" s="91">
        <v>2.5</v>
      </c>
      <c r="H45" s="268">
        <f t="shared" si="2"/>
        <v>439.798</v>
      </c>
      <c r="I45" s="91">
        <f t="shared" si="0"/>
        <v>4</v>
      </c>
      <c r="J45" s="91">
        <f t="shared" si="3"/>
        <v>600</v>
      </c>
      <c r="K45" s="91">
        <f t="shared" si="11"/>
        <v>160.202</v>
      </c>
      <c r="L45" s="276">
        <f t="shared" si="5"/>
        <v>0.73299666666666663</v>
      </c>
      <c r="M45" s="98" t="s">
        <v>352</v>
      </c>
      <c r="N45" s="80">
        <v>1051.23</v>
      </c>
      <c r="O45" s="79">
        <f t="shared" si="6"/>
        <v>150</v>
      </c>
      <c r="P45" s="98">
        <f t="shared" si="7"/>
        <v>600</v>
      </c>
      <c r="Q45" s="188">
        <f t="shared" si="12"/>
        <v>160.202</v>
      </c>
      <c r="R45" s="446"/>
      <c r="S45" s="76"/>
      <c r="T45" s="75"/>
      <c r="Z45" s="465"/>
      <c r="AA45" s="335"/>
      <c r="AB45" s="335"/>
      <c r="AC45" s="335"/>
      <c r="AD45" s="335"/>
      <c r="AE45" s="337"/>
      <c r="AF45" s="465"/>
    </row>
    <row r="46" spans="1:36" ht="14.25" customHeight="1" thickBot="1">
      <c r="A46" s="564"/>
      <c r="B46" s="94" t="s">
        <v>350</v>
      </c>
      <c r="C46" s="93" t="s">
        <v>349</v>
      </c>
      <c r="D46" s="105">
        <v>374.84</v>
      </c>
      <c r="E46" s="91">
        <f t="shared" si="1"/>
        <v>200</v>
      </c>
      <c r="F46" s="273">
        <v>115.1143</v>
      </c>
      <c r="G46" s="91">
        <v>2.5</v>
      </c>
      <c r="H46" s="268">
        <f t="shared" si="2"/>
        <v>287.78575000000001</v>
      </c>
      <c r="I46" s="91">
        <f t="shared" si="0"/>
        <v>2</v>
      </c>
      <c r="J46" s="91">
        <f t="shared" si="3"/>
        <v>400</v>
      </c>
      <c r="K46" s="91">
        <f t="shared" si="11"/>
        <v>112.21424999999999</v>
      </c>
      <c r="L46" s="276">
        <f t="shared" si="5"/>
        <v>0.71946437500000004</v>
      </c>
      <c r="M46" s="99" t="s">
        <v>348</v>
      </c>
      <c r="N46" s="104">
        <v>838.745</v>
      </c>
      <c r="O46" s="89">
        <f t="shared" si="6"/>
        <v>150</v>
      </c>
      <c r="P46" s="88">
        <f t="shared" si="7"/>
        <v>300</v>
      </c>
      <c r="Q46" s="289">
        <f t="shared" si="12"/>
        <v>12.214249999999993</v>
      </c>
      <c r="R46" s="446"/>
      <c r="S46" s="101"/>
      <c r="T46" s="100"/>
      <c r="V46" s="577"/>
      <c r="W46" s="577"/>
      <c r="X46" s="577"/>
      <c r="Z46" s="465"/>
      <c r="AA46" s="335"/>
      <c r="AB46" s="335"/>
      <c r="AC46" s="335"/>
      <c r="AD46" s="335"/>
      <c r="AE46" s="337"/>
      <c r="AF46" s="465"/>
    </row>
    <row r="47" spans="1:36" ht="14.25" customHeight="1" thickBot="1">
      <c r="A47" s="564"/>
      <c r="B47" s="94" t="s">
        <v>347</v>
      </c>
      <c r="C47" s="93" t="s">
        <v>335</v>
      </c>
      <c r="D47" s="105">
        <v>675.17499999999995</v>
      </c>
      <c r="E47" s="91">
        <f t="shared" si="1"/>
        <v>150</v>
      </c>
      <c r="F47" s="273">
        <v>87.5685</v>
      </c>
      <c r="G47" s="91">
        <v>2.5</v>
      </c>
      <c r="H47" s="268">
        <f t="shared" si="2"/>
        <v>218.92124999999999</v>
      </c>
      <c r="I47" s="91">
        <f t="shared" si="0"/>
        <v>2</v>
      </c>
      <c r="J47" s="91">
        <f t="shared" si="3"/>
        <v>300</v>
      </c>
      <c r="K47" s="91">
        <f t="shared" si="11"/>
        <v>81.078750000000014</v>
      </c>
      <c r="L47" s="276">
        <f t="shared" si="5"/>
        <v>0.72973749999999993</v>
      </c>
      <c r="M47" s="99" t="s">
        <v>346</v>
      </c>
      <c r="N47" s="104">
        <v>792.93499999999995</v>
      </c>
      <c r="O47" s="89">
        <f t="shared" si="6"/>
        <v>150</v>
      </c>
      <c r="P47" s="88">
        <f t="shared" si="7"/>
        <v>300</v>
      </c>
      <c r="Q47" s="289">
        <f t="shared" si="12"/>
        <v>81.078750000000014</v>
      </c>
      <c r="R47" s="446"/>
      <c r="S47" s="101"/>
      <c r="T47" s="100"/>
      <c r="V47" s="266"/>
      <c r="W47" s="266"/>
      <c r="X47" s="266"/>
      <c r="Z47" s="465"/>
      <c r="AA47" s="335"/>
      <c r="AB47" s="335"/>
      <c r="AC47" s="335"/>
      <c r="AD47" s="335"/>
      <c r="AE47" s="337"/>
      <c r="AF47" s="465"/>
      <c r="AH47" s="453" t="s">
        <v>498</v>
      </c>
      <c r="AI47" s="453" t="s">
        <v>499</v>
      </c>
      <c r="AJ47" s="340" t="s">
        <v>554</v>
      </c>
    </row>
    <row r="48" spans="1:36" ht="14.25" customHeight="1" thickBot="1">
      <c r="A48" s="564"/>
      <c r="B48" s="94" t="s">
        <v>339</v>
      </c>
      <c r="C48" s="93" t="s">
        <v>338</v>
      </c>
      <c r="D48" s="92">
        <v>768.38499999999999</v>
      </c>
      <c r="E48" s="71">
        <f t="shared" si="1"/>
        <v>150</v>
      </c>
      <c r="F48" s="268">
        <v>46.164000000000001</v>
      </c>
      <c r="G48" s="91">
        <v>2.5</v>
      </c>
      <c r="H48" s="268">
        <f t="shared" si="2"/>
        <v>115.41</v>
      </c>
      <c r="I48" s="91">
        <f t="shared" si="0"/>
        <v>1</v>
      </c>
      <c r="J48" s="91">
        <f t="shared" si="3"/>
        <v>150</v>
      </c>
      <c r="K48" s="91">
        <f t="shared" si="11"/>
        <v>34.590000000000003</v>
      </c>
      <c r="L48" s="276">
        <f t="shared" si="5"/>
        <v>0.76939999999999997</v>
      </c>
      <c r="M48" s="88" t="s">
        <v>345</v>
      </c>
      <c r="N48" s="90">
        <v>934.80499999999995</v>
      </c>
      <c r="O48" s="115">
        <f t="shared" si="6"/>
        <v>150</v>
      </c>
      <c r="P48" s="69">
        <f t="shared" si="7"/>
        <v>150</v>
      </c>
      <c r="Q48" s="288">
        <f t="shared" si="12"/>
        <v>34.590000000000003</v>
      </c>
      <c r="R48" s="447"/>
      <c r="S48" s="12"/>
      <c r="T48" s="85"/>
      <c r="V48" s="266"/>
      <c r="W48" s="266"/>
      <c r="X48" s="266"/>
      <c r="Z48" s="465"/>
      <c r="AA48" s="335"/>
      <c r="AB48" s="335"/>
      <c r="AC48" s="335"/>
      <c r="AD48" s="335"/>
      <c r="AE48" s="337"/>
      <c r="AF48" s="465"/>
      <c r="AH48" s="60" t="s">
        <v>493</v>
      </c>
      <c r="AI48" s="60">
        <v>100</v>
      </c>
      <c r="AJ48" s="61">
        <v>15</v>
      </c>
    </row>
    <row r="49" spans="1:40" ht="13.5" thickBot="1">
      <c r="A49" s="562" t="s">
        <v>344</v>
      </c>
      <c r="B49" s="84" t="s">
        <v>343</v>
      </c>
      <c r="C49" s="83" t="s">
        <v>342</v>
      </c>
      <c r="D49" s="82">
        <v>592.98500000000001</v>
      </c>
      <c r="E49" s="91">
        <f t="shared" si="1"/>
        <v>150</v>
      </c>
      <c r="F49" s="269">
        <v>175.91919999999999</v>
      </c>
      <c r="G49" s="81">
        <v>2.5</v>
      </c>
      <c r="H49" s="269">
        <f t="shared" si="2"/>
        <v>439.798</v>
      </c>
      <c r="I49" s="81">
        <f t="shared" si="0"/>
        <v>4</v>
      </c>
      <c r="J49" s="81">
        <f t="shared" si="3"/>
        <v>600</v>
      </c>
      <c r="K49" s="81">
        <f t="shared" si="11"/>
        <v>160.202</v>
      </c>
      <c r="L49" s="276">
        <f t="shared" si="5"/>
        <v>0.73299666666666663</v>
      </c>
      <c r="M49" s="98" t="s">
        <v>341</v>
      </c>
      <c r="N49" s="80">
        <v>992.44500000000005</v>
      </c>
      <c r="O49" s="89">
        <f t="shared" si="6"/>
        <v>150</v>
      </c>
      <c r="P49" s="88">
        <f t="shared" si="7"/>
        <v>600</v>
      </c>
      <c r="Q49" s="289">
        <f t="shared" si="12"/>
        <v>160.202</v>
      </c>
      <c r="R49" s="446"/>
      <c r="S49" s="76"/>
      <c r="T49" s="75"/>
      <c r="V49" s="266"/>
      <c r="W49" s="266"/>
      <c r="X49" s="266"/>
      <c r="Z49" s="465"/>
      <c r="AA49" s="335"/>
      <c r="AB49" s="335"/>
      <c r="AC49" s="335"/>
      <c r="AD49" s="335"/>
      <c r="AE49" s="337"/>
      <c r="AF49" s="465"/>
      <c r="AG49" s="465"/>
      <c r="AH49" s="341" t="s">
        <v>494</v>
      </c>
      <c r="AI49" s="341">
        <v>150</v>
      </c>
      <c r="AJ49" s="59">
        <v>16.3689</v>
      </c>
    </row>
    <row r="50" spans="1:40" ht="14.25" customHeight="1" thickBot="1">
      <c r="A50" s="564"/>
      <c r="B50" s="94" t="s">
        <v>339</v>
      </c>
      <c r="C50" s="93" t="s">
        <v>338</v>
      </c>
      <c r="D50" s="92">
        <v>768.38499999999999</v>
      </c>
      <c r="E50" s="91">
        <f t="shared" si="1"/>
        <v>150</v>
      </c>
      <c r="F50" s="268">
        <v>46.164000000000001</v>
      </c>
      <c r="G50" s="71">
        <v>2.5</v>
      </c>
      <c r="H50" s="271">
        <f t="shared" si="2"/>
        <v>115.41</v>
      </c>
      <c r="I50" s="71">
        <f t="shared" si="0"/>
        <v>1</v>
      </c>
      <c r="J50" s="71">
        <f t="shared" si="3"/>
        <v>150</v>
      </c>
      <c r="K50" s="71">
        <f t="shared" si="11"/>
        <v>34.590000000000003</v>
      </c>
      <c r="L50" s="276">
        <f t="shared" si="5"/>
        <v>0.76939999999999997</v>
      </c>
      <c r="M50" s="88" t="s">
        <v>337</v>
      </c>
      <c r="N50" s="90">
        <v>817.04499999999996</v>
      </c>
      <c r="O50" s="89">
        <f t="shared" si="6"/>
        <v>150</v>
      </c>
      <c r="P50" s="88">
        <f t="shared" si="7"/>
        <v>150</v>
      </c>
      <c r="Q50" s="289">
        <f t="shared" si="12"/>
        <v>34.590000000000003</v>
      </c>
      <c r="R50" s="446"/>
      <c r="S50" s="101"/>
      <c r="T50" s="100"/>
      <c r="V50" s="266"/>
      <c r="W50" s="266"/>
      <c r="X50" s="266"/>
      <c r="Z50" s="465"/>
      <c r="AA50" s="335"/>
      <c r="AB50" s="335"/>
      <c r="AC50" s="335"/>
      <c r="AD50" s="335"/>
      <c r="AE50" s="337"/>
      <c r="AF50" s="465"/>
      <c r="AG50" s="464"/>
      <c r="AH50" s="341" t="s">
        <v>495</v>
      </c>
      <c r="AI50" s="341">
        <v>200</v>
      </c>
      <c r="AJ50" s="59">
        <v>16.746700000000001</v>
      </c>
    </row>
    <row r="51" spans="1:40" ht="13.5" thickBot="1">
      <c r="A51" s="562" t="s">
        <v>340</v>
      </c>
      <c r="B51" s="84" t="s">
        <v>339</v>
      </c>
      <c r="C51" s="83" t="s">
        <v>338</v>
      </c>
      <c r="D51" s="82">
        <v>768.38499999999999</v>
      </c>
      <c r="E51" s="81">
        <f t="shared" si="1"/>
        <v>150</v>
      </c>
      <c r="F51" s="269">
        <v>46.164000000000001</v>
      </c>
      <c r="G51" s="91">
        <v>2.5</v>
      </c>
      <c r="H51" s="268">
        <f t="shared" si="2"/>
        <v>115.41</v>
      </c>
      <c r="I51" s="91">
        <f t="shared" si="0"/>
        <v>1</v>
      </c>
      <c r="J51" s="91">
        <f t="shared" si="3"/>
        <v>150</v>
      </c>
      <c r="K51" s="91">
        <f t="shared" si="11"/>
        <v>34.590000000000003</v>
      </c>
      <c r="L51" s="276">
        <f t="shared" si="5"/>
        <v>0.76939999999999997</v>
      </c>
      <c r="M51" s="98" t="s">
        <v>337</v>
      </c>
      <c r="N51" s="80">
        <v>817.04499999999996</v>
      </c>
      <c r="O51" s="79">
        <f t="shared" si="6"/>
        <v>150</v>
      </c>
      <c r="P51" s="98">
        <f t="shared" si="7"/>
        <v>150</v>
      </c>
      <c r="Q51" s="188">
        <f t="shared" si="12"/>
        <v>34.590000000000003</v>
      </c>
      <c r="R51" s="446"/>
      <c r="S51" s="59"/>
      <c r="T51" s="95"/>
      <c r="V51" s="266"/>
      <c r="W51" s="266"/>
      <c r="X51" s="266"/>
      <c r="Z51" s="465"/>
      <c r="AA51" s="335"/>
      <c r="AB51" s="335"/>
      <c r="AC51" s="335"/>
      <c r="AD51" s="335"/>
      <c r="AE51" s="337"/>
      <c r="AF51" s="465"/>
      <c r="AG51" s="464"/>
      <c r="AH51" s="341" t="s">
        <v>496</v>
      </c>
      <c r="AI51" s="341">
        <v>250</v>
      </c>
      <c r="AJ51" s="59">
        <v>16.886600000000001</v>
      </c>
    </row>
    <row r="52" spans="1:40" ht="14.25" customHeight="1" thickBot="1">
      <c r="A52" s="564"/>
      <c r="B52" s="94" t="s">
        <v>30</v>
      </c>
      <c r="C52" s="93" t="s">
        <v>326</v>
      </c>
      <c r="D52" s="92">
        <v>317.27</v>
      </c>
      <c r="E52" s="71">
        <f t="shared" si="1"/>
        <v>200</v>
      </c>
      <c r="F52" s="268">
        <v>136.87530000000001</v>
      </c>
      <c r="G52" s="91">
        <v>2.5</v>
      </c>
      <c r="H52" s="268">
        <f t="shared" si="2"/>
        <v>342.18825000000004</v>
      </c>
      <c r="I52" s="91">
        <f t="shared" si="0"/>
        <v>3</v>
      </c>
      <c r="J52" s="91">
        <f t="shared" si="3"/>
        <v>600</v>
      </c>
      <c r="K52" s="91">
        <f t="shared" si="11"/>
        <v>257.81174999999996</v>
      </c>
      <c r="L52" s="276">
        <f t="shared" si="5"/>
        <v>0.57031375000000006</v>
      </c>
      <c r="M52" s="88" t="s">
        <v>325</v>
      </c>
      <c r="N52" s="90">
        <v>518.48</v>
      </c>
      <c r="O52" s="115">
        <f t="shared" si="6"/>
        <v>200</v>
      </c>
      <c r="P52" s="69">
        <f t="shared" si="7"/>
        <v>600</v>
      </c>
      <c r="Q52" s="288">
        <f t="shared" si="12"/>
        <v>257.81174999999996</v>
      </c>
      <c r="R52" s="446"/>
      <c r="S52" s="59"/>
      <c r="T52" s="85"/>
      <c r="V52" s="266"/>
      <c r="W52" s="266"/>
      <c r="X52" s="266"/>
      <c r="Z52" s="465"/>
      <c r="AA52" s="335"/>
      <c r="AB52" s="335"/>
      <c r="AC52" s="337"/>
      <c r="AD52" s="337"/>
      <c r="AE52" s="337"/>
      <c r="AF52" s="465"/>
      <c r="AG52" s="465"/>
      <c r="AH52" s="342" t="s">
        <v>497</v>
      </c>
      <c r="AI52" s="342">
        <v>400</v>
      </c>
      <c r="AJ52" s="343">
        <v>17</v>
      </c>
    </row>
    <row r="53" spans="1:40" ht="13.5" thickBot="1">
      <c r="A53" s="562" t="s">
        <v>336</v>
      </c>
      <c r="B53" s="84" t="s">
        <v>28</v>
      </c>
      <c r="C53" s="83" t="s">
        <v>335</v>
      </c>
      <c r="D53" s="82">
        <v>675.17499999999995</v>
      </c>
      <c r="E53" s="91">
        <f t="shared" si="1"/>
        <v>150</v>
      </c>
      <c r="F53" s="269">
        <v>87.5685</v>
      </c>
      <c r="G53" s="81">
        <v>2.5</v>
      </c>
      <c r="H53" s="269">
        <f t="shared" si="2"/>
        <v>218.92124999999999</v>
      </c>
      <c r="I53" s="81">
        <f t="shared" si="0"/>
        <v>2</v>
      </c>
      <c r="J53" s="81">
        <f t="shared" si="3"/>
        <v>300</v>
      </c>
      <c r="K53" s="81">
        <f t="shared" si="11"/>
        <v>81.078750000000014</v>
      </c>
      <c r="L53" s="276">
        <f t="shared" si="5"/>
        <v>0.72973749999999993</v>
      </c>
      <c r="M53" s="98" t="s">
        <v>334</v>
      </c>
      <c r="N53" s="80">
        <v>792.93499999999995</v>
      </c>
      <c r="O53" s="89">
        <f t="shared" si="6"/>
        <v>150</v>
      </c>
      <c r="P53" s="88">
        <f t="shared" si="7"/>
        <v>300</v>
      </c>
      <c r="Q53" s="289">
        <f t="shared" si="12"/>
        <v>81.078750000000014</v>
      </c>
      <c r="R53" s="446"/>
      <c r="S53" s="12"/>
      <c r="T53" s="95"/>
      <c r="V53" s="266"/>
      <c r="W53" s="266"/>
      <c r="X53" s="266"/>
      <c r="Z53" s="465"/>
      <c r="AA53" s="337"/>
      <c r="AB53" s="337"/>
      <c r="AC53" s="337"/>
      <c r="AD53" s="337"/>
      <c r="AE53" s="337"/>
      <c r="AF53" s="465"/>
      <c r="AG53" s="465"/>
      <c r="AH53" s="465"/>
      <c r="AI53" s="465"/>
    </row>
    <row r="54" spans="1:40" ht="13.5" thickBot="1">
      <c r="A54" s="564"/>
      <c r="B54" s="94" t="s">
        <v>333</v>
      </c>
      <c r="C54" s="93" t="s">
        <v>332</v>
      </c>
      <c r="D54" s="92">
        <v>300.33499999999998</v>
      </c>
      <c r="E54" s="91">
        <f t="shared" si="1"/>
        <v>200</v>
      </c>
      <c r="F54" s="268">
        <v>33.29833</v>
      </c>
      <c r="G54" s="71">
        <v>2.5</v>
      </c>
      <c r="H54" s="271">
        <f t="shared" si="2"/>
        <v>83.245824999999996</v>
      </c>
      <c r="I54" s="71">
        <f t="shared" si="0"/>
        <v>1</v>
      </c>
      <c r="J54" s="71">
        <f t="shared" si="3"/>
        <v>200</v>
      </c>
      <c r="K54" s="71">
        <f t="shared" si="11"/>
        <v>116.754175</v>
      </c>
      <c r="L54" s="276">
        <f t="shared" si="5"/>
        <v>0.41622912499999998</v>
      </c>
      <c r="M54" s="88" t="s">
        <v>331</v>
      </c>
      <c r="N54" s="90">
        <v>524.75</v>
      </c>
      <c r="O54" s="89">
        <f t="shared" si="6"/>
        <v>200</v>
      </c>
      <c r="P54" s="88">
        <f t="shared" si="7"/>
        <v>200</v>
      </c>
      <c r="Q54" s="289">
        <f t="shared" si="12"/>
        <v>116.754175</v>
      </c>
      <c r="R54" s="447"/>
      <c r="S54" s="12"/>
      <c r="T54" s="85"/>
      <c r="V54" s="266"/>
      <c r="W54" s="266"/>
      <c r="X54" s="266"/>
      <c r="Z54" s="465"/>
      <c r="AA54" s="337"/>
      <c r="AB54" s="335"/>
      <c r="AC54" s="337"/>
      <c r="AD54" s="337"/>
      <c r="AE54" s="337"/>
      <c r="AF54" s="465"/>
      <c r="AG54" s="465"/>
      <c r="AH54" s="465"/>
      <c r="AI54" s="465"/>
    </row>
    <row r="55" spans="1:40" ht="13.5" thickBot="1">
      <c r="A55" s="562" t="s">
        <v>330</v>
      </c>
      <c r="B55" s="84" t="s">
        <v>329</v>
      </c>
      <c r="C55" s="83" t="s">
        <v>61</v>
      </c>
      <c r="D55" s="82">
        <v>381.34</v>
      </c>
      <c r="E55" s="81">
        <f t="shared" si="1"/>
        <v>200</v>
      </c>
      <c r="F55" s="269">
        <v>233.80699999999999</v>
      </c>
      <c r="G55" s="81">
        <v>2.5</v>
      </c>
      <c r="H55" s="269">
        <f t="shared" si="2"/>
        <v>584.51749999999993</v>
      </c>
      <c r="I55" s="81">
        <f t="shared" si="0"/>
        <v>4</v>
      </c>
      <c r="J55" s="81">
        <f t="shared" si="3"/>
        <v>800</v>
      </c>
      <c r="K55" s="81">
        <f t="shared" si="11"/>
        <v>215.48250000000007</v>
      </c>
      <c r="L55" s="276">
        <f t="shared" si="5"/>
        <v>0.73064687499999992</v>
      </c>
      <c r="M55" s="98" t="s">
        <v>328</v>
      </c>
      <c r="N55" s="80">
        <v>673.16499999999996</v>
      </c>
      <c r="O55" s="79">
        <f t="shared" si="6"/>
        <v>150</v>
      </c>
      <c r="P55" s="98">
        <f t="shared" si="7"/>
        <v>600</v>
      </c>
      <c r="Q55" s="188">
        <f t="shared" si="12"/>
        <v>15.482500000000073</v>
      </c>
      <c r="R55" s="446"/>
      <c r="S55" s="76"/>
      <c r="T55" s="75"/>
      <c r="V55" s="266"/>
      <c r="W55" s="266"/>
      <c r="X55" s="266"/>
      <c r="Z55" s="465"/>
      <c r="AA55" s="337"/>
      <c r="AB55" s="335"/>
      <c r="AC55" s="337"/>
      <c r="AD55" s="337"/>
      <c r="AE55" s="337"/>
      <c r="AF55" s="465"/>
      <c r="AG55" s="18"/>
      <c r="AH55" s="18"/>
      <c r="AI55" s="465"/>
    </row>
    <row r="56" spans="1:40" ht="14.25" customHeight="1" thickBot="1">
      <c r="A56" s="563"/>
      <c r="B56" s="74" t="s">
        <v>30</v>
      </c>
      <c r="C56" s="73" t="s">
        <v>326</v>
      </c>
      <c r="D56" s="72">
        <v>317.27</v>
      </c>
      <c r="E56" s="71">
        <f t="shared" si="1"/>
        <v>200</v>
      </c>
      <c r="F56" s="271">
        <v>136.87530000000001</v>
      </c>
      <c r="G56" s="71">
        <v>2.5</v>
      </c>
      <c r="H56" s="271">
        <f t="shared" si="2"/>
        <v>342.18825000000004</v>
      </c>
      <c r="I56" s="71">
        <f t="shared" si="0"/>
        <v>3</v>
      </c>
      <c r="J56" s="71">
        <f t="shared" si="3"/>
        <v>600</v>
      </c>
      <c r="K56" s="71">
        <f t="shared" si="11"/>
        <v>257.81174999999996</v>
      </c>
      <c r="L56" s="276">
        <f t="shared" si="5"/>
        <v>0.57031375000000006</v>
      </c>
      <c r="M56" s="69" t="s">
        <v>325</v>
      </c>
      <c r="N56" s="70">
        <v>518.48</v>
      </c>
      <c r="O56" s="115">
        <f t="shared" si="6"/>
        <v>200</v>
      </c>
      <c r="P56" s="69">
        <f t="shared" si="7"/>
        <v>600</v>
      </c>
      <c r="Q56" s="288">
        <f t="shared" si="12"/>
        <v>257.81174999999996</v>
      </c>
      <c r="R56" s="447"/>
      <c r="S56" s="66"/>
      <c r="T56" s="65"/>
      <c r="V56" s="266"/>
      <c r="W56" s="266"/>
      <c r="X56" s="266"/>
      <c r="Z56" s="465"/>
      <c r="AA56" s="337"/>
      <c r="AB56" s="337"/>
      <c r="AC56" s="337"/>
      <c r="AD56" s="337"/>
      <c r="AE56" s="337"/>
      <c r="AF56" s="465"/>
      <c r="AG56" s="465"/>
      <c r="AH56" s="465"/>
      <c r="AI56" s="465"/>
    </row>
    <row r="57" spans="1:40">
      <c r="A57" s="266"/>
      <c r="B57" s="63"/>
      <c r="C57" s="266"/>
      <c r="D57" s="266"/>
      <c r="E57" s="266"/>
      <c r="F57" s="63"/>
      <c r="G57" s="63"/>
      <c r="H57" s="63"/>
      <c r="I57" s="63"/>
      <c r="J57" s="63"/>
      <c r="K57" s="266"/>
      <c r="L57" s="266"/>
      <c r="M57" s="266"/>
      <c r="N57" s="266"/>
      <c r="O57" s="266"/>
      <c r="P57" s="266"/>
      <c r="Q57" s="266"/>
      <c r="R57" s="12"/>
      <c r="T57" s="266"/>
      <c r="V57" s="266"/>
      <c r="W57" s="266"/>
      <c r="X57" s="266"/>
      <c r="Z57" s="464"/>
      <c r="AA57" s="337"/>
      <c r="AB57" s="337"/>
      <c r="AC57" s="337"/>
      <c r="AD57" s="337"/>
      <c r="AE57" s="337"/>
      <c r="AF57" s="468"/>
      <c r="AG57" s="465"/>
      <c r="AH57" s="560"/>
      <c r="AI57" s="560"/>
      <c r="AJ57" s="560"/>
      <c r="AK57" s="560"/>
      <c r="AL57" s="560"/>
      <c r="AM57" s="560"/>
      <c r="AN57" s="465"/>
    </row>
    <row r="58" spans="1:40">
      <c r="A58" s="266"/>
      <c r="B58" s="63"/>
      <c r="C58" s="266"/>
      <c r="D58" s="266"/>
      <c r="E58" s="266"/>
      <c r="F58" s="63"/>
      <c r="G58" s="63"/>
      <c r="H58" s="63"/>
      <c r="I58" s="63"/>
      <c r="J58" s="63"/>
      <c r="K58" s="266"/>
      <c r="L58" s="266"/>
      <c r="M58" s="266"/>
      <c r="N58" s="266"/>
      <c r="O58" s="266"/>
      <c r="P58" s="266"/>
      <c r="Q58" s="266"/>
      <c r="R58" s="12"/>
      <c r="T58" s="266"/>
      <c r="V58" s="266"/>
      <c r="W58" s="266"/>
      <c r="X58" s="266"/>
      <c r="Z58" s="464"/>
      <c r="AA58" s="465"/>
      <c r="AB58" s="465"/>
      <c r="AC58" s="465"/>
      <c r="AD58" s="465"/>
      <c r="AE58" s="465"/>
      <c r="AF58" s="464"/>
      <c r="AG58" s="465"/>
      <c r="AH58" s="466"/>
      <c r="AI58" s="467"/>
      <c r="AJ58" s="467"/>
      <c r="AK58" s="467"/>
      <c r="AL58" s="464"/>
      <c r="AM58" s="464"/>
      <c r="AN58" s="464"/>
    </row>
    <row r="59" spans="1:40">
      <c r="A59" s="266"/>
      <c r="B59" s="63"/>
      <c r="C59" s="266"/>
      <c r="D59" s="266"/>
      <c r="E59" s="266"/>
      <c r="F59" s="63"/>
      <c r="G59" s="63"/>
      <c r="H59" s="63"/>
      <c r="I59" s="63"/>
      <c r="J59" s="63"/>
      <c r="K59" s="266"/>
      <c r="L59" s="266"/>
      <c r="M59" s="266"/>
      <c r="N59" s="266"/>
      <c r="O59" s="266"/>
      <c r="P59" s="266"/>
      <c r="Q59" s="266"/>
      <c r="R59" s="12"/>
      <c r="T59" s="266"/>
      <c r="V59" s="266"/>
      <c r="W59" s="266"/>
      <c r="X59" s="266"/>
      <c r="Z59" s="464"/>
      <c r="AA59" s="465"/>
      <c r="AB59" s="465"/>
      <c r="AC59" s="465"/>
      <c r="AD59" s="465"/>
      <c r="AE59" s="465"/>
      <c r="AF59" s="464"/>
      <c r="AG59" s="465"/>
      <c r="AH59" s="465"/>
      <c r="AI59" s="335"/>
      <c r="AJ59" s="335"/>
      <c r="AK59" s="335"/>
      <c r="AL59" s="335"/>
      <c r="AM59" s="337"/>
      <c r="AN59" s="465"/>
    </row>
    <row r="60" spans="1:40">
      <c r="A60" s="266"/>
      <c r="B60" s="63"/>
      <c r="C60" s="266"/>
      <c r="D60" s="266"/>
      <c r="E60" s="266"/>
      <c r="F60" s="63"/>
      <c r="G60" s="63"/>
      <c r="H60" s="63"/>
      <c r="I60" s="63"/>
      <c r="J60" s="63"/>
      <c r="K60" s="266"/>
      <c r="L60" s="266"/>
      <c r="M60" s="266"/>
      <c r="N60" s="266"/>
      <c r="O60" s="266"/>
      <c r="P60" s="266"/>
      <c r="Q60" s="266"/>
      <c r="R60" s="12"/>
      <c r="T60" s="266"/>
      <c r="V60" s="184"/>
      <c r="W60" s="266"/>
      <c r="X60" s="266"/>
      <c r="AH60" s="465"/>
      <c r="AI60" s="335"/>
      <c r="AJ60" s="335"/>
      <c r="AK60" s="335"/>
      <c r="AL60" s="335"/>
      <c r="AM60" s="337"/>
      <c r="AN60" s="465"/>
    </row>
    <row r="61" spans="1:40">
      <c r="A61" s="266"/>
      <c r="B61" s="63"/>
      <c r="C61" s="266"/>
      <c r="D61" s="266"/>
      <c r="E61" s="266"/>
      <c r="F61" s="63"/>
      <c r="G61" s="63"/>
      <c r="H61" s="63"/>
      <c r="I61" s="63"/>
      <c r="J61" s="63"/>
      <c r="K61" s="266"/>
      <c r="L61" s="266"/>
      <c r="M61" s="266"/>
      <c r="N61" s="266"/>
      <c r="O61" s="266"/>
      <c r="P61" s="266"/>
      <c r="Q61" s="266"/>
      <c r="R61" s="12"/>
      <c r="T61" s="266"/>
      <c r="V61" s="266"/>
      <c r="W61" s="266"/>
      <c r="X61" s="266"/>
      <c r="Z61" s="557" t="s">
        <v>576</v>
      </c>
      <c r="AA61" s="558"/>
      <c r="AB61" s="558"/>
      <c r="AC61" s="558"/>
      <c r="AD61" s="558"/>
      <c r="AE61" s="559"/>
      <c r="AF61" s="154"/>
      <c r="AK61" s="486"/>
      <c r="AL61" s="486"/>
      <c r="AM61" s="486"/>
      <c r="AN61" s="486"/>
    </row>
    <row r="62" spans="1:40">
      <c r="A62" s="266"/>
      <c r="B62" s="64"/>
      <c r="C62" s="266"/>
      <c r="D62" s="266"/>
      <c r="E62" s="266"/>
      <c r="F62" s="63"/>
      <c r="G62" s="63"/>
      <c r="H62" s="63"/>
      <c r="I62" s="63"/>
      <c r="J62" s="63"/>
      <c r="K62" s="266"/>
      <c r="L62" s="266"/>
      <c r="M62" s="266"/>
      <c r="N62" s="266"/>
      <c r="O62" s="266"/>
      <c r="P62" s="266"/>
      <c r="Q62" s="266"/>
      <c r="R62" s="12"/>
      <c r="T62" s="266"/>
      <c r="Z62" s="331" t="s">
        <v>491</v>
      </c>
      <c r="AA62" s="333" t="s">
        <v>493</v>
      </c>
      <c r="AB62" s="333" t="s">
        <v>494</v>
      </c>
      <c r="AC62" s="333" t="s">
        <v>495</v>
      </c>
      <c r="AD62" s="333" t="s">
        <v>496</v>
      </c>
      <c r="AE62" s="334" t="s">
        <v>562</v>
      </c>
      <c r="AF62" s="290" t="s">
        <v>415</v>
      </c>
      <c r="AK62" s="486"/>
      <c r="AL62" s="486"/>
      <c r="AM62" s="486"/>
      <c r="AN62" s="491"/>
    </row>
    <row r="63" spans="1:40">
      <c r="A63" s="266"/>
      <c r="B63" s="64"/>
      <c r="C63" s="266"/>
      <c r="D63" s="266"/>
      <c r="E63" s="266"/>
      <c r="F63" s="63"/>
      <c r="G63" s="63"/>
      <c r="H63" s="63"/>
      <c r="I63" s="63"/>
      <c r="J63" s="63"/>
      <c r="K63" s="266"/>
      <c r="L63" s="266"/>
      <c r="M63" s="266"/>
      <c r="N63" s="266"/>
      <c r="O63" s="266"/>
      <c r="P63" s="266"/>
      <c r="Q63" s="266"/>
      <c r="R63" s="12"/>
      <c r="T63" s="266"/>
      <c r="Z63" s="59" t="s">
        <v>84</v>
      </c>
      <c r="AA63" s="335">
        <v>1</v>
      </c>
      <c r="AB63" s="335">
        <v>0</v>
      </c>
      <c r="AC63" s="336">
        <v>0</v>
      </c>
      <c r="AD63" s="336">
        <v>0</v>
      </c>
      <c r="AE63" s="337">
        <v>0</v>
      </c>
      <c r="AF63" s="338">
        <f>SUM(AA63:AE63)</f>
        <v>1</v>
      </c>
      <c r="AK63" s="486"/>
      <c r="AL63" s="486"/>
      <c r="AM63" s="486"/>
      <c r="AN63" s="486"/>
    </row>
    <row r="64" spans="1:40">
      <c r="A64" s="266"/>
      <c r="B64" s="64"/>
      <c r="C64" s="266"/>
      <c r="D64" s="266"/>
      <c r="E64" s="266"/>
      <c r="F64" s="63"/>
      <c r="G64" s="63"/>
      <c r="H64" s="63"/>
      <c r="I64" s="63"/>
      <c r="J64" s="63"/>
      <c r="K64" s="266"/>
      <c r="L64" s="266"/>
      <c r="M64" s="266"/>
      <c r="N64" s="266"/>
      <c r="O64" s="266"/>
      <c r="P64" s="266"/>
      <c r="Q64" s="266"/>
      <c r="R64" s="12"/>
      <c r="T64" s="266"/>
      <c r="Z64" s="59" t="s">
        <v>85</v>
      </c>
      <c r="AA64" s="335">
        <v>1</v>
      </c>
      <c r="AB64" s="335">
        <v>0</v>
      </c>
      <c r="AC64" s="335">
        <v>0</v>
      </c>
      <c r="AD64" s="335">
        <v>0</v>
      </c>
      <c r="AE64" s="337">
        <v>0</v>
      </c>
      <c r="AF64" s="59">
        <f t="shared" ref="AF64:AF74" si="13">SUM(AA64:AE64)</f>
        <v>1</v>
      </c>
      <c r="AK64" s="486"/>
      <c r="AL64" s="486"/>
      <c r="AM64" s="486"/>
      <c r="AN64" s="486"/>
    </row>
    <row r="65" spans="1:40">
      <c r="A65" s="266"/>
      <c r="B65" s="63"/>
      <c r="C65" s="266"/>
      <c r="D65" s="266"/>
      <c r="E65" s="266"/>
      <c r="O65" s="266"/>
      <c r="P65" s="266"/>
      <c r="R65" s="12"/>
      <c r="T65" s="266"/>
      <c r="Z65" s="59" t="s">
        <v>86</v>
      </c>
      <c r="AA65" s="335">
        <v>1</v>
      </c>
      <c r="AB65" s="335">
        <v>0</v>
      </c>
      <c r="AC65" s="335">
        <v>0</v>
      </c>
      <c r="AD65" s="335">
        <v>0</v>
      </c>
      <c r="AE65" s="337">
        <v>0</v>
      </c>
      <c r="AF65" s="59">
        <f t="shared" si="13"/>
        <v>1</v>
      </c>
      <c r="AH65" s="481" t="s">
        <v>498</v>
      </c>
      <c r="AI65" s="481" t="s">
        <v>499</v>
      </c>
      <c r="AJ65" s="340" t="s">
        <v>500</v>
      </c>
      <c r="AK65" s="486"/>
      <c r="AL65" s="486"/>
    </row>
    <row r="66" spans="1:40">
      <c r="A66" s="266"/>
      <c r="B66" s="63"/>
      <c r="C66" s="266"/>
      <c r="D66" s="266"/>
      <c r="E66" s="266"/>
      <c r="O66" s="266"/>
      <c r="P66" s="266"/>
      <c r="R66" s="12"/>
      <c r="T66" s="266"/>
      <c r="Z66" s="59" t="s">
        <v>87</v>
      </c>
      <c r="AA66" s="335">
        <v>1</v>
      </c>
      <c r="AB66" s="335">
        <v>3</v>
      </c>
      <c r="AC66" s="335">
        <v>0</v>
      </c>
      <c r="AD66" s="335">
        <v>0</v>
      </c>
      <c r="AE66" s="337">
        <v>0</v>
      </c>
      <c r="AF66" s="59">
        <f t="shared" si="13"/>
        <v>4</v>
      </c>
      <c r="AH66" s="60" t="s">
        <v>493</v>
      </c>
      <c r="AI66" s="60">
        <v>100</v>
      </c>
      <c r="AJ66" s="492">
        <v>15</v>
      </c>
      <c r="AK66" s="486"/>
      <c r="AL66" s="486"/>
    </row>
    <row r="67" spans="1:40">
      <c r="A67" s="266"/>
      <c r="B67" s="63"/>
      <c r="C67" s="266"/>
      <c r="D67" s="266"/>
      <c r="E67" s="266"/>
      <c r="O67" s="266"/>
      <c r="P67" s="266"/>
      <c r="R67" s="12"/>
      <c r="T67" s="266"/>
      <c r="Z67" s="59" t="s">
        <v>88</v>
      </c>
      <c r="AA67" s="335">
        <v>0</v>
      </c>
      <c r="AB67" s="335">
        <v>1</v>
      </c>
      <c r="AC67" s="335">
        <v>0</v>
      </c>
      <c r="AD67" s="335">
        <v>0</v>
      </c>
      <c r="AE67" s="337">
        <v>0</v>
      </c>
      <c r="AF67" s="59">
        <f t="shared" si="13"/>
        <v>1</v>
      </c>
      <c r="AH67" s="341" t="s">
        <v>494</v>
      </c>
      <c r="AI67" s="341">
        <v>150</v>
      </c>
      <c r="AJ67" s="493">
        <v>16.3689</v>
      </c>
      <c r="AK67" s="486"/>
      <c r="AL67" s="486"/>
      <c r="AN67" s="486"/>
    </row>
    <row r="68" spans="1:40">
      <c r="A68" s="266"/>
      <c r="B68" s="63"/>
      <c r="C68" s="266"/>
      <c r="D68" s="266"/>
      <c r="E68" s="266"/>
      <c r="F68" s="63"/>
      <c r="G68" s="63"/>
      <c r="H68" s="63"/>
      <c r="I68" s="63"/>
      <c r="J68" s="63"/>
      <c r="K68" s="266"/>
      <c r="L68" s="266"/>
      <c r="M68" s="266"/>
      <c r="N68" s="266"/>
      <c r="O68" s="266"/>
      <c r="P68" s="266"/>
      <c r="Q68" s="266"/>
      <c r="R68" s="12"/>
      <c r="T68" s="266"/>
      <c r="Z68" s="59" t="s">
        <v>89</v>
      </c>
      <c r="AA68" s="335">
        <v>1</v>
      </c>
      <c r="AB68" s="335">
        <v>0</v>
      </c>
      <c r="AC68" s="335">
        <v>0</v>
      </c>
      <c r="AD68" s="335">
        <v>0</v>
      </c>
      <c r="AE68" s="337">
        <v>0</v>
      </c>
      <c r="AF68" s="59">
        <f t="shared" si="13"/>
        <v>1</v>
      </c>
      <c r="AH68" s="341" t="s">
        <v>495</v>
      </c>
      <c r="AI68" s="341">
        <v>200</v>
      </c>
      <c r="AJ68" s="493">
        <v>16.746700000000001</v>
      </c>
      <c r="AK68" s="486"/>
      <c r="AL68" s="486"/>
      <c r="AN68" s="486"/>
    </row>
    <row r="69" spans="1:40">
      <c r="B69" s="63"/>
      <c r="C69" s="266"/>
      <c r="D69" s="266"/>
      <c r="E69" s="266"/>
      <c r="F69" s="63"/>
      <c r="G69" s="63"/>
      <c r="H69" s="63"/>
      <c r="I69" s="63"/>
      <c r="J69" s="63"/>
      <c r="K69" s="266"/>
      <c r="L69" s="266"/>
      <c r="M69" s="266"/>
      <c r="N69" s="266"/>
      <c r="O69" s="266"/>
      <c r="P69" s="266"/>
      <c r="Q69" s="266"/>
      <c r="R69" s="12"/>
      <c r="T69" s="266"/>
      <c r="V69" s="57"/>
      <c r="W69" s="57"/>
      <c r="Z69" s="59" t="s">
        <v>90</v>
      </c>
      <c r="AA69" s="335">
        <v>1</v>
      </c>
      <c r="AB69" s="335">
        <v>0</v>
      </c>
      <c r="AC69" s="335">
        <v>0</v>
      </c>
      <c r="AD69" s="335">
        <v>0</v>
      </c>
      <c r="AE69" s="337">
        <v>0</v>
      </c>
      <c r="AF69" s="59">
        <f t="shared" si="13"/>
        <v>1</v>
      </c>
      <c r="AH69" s="341" t="s">
        <v>496</v>
      </c>
      <c r="AI69" s="341">
        <v>250</v>
      </c>
      <c r="AJ69" s="493">
        <v>16.886600000000001</v>
      </c>
      <c r="AK69" s="486"/>
      <c r="AL69" s="486"/>
      <c r="AN69" s="486"/>
    </row>
    <row r="70" spans="1:40">
      <c r="B70" s="63"/>
      <c r="C70" s="266"/>
      <c r="D70" s="266"/>
      <c r="E70" s="266"/>
      <c r="F70" s="63"/>
      <c r="G70" s="63"/>
      <c r="H70" s="63"/>
      <c r="I70" s="63"/>
      <c r="J70" s="63"/>
      <c r="K70" s="266"/>
      <c r="L70" s="266"/>
      <c r="M70" s="266"/>
      <c r="N70" s="266"/>
      <c r="O70" s="266"/>
      <c r="P70" s="266"/>
      <c r="Q70" s="266"/>
      <c r="R70" s="12"/>
      <c r="T70" s="266"/>
      <c r="V70" s="57"/>
      <c r="W70" s="57"/>
      <c r="Z70" s="59" t="s">
        <v>91</v>
      </c>
      <c r="AA70" s="335">
        <v>1</v>
      </c>
      <c r="AB70" s="335">
        <v>0</v>
      </c>
      <c r="AC70" s="337">
        <v>0</v>
      </c>
      <c r="AD70" s="337">
        <v>0</v>
      </c>
      <c r="AE70" s="337">
        <v>0</v>
      </c>
      <c r="AF70" s="59">
        <f t="shared" si="13"/>
        <v>1</v>
      </c>
      <c r="AH70" s="342" t="s">
        <v>562</v>
      </c>
      <c r="AI70" s="342">
        <v>300</v>
      </c>
      <c r="AJ70" s="494">
        <v>17</v>
      </c>
      <c r="AK70" s="486"/>
      <c r="AL70" s="486"/>
      <c r="AN70" s="486"/>
    </row>
    <row r="71" spans="1:40">
      <c r="B71" s="63"/>
      <c r="C71" s="266"/>
      <c r="D71" s="266"/>
      <c r="E71" s="266"/>
      <c r="F71" s="63"/>
      <c r="G71" s="63"/>
      <c r="H71" s="63"/>
      <c r="I71" s="63"/>
      <c r="J71" s="63"/>
      <c r="K71" s="266"/>
      <c r="L71" s="266"/>
      <c r="M71" s="266"/>
      <c r="N71" s="266"/>
      <c r="O71" s="266"/>
      <c r="P71" s="266"/>
      <c r="Q71" s="266"/>
      <c r="R71" s="12"/>
      <c r="T71" s="266"/>
      <c r="V71" s="57"/>
      <c r="W71" s="57"/>
      <c r="Z71" s="59" t="s">
        <v>92</v>
      </c>
      <c r="AA71" s="337">
        <v>0</v>
      </c>
      <c r="AB71" s="337">
        <v>0</v>
      </c>
      <c r="AC71" s="337">
        <v>0</v>
      </c>
      <c r="AD71" s="337">
        <v>0</v>
      </c>
      <c r="AE71" s="337">
        <v>0</v>
      </c>
      <c r="AF71" s="59">
        <f t="shared" si="13"/>
        <v>0</v>
      </c>
      <c r="AH71" s="486"/>
      <c r="AI71" s="486"/>
      <c r="AK71" s="486"/>
      <c r="AL71" s="486"/>
      <c r="AN71" s="486"/>
    </row>
    <row r="72" spans="1:40">
      <c r="B72" s="63"/>
      <c r="C72" s="266"/>
      <c r="D72" s="266"/>
      <c r="E72" s="266"/>
      <c r="F72" s="63"/>
      <c r="G72" s="63"/>
      <c r="H72" s="63"/>
      <c r="I72" s="63"/>
      <c r="J72" s="63"/>
      <c r="K72" s="266"/>
      <c r="L72" s="266"/>
      <c r="M72" s="266"/>
      <c r="N72" s="266"/>
      <c r="O72" s="266"/>
      <c r="P72" s="266"/>
      <c r="Q72" s="266"/>
      <c r="R72" s="12"/>
      <c r="T72" s="266"/>
      <c r="V72" s="57"/>
      <c r="W72" s="57"/>
      <c r="Z72" s="59" t="s">
        <v>93</v>
      </c>
      <c r="AA72" s="337">
        <v>1</v>
      </c>
      <c r="AB72" s="335">
        <v>2</v>
      </c>
      <c r="AC72" s="337">
        <v>0</v>
      </c>
      <c r="AD72" s="337">
        <v>0</v>
      </c>
      <c r="AE72" s="337">
        <v>0</v>
      </c>
      <c r="AF72" s="59">
        <f t="shared" si="13"/>
        <v>3</v>
      </c>
      <c r="AH72" s="486"/>
      <c r="AI72" s="486"/>
      <c r="AK72" s="486"/>
      <c r="AL72" s="486"/>
      <c r="AM72" s="495"/>
      <c r="AN72" s="486"/>
    </row>
    <row r="73" spans="1:40">
      <c r="B73" s="63"/>
      <c r="C73" s="266"/>
      <c r="D73" s="266"/>
      <c r="E73" s="266"/>
      <c r="F73" s="63"/>
      <c r="G73" s="63"/>
      <c r="H73" s="63"/>
      <c r="I73" s="63"/>
      <c r="J73" s="63"/>
      <c r="K73" s="266"/>
      <c r="L73" s="266"/>
      <c r="M73" s="266"/>
      <c r="N73" s="266"/>
      <c r="O73" s="266"/>
      <c r="P73" s="266"/>
      <c r="Q73" s="266"/>
      <c r="R73" s="12"/>
      <c r="T73" s="266"/>
      <c r="V73" s="57"/>
      <c r="Z73" s="59" t="s">
        <v>94</v>
      </c>
      <c r="AA73" s="337">
        <v>1</v>
      </c>
      <c r="AB73" s="335">
        <v>3</v>
      </c>
      <c r="AC73" s="337">
        <v>0</v>
      </c>
      <c r="AD73" s="337">
        <v>0</v>
      </c>
      <c r="AE73" s="337">
        <v>0</v>
      </c>
      <c r="AF73" s="59">
        <f t="shared" si="13"/>
        <v>4</v>
      </c>
      <c r="AH73" s="18"/>
      <c r="AI73" s="486"/>
      <c r="AK73" s="486"/>
      <c r="AL73" s="486"/>
      <c r="AN73" s="486"/>
    </row>
    <row r="74" spans="1:40">
      <c r="B74" s="63"/>
      <c r="C74" s="266"/>
      <c r="D74" s="266"/>
      <c r="E74" s="266"/>
      <c r="F74" s="63"/>
      <c r="G74" s="63"/>
      <c r="H74" s="63"/>
      <c r="I74" s="63"/>
      <c r="J74" s="63"/>
      <c r="K74" s="266"/>
      <c r="L74" s="266"/>
      <c r="M74" s="266"/>
      <c r="N74" s="266"/>
      <c r="O74" s="266"/>
      <c r="P74" s="266"/>
      <c r="Q74" s="266"/>
      <c r="R74" s="12"/>
      <c r="T74" s="266"/>
      <c r="V74" s="57"/>
      <c r="Z74" s="343" t="s">
        <v>492</v>
      </c>
      <c r="AA74" s="344">
        <v>0</v>
      </c>
      <c r="AB74" s="344">
        <v>0</v>
      </c>
      <c r="AC74" s="344">
        <v>0</v>
      </c>
      <c r="AD74" s="344">
        <v>0</v>
      </c>
      <c r="AE74" s="344">
        <v>0</v>
      </c>
      <c r="AF74" s="343">
        <f t="shared" si="13"/>
        <v>0</v>
      </c>
      <c r="AH74" s="557" t="s">
        <v>578</v>
      </c>
      <c r="AI74" s="558"/>
      <c r="AJ74" s="558"/>
      <c r="AK74" s="558"/>
      <c r="AL74" s="558"/>
      <c r="AM74" s="559"/>
      <c r="AN74" s="154"/>
    </row>
    <row r="75" spans="1:40">
      <c r="B75" s="63"/>
      <c r="C75" s="266"/>
      <c r="D75" s="266"/>
      <c r="E75" s="266"/>
      <c r="F75" s="63"/>
      <c r="G75" s="63"/>
      <c r="H75" s="63"/>
      <c r="I75" s="63"/>
      <c r="J75" s="63"/>
      <c r="K75" s="266"/>
      <c r="L75" s="266"/>
      <c r="M75" s="266"/>
      <c r="N75" s="266"/>
      <c r="O75" s="266"/>
      <c r="P75" s="266"/>
      <c r="Q75" s="266"/>
      <c r="R75" s="12"/>
      <c r="T75" s="266"/>
      <c r="Z75" s="290" t="s">
        <v>501</v>
      </c>
      <c r="AA75" s="345">
        <f t="shared" ref="AA75:AF75" si="14">SUM(AA63:AA74)</f>
        <v>9</v>
      </c>
      <c r="AB75" s="345">
        <f t="shared" si="14"/>
        <v>9</v>
      </c>
      <c r="AC75" s="345">
        <f t="shared" si="14"/>
        <v>0</v>
      </c>
      <c r="AD75" s="345">
        <f t="shared" si="14"/>
        <v>0</v>
      </c>
      <c r="AE75" s="345">
        <f t="shared" si="14"/>
        <v>0</v>
      </c>
      <c r="AF75" s="346">
        <f t="shared" si="14"/>
        <v>18</v>
      </c>
      <c r="AH75" s="331" t="s">
        <v>491</v>
      </c>
      <c r="AI75" s="333" t="s">
        <v>493</v>
      </c>
      <c r="AJ75" s="333" t="s">
        <v>494</v>
      </c>
      <c r="AK75" s="333" t="s">
        <v>495</v>
      </c>
      <c r="AL75" s="333" t="s">
        <v>496</v>
      </c>
      <c r="AM75" s="334" t="s">
        <v>562</v>
      </c>
      <c r="AN75" s="290" t="s">
        <v>415</v>
      </c>
    </row>
    <row r="76" spans="1:40">
      <c r="B76" s="63"/>
      <c r="C76" s="266"/>
      <c r="D76" s="266"/>
      <c r="E76" s="266"/>
      <c r="F76" s="63"/>
      <c r="G76" s="63"/>
      <c r="H76" s="63"/>
      <c r="I76" s="63"/>
      <c r="J76" s="63"/>
      <c r="K76" s="266"/>
      <c r="L76" s="266"/>
      <c r="M76" s="266"/>
      <c r="N76" s="266"/>
      <c r="O76" s="266"/>
      <c r="P76" s="266"/>
      <c r="Q76" s="266"/>
      <c r="R76" s="12"/>
      <c r="T76" s="266"/>
      <c r="Z76" s="290" t="s">
        <v>500</v>
      </c>
      <c r="AA76" s="489">
        <f>PRODUCT(AA75*AJ66)</f>
        <v>135</v>
      </c>
      <c r="AB76" s="489">
        <f>PRODUCT(AB75,AJ67)</f>
        <v>147.3201</v>
      </c>
      <c r="AC76" s="489">
        <f>PRODUCT(AC75,AJ68)</f>
        <v>0</v>
      </c>
      <c r="AD76" s="489">
        <f>PRODUCT(AD75,AJ69)</f>
        <v>0</v>
      </c>
      <c r="AE76" s="489">
        <f>PRODUCT(AE75,AJ70)</f>
        <v>0</v>
      </c>
      <c r="AF76" s="490">
        <f>SUM(AA76:AE76)</f>
        <v>282.32010000000002</v>
      </c>
      <c r="AH76" s="59" t="s">
        <v>84</v>
      </c>
      <c r="AI76" s="337">
        <f>AA63+AA83</f>
        <v>1</v>
      </c>
      <c r="AJ76" s="337">
        <f t="shared" ref="AJ76:AM87" si="15">AB63+AB83</f>
        <v>12</v>
      </c>
      <c r="AK76" s="337">
        <f t="shared" si="15"/>
        <v>4</v>
      </c>
      <c r="AL76" s="337">
        <f t="shared" si="15"/>
        <v>2</v>
      </c>
      <c r="AM76" s="337">
        <f t="shared" si="15"/>
        <v>0</v>
      </c>
      <c r="AN76" s="338">
        <f>SUM(AI76:AM76)</f>
        <v>19</v>
      </c>
    </row>
    <row r="77" spans="1:40">
      <c r="B77" s="63"/>
      <c r="C77" s="266"/>
      <c r="D77" s="266"/>
      <c r="E77" s="266"/>
      <c r="F77" s="63"/>
      <c r="G77" s="63"/>
      <c r="H77" s="63"/>
      <c r="I77" s="63"/>
      <c r="J77" s="63"/>
      <c r="K77" s="266"/>
      <c r="L77" s="266"/>
      <c r="M77" s="266"/>
      <c r="N77" s="266"/>
      <c r="O77" s="266"/>
      <c r="P77" s="266"/>
      <c r="Q77" s="266"/>
      <c r="R77" s="12"/>
      <c r="T77" s="266"/>
      <c r="Z77" s="290" t="s">
        <v>499</v>
      </c>
      <c r="AA77" s="347">
        <f>AA75*AI66</f>
        <v>900</v>
      </c>
      <c r="AB77" s="347">
        <f>AB75*AI67</f>
        <v>1350</v>
      </c>
      <c r="AC77" s="347">
        <f>AC75*AI68</f>
        <v>0</v>
      </c>
      <c r="AD77" s="347">
        <f>AD75*AI69</f>
        <v>0</v>
      </c>
      <c r="AE77" s="347">
        <f>AE75*AI70</f>
        <v>0</v>
      </c>
      <c r="AF77" s="290">
        <f>SUM(AA77:AE77)</f>
        <v>2250</v>
      </c>
      <c r="AH77" s="59" t="s">
        <v>85</v>
      </c>
      <c r="AI77" s="337">
        <f t="shared" ref="AI77:AI87" si="16">AA64+AA84</f>
        <v>1</v>
      </c>
      <c r="AJ77" s="337">
        <f t="shared" si="15"/>
        <v>18</v>
      </c>
      <c r="AK77" s="337">
        <f t="shared" si="15"/>
        <v>10</v>
      </c>
      <c r="AL77" s="337">
        <f t="shared" si="15"/>
        <v>0</v>
      </c>
      <c r="AM77" s="337">
        <f t="shared" si="15"/>
        <v>7</v>
      </c>
      <c r="AN77" s="59">
        <f t="shared" ref="AN77:AN87" si="17">SUM(AI77:AM77)</f>
        <v>36</v>
      </c>
    </row>
    <row r="78" spans="1:40">
      <c r="B78" s="63"/>
      <c r="C78" s="266"/>
      <c r="D78" s="266"/>
      <c r="E78" s="266"/>
      <c r="F78" s="63"/>
      <c r="G78" s="63"/>
      <c r="H78" s="63"/>
      <c r="I78" s="63"/>
      <c r="J78" s="63"/>
      <c r="K78" s="266"/>
      <c r="L78" s="266"/>
      <c r="M78" s="266"/>
      <c r="N78" s="266"/>
      <c r="O78" s="266"/>
      <c r="P78" s="266"/>
      <c r="Q78" s="266"/>
      <c r="R78" s="12"/>
      <c r="T78" s="266"/>
      <c r="AH78" s="59" t="s">
        <v>86</v>
      </c>
      <c r="AI78" s="337">
        <f t="shared" si="16"/>
        <v>1</v>
      </c>
      <c r="AJ78" s="337">
        <f t="shared" si="15"/>
        <v>0</v>
      </c>
      <c r="AK78" s="337">
        <f t="shared" si="15"/>
        <v>6</v>
      </c>
      <c r="AL78" s="337">
        <f t="shared" si="15"/>
        <v>0</v>
      </c>
      <c r="AM78" s="337">
        <f t="shared" si="15"/>
        <v>4</v>
      </c>
      <c r="AN78" s="59">
        <f t="shared" si="17"/>
        <v>11</v>
      </c>
    </row>
    <row r="79" spans="1:40">
      <c r="B79" s="63"/>
      <c r="C79" s="266"/>
      <c r="D79" s="266"/>
      <c r="E79" s="266"/>
      <c r="F79" s="63"/>
      <c r="G79" s="63"/>
      <c r="H79" s="63"/>
      <c r="I79" s="63"/>
      <c r="J79" s="63"/>
      <c r="K79" s="266"/>
      <c r="L79" s="266"/>
      <c r="M79" s="266"/>
      <c r="N79" s="266"/>
      <c r="O79" s="266"/>
      <c r="P79" s="266"/>
      <c r="Q79" s="266"/>
      <c r="R79" s="12"/>
      <c r="T79" s="266"/>
      <c r="AH79" s="59" t="s">
        <v>87</v>
      </c>
      <c r="AI79" s="337">
        <f t="shared" si="16"/>
        <v>1</v>
      </c>
      <c r="AJ79" s="337">
        <f t="shared" si="15"/>
        <v>34</v>
      </c>
      <c r="AK79" s="337">
        <f t="shared" si="15"/>
        <v>44</v>
      </c>
      <c r="AL79" s="337">
        <f t="shared" si="15"/>
        <v>25</v>
      </c>
      <c r="AM79" s="337">
        <f t="shared" si="15"/>
        <v>0</v>
      </c>
      <c r="AN79" s="59">
        <f t="shared" si="17"/>
        <v>104</v>
      </c>
    </row>
    <row r="80" spans="1:40">
      <c r="B80" s="63"/>
      <c r="C80" s="266"/>
      <c r="D80" s="266"/>
      <c r="E80" s="266"/>
      <c r="F80" s="63"/>
      <c r="G80" s="63"/>
      <c r="H80" s="63"/>
      <c r="I80" s="63"/>
      <c r="J80" s="63"/>
      <c r="K80" s="266"/>
      <c r="L80" s="266"/>
      <c r="M80" s="266"/>
      <c r="N80" s="266"/>
      <c r="O80" s="266"/>
      <c r="P80" s="266"/>
      <c r="Q80" s="266"/>
      <c r="R80" s="12"/>
      <c r="T80" s="266"/>
      <c r="AH80" s="59" t="s">
        <v>88</v>
      </c>
      <c r="AI80" s="337">
        <f t="shared" si="16"/>
        <v>0</v>
      </c>
      <c r="AJ80" s="337">
        <f t="shared" si="15"/>
        <v>1</v>
      </c>
      <c r="AK80" s="337">
        <f t="shared" si="15"/>
        <v>19</v>
      </c>
      <c r="AL80" s="337">
        <f t="shared" si="15"/>
        <v>1</v>
      </c>
      <c r="AM80" s="337">
        <f t="shared" si="15"/>
        <v>0</v>
      </c>
      <c r="AN80" s="59">
        <f t="shared" si="17"/>
        <v>21</v>
      </c>
    </row>
    <row r="81" spans="2:40">
      <c r="B81" s="63"/>
      <c r="C81" s="266"/>
      <c r="D81" s="266"/>
      <c r="E81" s="266"/>
      <c r="F81" s="63"/>
      <c r="G81" s="63"/>
      <c r="H81" s="63"/>
      <c r="I81" s="63"/>
      <c r="J81" s="63"/>
      <c r="K81" s="266"/>
      <c r="L81" s="266"/>
      <c r="M81" s="266"/>
      <c r="N81" s="266"/>
      <c r="O81" s="266"/>
      <c r="P81" s="266"/>
      <c r="Q81" s="266"/>
      <c r="R81" s="12"/>
      <c r="T81" s="266"/>
      <c r="Z81" s="557" t="s">
        <v>577</v>
      </c>
      <c r="AA81" s="558"/>
      <c r="AB81" s="558"/>
      <c r="AC81" s="558"/>
      <c r="AD81" s="558"/>
      <c r="AE81" s="559"/>
      <c r="AF81" s="154"/>
      <c r="AH81" s="59" t="s">
        <v>89</v>
      </c>
      <c r="AI81" s="337">
        <f t="shared" si="16"/>
        <v>1</v>
      </c>
      <c r="AJ81" s="337">
        <f t="shared" si="15"/>
        <v>21</v>
      </c>
      <c r="AK81" s="337">
        <f t="shared" si="15"/>
        <v>2</v>
      </c>
      <c r="AL81" s="337">
        <f t="shared" si="15"/>
        <v>1</v>
      </c>
      <c r="AM81" s="337">
        <f t="shared" si="15"/>
        <v>0</v>
      </c>
      <c r="AN81" s="59">
        <f t="shared" si="17"/>
        <v>25</v>
      </c>
    </row>
    <row r="82" spans="2:40">
      <c r="B82" s="63"/>
      <c r="C82" s="266"/>
      <c r="D82" s="266"/>
      <c r="E82" s="266"/>
      <c r="F82" s="63"/>
      <c r="G82" s="63"/>
      <c r="H82" s="63"/>
      <c r="I82" s="63"/>
      <c r="J82" s="63"/>
      <c r="K82" s="266"/>
      <c r="L82" s="266"/>
      <c r="M82" s="266"/>
      <c r="N82" s="266"/>
      <c r="O82" s="266"/>
      <c r="P82" s="266"/>
      <c r="Q82" s="266"/>
      <c r="R82" s="12"/>
      <c r="T82" s="266"/>
      <c r="Z82" s="331" t="s">
        <v>491</v>
      </c>
      <c r="AA82" s="333" t="s">
        <v>493</v>
      </c>
      <c r="AB82" s="333" t="s">
        <v>494</v>
      </c>
      <c r="AC82" s="333" t="s">
        <v>495</v>
      </c>
      <c r="AD82" s="333" t="s">
        <v>496</v>
      </c>
      <c r="AE82" s="334" t="s">
        <v>562</v>
      </c>
      <c r="AF82" s="290" t="s">
        <v>415</v>
      </c>
      <c r="AH82" s="59" t="s">
        <v>90</v>
      </c>
      <c r="AI82" s="337">
        <f t="shared" si="16"/>
        <v>1</v>
      </c>
      <c r="AJ82" s="337">
        <f t="shared" si="15"/>
        <v>0</v>
      </c>
      <c r="AK82" s="337">
        <f t="shared" si="15"/>
        <v>1</v>
      </c>
      <c r="AL82" s="337">
        <f t="shared" si="15"/>
        <v>4</v>
      </c>
      <c r="AM82" s="337">
        <f t="shared" si="15"/>
        <v>3</v>
      </c>
      <c r="AN82" s="59">
        <f t="shared" si="17"/>
        <v>9</v>
      </c>
    </row>
    <row r="83" spans="2:40">
      <c r="B83" s="63"/>
      <c r="C83" s="266"/>
      <c r="D83" s="266"/>
      <c r="E83" s="266"/>
      <c r="F83" s="63"/>
      <c r="G83" s="63"/>
      <c r="H83" s="63"/>
      <c r="I83" s="63"/>
      <c r="J83" s="63"/>
      <c r="K83" s="266"/>
      <c r="L83" s="266"/>
      <c r="M83" s="266"/>
      <c r="N83" s="266"/>
      <c r="O83" s="266"/>
      <c r="P83" s="266"/>
      <c r="Q83" s="266"/>
      <c r="R83" s="12"/>
      <c r="T83" s="266"/>
      <c r="Z83" s="59" t="s">
        <v>84</v>
      </c>
      <c r="AA83" s="337">
        <v>0</v>
      </c>
      <c r="AB83" s="337">
        <f>12</f>
        <v>12</v>
      </c>
      <c r="AC83" s="487">
        <f>2+2</f>
        <v>4</v>
      </c>
      <c r="AD83" s="487">
        <f>2</f>
        <v>2</v>
      </c>
      <c r="AE83" s="337">
        <v>0</v>
      </c>
      <c r="AF83" s="338">
        <f>SUM(AA83:AE83)</f>
        <v>18</v>
      </c>
      <c r="AH83" s="59" t="s">
        <v>91</v>
      </c>
      <c r="AI83" s="337">
        <f t="shared" si="16"/>
        <v>1</v>
      </c>
      <c r="AJ83" s="337">
        <f t="shared" si="15"/>
        <v>24</v>
      </c>
      <c r="AK83" s="337">
        <f t="shared" si="15"/>
        <v>4</v>
      </c>
      <c r="AL83" s="337">
        <f t="shared" si="15"/>
        <v>2</v>
      </c>
      <c r="AM83" s="337">
        <f t="shared" si="15"/>
        <v>0</v>
      </c>
      <c r="AN83" s="59">
        <f t="shared" si="17"/>
        <v>31</v>
      </c>
    </row>
    <row r="84" spans="2:40">
      <c r="B84" s="63"/>
      <c r="C84" s="266"/>
      <c r="D84" s="266"/>
      <c r="E84" s="266"/>
      <c r="F84" s="63"/>
      <c r="G84" s="63"/>
      <c r="H84" s="63"/>
      <c r="I84" s="63"/>
      <c r="J84" s="63"/>
      <c r="K84" s="266"/>
      <c r="L84" s="266"/>
      <c r="M84" s="266"/>
      <c r="N84" s="266"/>
      <c r="O84" s="266"/>
      <c r="P84" s="266"/>
      <c r="Q84" s="266"/>
      <c r="R84" s="12"/>
      <c r="T84" s="266"/>
      <c r="Z84" s="59" t="s">
        <v>85</v>
      </c>
      <c r="AA84" s="337">
        <v>0</v>
      </c>
      <c r="AB84" s="337">
        <f>9+4+5</f>
        <v>18</v>
      </c>
      <c r="AC84" s="337">
        <f>7+3</f>
        <v>10</v>
      </c>
      <c r="AD84" s="337">
        <v>0</v>
      </c>
      <c r="AE84" s="337">
        <f>4+3</f>
        <v>7</v>
      </c>
      <c r="AF84" s="59">
        <f t="shared" ref="AF84:AF94" si="18">SUM(AA84:AE84)</f>
        <v>35</v>
      </c>
      <c r="AH84" s="59" t="s">
        <v>92</v>
      </c>
      <c r="AI84" s="337">
        <f t="shared" si="16"/>
        <v>0</v>
      </c>
      <c r="AJ84" s="337">
        <f t="shared" si="15"/>
        <v>9</v>
      </c>
      <c r="AK84" s="337">
        <f t="shared" si="15"/>
        <v>21</v>
      </c>
      <c r="AL84" s="337">
        <f t="shared" si="15"/>
        <v>0</v>
      </c>
      <c r="AM84" s="337">
        <f t="shared" si="15"/>
        <v>0</v>
      </c>
      <c r="AN84" s="59">
        <f t="shared" si="17"/>
        <v>30</v>
      </c>
    </row>
    <row r="85" spans="2:40">
      <c r="B85" s="63"/>
      <c r="C85" s="266"/>
      <c r="D85" s="266"/>
      <c r="E85" s="266"/>
      <c r="F85" s="63"/>
      <c r="G85" s="63"/>
      <c r="H85" s="63"/>
      <c r="I85" s="63"/>
      <c r="J85" s="63"/>
      <c r="K85" s="266"/>
      <c r="L85" s="266"/>
      <c r="M85" s="266"/>
      <c r="N85" s="266"/>
      <c r="O85" s="266"/>
      <c r="P85" s="266"/>
      <c r="Q85" s="266"/>
      <c r="R85" s="12"/>
      <c r="T85" s="266"/>
      <c r="Z85" s="59" t="s">
        <v>86</v>
      </c>
      <c r="AA85" s="337">
        <v>0</v>
      </c>
      <c r="AB85" s="337">
        <v>0</v>
      </c>
      <c r="AC85" s="335">
        <f>5+1</f>
        <v>6</v>
      </c>
      <c r="AD85" s="337">
        <v>0</v>
      </c>
      <c r="AE85" s="337">
        <f>4</f>
        <v>4</v>
      </c>
      <c r="AF85" s="59">
        <f t="shared" si="18"/>
        <v>10</v>
      </c>
      <c r="AH85" s="59" t="s">
        <v>93</v>
      </c>
      <c r="AI85" s="337">
        <f t="shared" si="16"/>
        <v>1</v>
      </c>
      <c r="AJ85" s="337">
        <f t="shared" si="15"/>
        <v>2</v>
      </c>
      <c r="AK85" s="337">
        <f t="shared" si="15"/>
        <v>3</v>
      </c>
      <c r="AL85" s="337">
        <f t="shared" si="15"/>
        <v>10</v>
      </c>
      <c r="AM85" s="337">
        <f t="shared" si="15"/>
        <v>0</v>
      </c>
      <c r="AN85" s="59">
        <f t="shared" si="17"/>
        <v>16</v>
      </c>
    </row>
    <row r="86" spans="2:40">
      <c r="B86" s="63"/>
      <c r="C86" s="266"/>
      <c r="D86" s="266"/>
      <c r="E86" s="266"/>
      <c r="F86" s="63"/>
      <c r="G86" s="63"/>
      <c r="H86" s="63"/>
      <c r="I86" s="63"/>
      <c r="J86" s="63"/>
      <c r="K86" s="266"/>
      <c r="L86" s="266"/>
      <c r="M86" s="266"/>
      <c r="N86" s="266"/>
      <c r="O86" s="266"/>
      <c r="P86" s="266"/>
      <c r="Q86" s="266"/>
      <c r="R86" s="12"/>
      <c r="T86" s="266"/>
      <c r="Z86" s="59" t="s">
        <v>87</v>
      </c>
      <c r="AA86" s="337">
        <v>0</v>
      </c>
      <c r="AB86" s="488">
        <f>12+9+10</f>
        <v>31</v>
      </c>
      <c r="AC86" s="337">
        <f>7+5+10+18+4</f>
        <v>44</v>
      </c>
      <c r="AD86" s="337">
        <f>4+10+11</f>
        <v>25</v>
      </c>
      <c r="AE86" s="337">
        <v>0</v>
      </c>
      <c r="AF86" s="59">
        <f t="shared" si="18"/>
        <v>100</v>
      </c>
      <c r="AH86" s="59" t="s">
        <v>94</v>
      </c>
      <c r="AI86" s="337">
        <f t="shared" si="16"/>
        <v>1</v>
      </c>
      <c r="AJ86" s="337">
        <f t="shared" si="15"/>
        <v>5</v>
      </c>
      <c r="AK86" s="337">
        <f t="shared" si="15"/>
        <v>4</v>
      </c>
      <c r="AL86" s="337">
        <f t="shared" si="15"/>
        <v>11</v>
      </c>
      <c r="AM86" s="337">
        <f t="shared" si="15"/>
        <v>0</v>
      </c>
      <c r="AN86" s="59">
        <f t="shared" si="17"/>
        <v>21</v>
      </c>
    </row>
    <row r="87" spans="2:40">
      <c r="B87" s="63"/>
      <c r="C87" s="266"/>
      <c r="D87" s="266"/>
      <c r="E87" s="266"/>
      <c r="F87" s="63"/>
      <c r="G87" s="63"/>
      <c r="H87" s="63"/>
      <c r="I87" s="63"/>
      <c r="J87" s="63"/>
      <c r="K87" s="266"/>
      <c r="L87" s="266"/>
      <c r="M87" s="266"/>
      <c r="N87" s="266"/>
      <c r="O87" s="266"/>
      <c r="P87" s="266"/>
      <c r="Q87" s="266"/>
      <c r="R87" s="12"/>
      <c r="T87" s="266"/>
      <c r="Z87" s="59" t="s">
        <v>88</v>
      </c>
      <c r="AA87" s="337">
        <v>0</v>
      </c>
      <c r="AB87" s="337">
        <v>0</v>
      </c>
      <c r="AC87" s="337">
        <f>2+3+1+10+1+2</f>
        <v>19</v>
      </c>
      <c r="AD87" s="337">
        <f>1</f>
        <v>1</v>
      </c>
      <c r="AE87" s="337">
        <v>0</v>
      </c>
      <c r="AF87" s="59">
        <f t="shared" si="18"/>
        <v>20</v>
      </c>
      <c r="AH87" s="343" t="s">
        <v>492</v>
      </c>
      <c r="AI87" s="337">
        <f t="shared" si="16"/>
        <v>0</v>
      </c>
      <c r="AJ87" s="337">
        <f t="shared" si="15"/>
        <v>1</v>
      </c>
      <c r="AK87" s="337">
        <f t="shared" si="15"/>
        <v>4</v>
      </c>
      <c r="AL87" s="337">
        <f t="shared" si="15"/>
        <v>0</v>
      </c>
      <c r="AM87" s="337">
        <f t="shared" si="15"/>
        <v>0</v>
      </c>
      <c r="AN87" s="343">
        <f t="shared" si="17"/>
        <v>5</v>
      </c>
    </row>
    <row r="88" spans="2:40">
      <c r="B88" s="63"/>
      <c r="C88" s="266"/>
      <c r="D88" s="266"/>
      <c r="E88" s="266"/>
      <c r="F88" s="63"/>
      <c r="G88" s="63"/>
      <c r="H88" s="63"/>
      <c r="I88" s="63"/>
      <c r="J88" s="63"/>
      <c r="K88" s="266"/>
      <c r="L88" s="266"/>
      <c r="M88" s="266"/>
      <c r="N88" s="266"/>
      <c r="O88" s="266"/>
      <c r="P88" s="266"/>
      <c r="Q88" s="266"/>
      <c r="R88" s="12"/>
      <c r="T88" s="266"/>
      <c r="Z88" s="59" t="s">
        <v>89</v>
      </c>
      <c r="AA88" s="337">
        <v>0</v>
      </c>
      <c r="AB88" s="337">
        <f>9+9+3</f>
        <v>21</v>
      </c>
      <c r="AC88" s="337">
        <f>2</f>
        <v>2</v>
      </c>
      <c r="AD88" s="337">
        <f>1</f>
        <v>1</v>
      </c>
      <c r="AE88" s="337">
        <v>0</v>
      </c>
      <c r="AF88" s="59">
        <f t="shared" si="18"/>
        <v>24</v>
      </c>
      <c r="AH88" s="290" t="s">
        <v>501</v>
      </c>
      <c r="AI88" s="345">
        <f t="shared" ref="AI88:AN88" si="19">SUM(AI76:AI87)</f>
        <v>9</v>
      </c>
      <c r="AJ88" s="345">
        <f t="shared" si="19"/>
        <v>127</v>
      </c>
      <c r="AK88" s="345">
        <f t="shared" si="19"/>
        <v>122</v>
      </c>
      <c r="AL88" s="345">
        <f t="shared" si="19"/>
        <v>56</v>
      </c>
      <c r="AM88" s="345">
        <f t="shared" si="19"/>
        <v>14</v>
      </c>
      <c r="AN88" s="346">
        <f t="shared" si="19"/>
        <v>328</v>
      </c>
    </row>
    <row r="89" spans="2:40">
      <c r="B89" s="63"/>
      <c r="C89" s="266"/>
      <c r="D89" s="266"/>
      <c r="E89" s="266"/>
      <c r="F89" s="63"/>
      <c r="G89" s="63"/>
      <c r="H89" s="63"/>
      <c r="I89" s="63"/>
      <c r="J89" s="63"/>
      <c r="K89" s="266"/>
      <c r="L89" s="266"/>
      <c r="M89" s="266"/>
      <c r="N89" s="266"/>
      <c r="O89" s="266"/>
      <c r="P89" s="266"/>
      <c r="Q89" s="266"/>
      <c r="R89" s="12"/>
      <c r="T89" s="266"/>
      <c r="Z89" s="59" t="s">
        <v>90</v>
      </c>
      <c r="AA89" s="337">
        <v>0</v>
      </c>
      <c r="AB89" s="335">
        <v>0</v>
      </c>
      <c r="AC89" s="335">
        <f>1</f>
        <v>1</v>
      </c>
      <c r="AD89" s="337">
        <f>4</f>
        <v>4</v>
      </c>
      <c r="AE89" s="337">
        <f>3</f>
        <v>3</v>
      </c>
      <c r="AF89" s="59">
        <f t="shared" si="18"/>
        <v>8</v>
      </c>
      <c r="AH89" s="290" t="s">
        <v>500</v>
      </c>
      <c r="AI89" s="347">
        <f>PRODUCT(AI88*AJ66)</f>
        <v>135</v>
      </c>
      <c r="AJ89" s="489">
        <f>PRODUCT(AJ88*AJ67)</f>
        <v>2078.8503000000001</v>
      </c>
      <c r="AK89" s="489">
        <f>PRODUCT(AK88*AJ68)</f>
        <v>2043.0974000000001</v>
      </c>
      <c r="AL89" s="489">
        <f>PRODUCT(AL88*AJ69)</f>
        <v>945.64960000000008</v>
      </c>
      <c r="AM89" s="489">
        <f>PRODUCT(AM88*AJ70)</f>
        <v>238</v>
      </c>
      <c r="AN89" s="490">
        <f>SUM(AI89:AM89)</f>
        <v>5440.5973000000004</v>
      </c>
    </row>
    <row r="90" spans="2:40">
      <c r="B90" s="63"/>
      <c r="C90" s="266"/>
      <c r="D90" s="266"/>
      <c r="E90" s="266"/>
      <c r="F90" s="63"/>
      <c r="G90" s="63"/>
      <c r="H90" s="63"/>
      <c r="I90" s="63"/>
      <c r="J90" s="63"/>
      <c r="K90" s="266"/>
      <c r="L90" s="266"/>
      <c r="M90" s="266"/>
      <c r="N90" s="266"/>
      <c r="O90" s="266"/>
      <c r="P90" s="266"/>
      <c r="Q90" s="266"/>
      <c r="R90" s="12"/>
      <c r="T90" s="266"/>
      <c r="Z90" s="59" t="s">
        <v>91</v>
      </c>
      <c r="AA90" s="337">
        <v>0</v>
      </c>
      <c r="AB90" s="335">
        <f>4+10+3+4+2+1</f>
        <v>24</v>
      </c>
      <c r="AC90" s="337">
        <f>2+2</f>
        <v>4</v>
      </c>
      <c r="AD90" s="337">
        <f>2</f>
        <v>2</v>
      </c>
      <c r="AE90" s="337">
        <v>0</v>
      </c>
      <c r="AF90" s="59">
        <f t="shared" si="18"/>
        <v>30</v>
      </c>
      <c r="AH90" s="290" t="s">
        <v>563</v>
      </c>
      <c r="AI90" s="347">
        <f>AI88*AI66</f>
        <v>900</v>
      </c>
      <c r="AJ90" s="347">
        <f>AJ88*AI67</f>
        <v>19050</v>
      </c>
      <c r="AK90" s="347">
        <f>AK88*AI68</f>
        <v>24400</v>
      </c>
      <c r="AL90" s="347">
        <f>AL88*AI69</f>
        <v>14000</v>
      </c>
      <c r="AM90" s="347">
        <f>AM88*AI70</f>
        <v>4200</v>
      </c>
      <c r="AN90" s="290">
        <f>SUM(AI90:AM90)</f>
        <v>62550</v>
      </c>
    </row>
    <row r="91" spans="2:40">
      <c r="B91" s="63"/>
      <c r="C91" s="266"/>
      <c r="D91" s="266"/>
      <c r="E91" s="266"/>
      <c r="F91" s="63"/>
      <c r="G91" s="63"/>
      <c r="H91" s="63"/>
      <c r="I91" s="63"/>
      <c r="J91" s="63"/>
      <c r="K91" s="266"/>
      <c r="L91" s="266"/>
      <c r="M91" s="266"/>
      <c r="N91" s="266"/>
      <c r="O91" s="266"/>
      <c r="P91" s="266"/>
      <c r="Q91" s="266"/>
      <c r="R91" s="12"/>
      <c r="T91" s="266"/>
      <c r="Z91" s="59" t="s">
        <v>92</v>
      </c>
      <c r="AA91" s="337">
        <v>0</v>
      </c>
      <c r="AB91" s="335">
        <f>5+4</f>
        <v>9</v>
      </c>
      <c r="AC91" s="337">
        <f>18+3</f>
        <v>21</v>
      </c>
      <c r="AD91" s="337">
        <v>0</v>
      </c>
      <c r="AE91" s="337">
        <v>0</v>
      </c>
      <c r="AF91" s="59">
        <f t="shared" si="18"/>
        <v>30</v>
      </c>
      <c r="AI91" s="486"/>
      <c r="AJ91" s="335"/>
      <c r="AK91" s="335"/>
      <c r="AL91" s="337"/>
      <c r="AM91" s="337"/>
      <c r="AN91" s="337"/>
    </row>
    <row r="92" spans="2:40">
      <c r="B92" s="63"/>
      <c r="C92" s="266"/>
      <c r="D92" s="266"/>
      <c r="E92" s="266"/>
      <c r="F92" s="63"/>
      <c r="G92" s="63"/>
      <c r="H92" s="63"/>
      <c r="I92" s="63"/>
      <c r="J92" s="63"/>
      <c r="K92" s="266"/>
      <c r="L92" s="266"/>
      <c r="M92" s="266"/>
      <c r="N92" s="266"/>
      <c r="O92" s="266"/>
      <c r="P92" s="266"/>
      <c r="Q92" s="266"/>
      <c r="R92" s="12"/>
      <c r="T92" s="266"/>
      <c r="Z92" s="59" t="s">
        <v>93</v>
      </c>
      <c r="AA92" s="337">
        <v>0</v>
      </c>
      <c r="AB92" s="335">
        <v>0</v>
      </c>
      <c r="AC92" s="337">
        <f>2+1</f>
        <v>3</v>
      </c>
      <c r="AD92" s="337">
        <f>10</f>
        <v>10</v>
      </c>
      <c r="AE92" s="337">
        <v>0</v>
      </c>
      <c r="AF92" s="59">
        <f t="shared" si="18"/>
        <v>13</v>
      </c>
    </row>
    <row r="93" spans="2:40" ht="15">
      <c r="B93" s="63"/>
      <c r="C93" s="266"/>
      <c r="D93" s="266"/>
      <c r="E93" s="266"/>
      <c r="F93" s="63"/>
      <c r="G93" s="63"/>
      <c r="H93" s="63"/>
      <c r="I93" s="63"/>
      <c r="J93" s="63"/>
      <c r="K93" s="266"/>
      <c r="L93" s="266"/>
      <c r="M93" s="266"/>
      <c r="N93" s="266"/>
      <c r="O93" s="266"/>
      <c r="P93" s="266"/>
      <c r="Q93" s="266"/>
      <c r="R93" s="12"/>
      <c r="T93" s="266"/>
      <c r="Z93" s="59" t="s">
        <v>94</v>
      </c>
      <c r="AA93" s="337">
        <v>0</v>
      </c>
      <c r="AB93" s="488">
        <f>2</f>
        <v>2</v>
      </c>
      <c r="AC93" s="337">
        <f>3+1</f>
        <v>4</v>
      </c>
      <c r="AD93" s="337">
        <f>11</f>
        <v>11</v>
      </c>
      <c r="AE93" s="337">
        <v>0</v>
      </c>
      <c r="AF93" s="59">
        <f t="shared" si="18"/>
        <v>17</v>
      </c>
      <c r="AH93" s="435">
        <f>AF75+AF95</f>
        <v>328</v>
      </c>
    </row>
    <row r="94" spans="2:40" ht="15">
      <c r="B94" s="63"/>
      <c r="C94" s="266"/>
      <c r="D94" s="266"/>
      <c r="E94" s="266"/>
      <c r="F94" s="63"/>
      <c r="G94" s="63"/>
      <c r="H94" s="63"/>
      <c r="I94" s="63"/>
      <c r="J94" s="63"/>
      <c r="K94" s="266"/>
      <c r="L94" s="266"/>
      <c r="M94" s="266"/>
      <c r="N94" s="266"/>
      <c r="O94" s="266"/>
      <c r="P94" s="266"/>
      <c r="Q94" s="266"/>
      <c r="R94" s="12"/>
      <c r="T94" s="266"/>
      <c r="Z94" s="343" t="s">
        <v>492</v>
      </c>
      <c r="AA94" s="337">
        <v>0</v>
      </c>
      <c r="AB94" s="344">
        <f>1</f>
        <v>1</v>
      </c>
      <c r="AC94" s="344">
        <f>4</f>
        <v>4</v>
      </c>
      <c r="AD94" s="344">
        <v>0</v>
      </c>
      <c r="AE94" s="337">
        <v>0</v>
      </c>
      <c r="AF94" s="343">
        <f t="shared" si="18"/>
        <v>5</v>
      </c>
      <c r="AH94" s="496">
        <f t="shared" ref="AH94:AH95" si="20">AF76+AF96</f>
        <v>5440.5972999999994</v>
      </c>
    </row>
    <row r="95" spans="2:40" ht="15">
      <c r="B95" s="63"/>
      <c r="C95" s="266"/>
      <c r="D95" s="266"/>
      <c r="E95" s="266"/>
      <c r="F95" s="63"/>
      <c r="G95" s="63"/>
      <c r="H95" s="63"/>
      <c r="I95" s="63"/>
      <c r="J95" s="63"/>
      <c r="K95" s="266"/>
      <c r="L95" s="266"/>
      <c r="M95" s="266"/>
      <c r="N95" s="266"/>
      <c r="O95" s="266"/>
      <c r="P95" s="266"/>
      <c r="Q95" s="266"/>
      <c r="R95" s="12"/>
      <c r="T95" s="266"/>
      <c r="Z95" s="290" t="s">
        <v>501</v>
      </c>
      <c r="AA95" s="345">
        <f t="shared" ref="AA95:AF95" si="21">SUM(AA83:AA94)</f>
        <v>0</v>
      </c>
      <c r="AB95" s="345">
        <f t="shared" si="21"/>
        <v>118</v>
      </c>
      <c r="AC95" s="345">
        <f t="shared" si="21"/>
        <v>122</v>
      </c>
      <c r="AD95" s="345">
        <f t="shared" si="21"/>
        <v>56</v>
      </c>
      <c r="AE95" s="345">
        <f t="shared" si="21"/>
        <v>14</v>
      </c>
      <c r="AF95" s="346">
        <f t="shared" si="21"/>
        <v>310</v>
      </c>
      <c r="AH95" s="435">
        <f t="shared" si="20"/>
        <v>62550</v>
      </c>
    </row>
    <row r="96" spans="2:40">
      <c r="B96" s="63"/>
      <c r="C96" s="266"/>
      <c r="D96" s="266"/>
      <c r="E96" s="266"/>
      <c r="F96" s="63"/>
      <c r="G96" s="63"/>
      <c r="H96" s="63"/>
      <c r="I96" s="63"/>
      <c r="J96" s="63"/>
      <c r="K96" s="266"/>
      <c r="L96" s="266"/>
      <c r="M96" s="266"/>
      <c r="N96" s="266"/>
      <c r="O96" s="266"/>
      <c r="P96" s="266"/>
      <c r="Q96" s="266"/>
      <c r="R96" s="12"/>
      <c r="T96" s="266"/>
      <c r="Z96" s="290" t="s">
        <v>500</v>
      </c>
      <c r="AA96" s="489">
        <f>PRODUCT(AA95*AJ66)</f>
        <v>0</v>
      </c>
      <c r="AB96" s="489">
        <f>PRODUCT(AB95*AJ67)</f>
        <v>1931.5301999999999</v>
      </c>
      <c r="AC96" s="489">
        <f>PRODUCT(AC95*AJ68)</f>
        <v>2043.0974000000001</v>
      </c>
      <c r="AD96" s="489">
        <f>PRODUCT(AD95*AJ69)</f>
        <v>945.64960000000008</v>
      </c>
      <c r="AE96" s="489">
        <f>PRODUCT(AE95*AJ70)</f>
        <v>238</v>
      </c>
      <c r="AF96" s="490">
        <f>SUM(AA96:AE96)</f>
        <v>5158.2771999999995</v>
      </c>
    </row>
    <row r="97" spans="2:32">
      <c r="B97" s="63"/>
      <c r="C97" s="266"/>
      <c r="D97" s="266"/>
      <c r="E97" s="266"/>
      <c r="F97" s="63"/>
      <c r="G97" s="63"/>
      <c r="H97" s="63"/>
      <c r="I97" s="63"/>
      <c r="J97" s="63"/>
      <c r="K97" s="266"/>
      <c r="L97" s="266"/>
      <c r="M97" s="266"/>
      <c r="N97" s="266"/>
      <c r="O97" s="266"/>
      <c r="P97" s="266"/>
      <c r="Q97" s="266"/>
      <c r="R97" s="12"/>
      <c r="T97" s="266"/>
      <c r="Z97" s="290" t="s">
        <v>563</v>
      </c>
      <c r="AA97" s="347">
        <f>AA95*AI66</f>
        <v>0</v>
      </c>
      <c r="AB97" s="347">
        <f>AB95*AI67</f>
        <v>17700</v>
      </c>
      <c r="AC97" s="347">
        <f>AC95*AI68</f>
        <v>24400</v>
      </c>
      <c r="AD97" s="347">
        <f>AD95*AI69</f>
        <v>14000</v>
      </c>
      <c r="AE97" s="347">
        <f>AE95*AI70</f>
        <v>4200</v>
      </c>
      <c r="AF97" s="290">
        <f>SUM(AA97:AE97)</f>
        <v>60300</v>
      </c>
    </row>
    <row r="98" spans="2:32">
      <c r="B98" s="63"/>
      <c r="C98" s="266"/>
      <c r="D98" s="266"/>
      <c r="E98" s="266"/>
      <c r="F98" s="63"/>
      <c r="G98" s="63"/>
      <c r="H98" s="63"/>
      <c r="I98" s="63"/>
      <c r="J98" s="63"/>
      <c r="K98" s="266"/>
      <c r="L98" s="266"/>
      <c r="M98" s="266"/>
      <c r="N98" s="266"/>
      <c r="O98" s="266"/>
      <c r="P98" s="266"/>
      <c r="Q98" s="266"/>
      <c r="R98" s="12"/>
      <c r="T98" s="266"/>
    </row>
    <row r="99" spans="2:32">
      <c r="B99" s="63"/>
      <c r="C99" s="266"/>
      <c r="D99" s="266"/>
      <c r="E99" s="266"/>
      <c r="F99" s="63"/>
      <c r="G99" s="63"/>
      <c r="H99" s="63"/>
      <c r="I99" s="63"/>
      <c r="J99" s="63"/>
      <c r="K99" s="266"/>
      <c r="L99" s="266"/>
      <c r="M99" s="266"/>
      <c r="N99" s="266"/>
      <c r="O99" s="266"/>
      <c r="P99" s="266"/>
      <c r="Q99" s="266"/>
      <c r="R99" s="12"/>
      <c r="T99" s="266"/>
    </row>
    <row r="100" spans="2:32">
      <c r="B100" s="63"/>
      <c r="C100" s="266"/>
      <c r="D100" s="266"/>
      <c r="E100" s="266"/>
      <c r="F100" s="63"/>
      <c r="G100" s="63"/>
      <c r="H100" s="63"/>
      <c r="I100" s="63"/>
      <c r="J100" s="63"/>
      <c r="K100" s="266"/>
      <c r="L100" s="266"/>
      <c r="M100" s="266"/>
      <c r="N100" s="266"/>
      <c r="O100" s="266"/>
      <c r="P100" s="266"/>
      <c r="Q100" s="266"/>
      <c r="R100" s="12"/>
      <c r="T100" s="266"/>
    </row>
    <row r="101" spans="2:32">
      <c r="B101" s="63"/>
      <c r="C101" s="266"/>
      <c r="D101" s="266"/>
      <c r="E101" s="266"/>
      <c r="F101" s="63"/>
      <c r="G101" s="63"/>
      <c r="H101" s="63"/>
      <c r="I101" s="63"/>
      <c r="J101" s="63"/>
      <c r="K101" s="266"/>
      <c r="L101" s="266"/>
      <c r="M101" s="266"/>
      <c r="N101" s="266"/>
      <c r="O101" s="266"/>
      <c r="P101" s="266"/>
      <c r="Q101" s="266"/>
      <c r="R101" s="12"/>
      <c r="T101" s="266"/>
    </row>
    <row r="102" spans="2:32">
      <c r="B102" s="63"/>
      <c r="C102" s="266"/>
      <c r="D102" s="266"/>
      <c r="E102" s="266"/>
      <c r="F102" s="63"/>
      <c r="G102" s="63"/>
      <c r="H102" s="63"/>
      <c r="I102" s="63"/>
      <c r="J102" s="63"/>
      <c r="K102" s="266"/>
      <c r="L102" s="266"/>
      <c r="M102" s="266"/>
      <c r="N102" s="266"/>
      <c r="O102" s="266"/>
      <c r="P102" s="266"/>
      <c r="Q102" s="266"/>
      <c r="R102" s="12"/>
      <c r="T102" s="266"/>
    </row>
    <row r="103" spans="2:32">
      <c r="B103" s="63"/>
      <c r="C103" s="266"/>
      <c r="D103" s="266"/>
      <c r="E103" s="266"/>
      <c r="F103" s="63"/>
      <c r="G103" s="63"/>
      <c r="H103" s="63"/>
      <c r="I103" s="63"/>
      <c r="J103" s="63"/>
      <c r="K103" s="266"/>
      <c r="L103" s="266"/>
      <c r="M103" s="266"/>
      <c r="N103" s="266"/>
      <c r="O103" s="266"/>
      <c r="P103" s="266"/>
      <c r="Q103" s="266"/>
      <c r="R103" s="12"/>
      <c r="T103" s="266"/>
    </row>
    <row r="104" spans="2:32">
      <c r="B104" s="63"/>
      <c r="C104" s="266"/>
      <c r="D104" s="266"/>
      <c r="E104" s="266"/>
      <c r="F104" s="63"/>
      <c r="G104" s="63"/>
      <c r="H104" s="63"/>
      <c r="I104" s="63"/>
      <c r="J104" s="63"/>
      <c r="K104" s="266"/>
      <c r="L104" s="266"/>
      <c r="M104" s="266"/>
      <c r="N104" s="266"/>
      <c r="O104" s="266"/>
      <c r="P104" s="266"/>
      <c r="Q104" s="266"/>
      <c r="R104" s="12"/>
      <c r="T104" s="266"/>
    </row>
    <row r="105" spans="2:32">
      <c r="B105" s="63"/>
      <c r="C105" s="266"/>
      <c r="D105" s="266"/>
      <c r="E105" s="266"/>
      <c r="F105" s="63"/>
      <c r="G105" s="63"/>
      <c r="H105" s="63"/>
      <c r="I105" s="63"/>
      <c r="J105" s="63"/>
      <c r="K105" s="266"/>
      <c r="L105" s="266"/>
      <c r="M105" s="266"/>
      <c r="N105" s="266"/>
      <c r="O105" s="266"/>
      <c r="P105" s="266"/>
      <c r="Q105" s="266"/>
      <c r="R105" s="12"/>
      <c r="T105" s="266"/>
    </row>
    <row r="106" spans="2:32">
      <c r="B106" s="63"/>
      <c r="C106" s="266"/>
      <c r="D106" s="266"/>
      <c r="E106" s="266"/>
      <c r="F106" s="63"/>
      <c r="G106" s="63"/>
      <c r="H106" s="63"/>
      <c r="I106" s="63"/>
      <c r="J106" s="63"/>
      <c r="K106" s="266"/>
      <c r="L106" s="266"/>
      <c r="M106" s="266"/>
      <c r="N106" s="266"/>
      <c r="O106" s="266"/>
      <c r="P106" s="266"/>
      <c r="Q106" s="266"/>
      <c r="R106" s="12"/>
      <c r="T106" s="266"/>
    </row>
    <row r="107" spans="2:32">
      <c r="B107" s="63"/>
      <c r="C107" s="266"/>
      <c r="D107" s="266"/>
      <c r="E107" s="266"/>
      <c r="F107" s="63"/>
      <c r="G107" s="63"/>
      <c r="H107" s="63"/>
      <c r="I107" s="63"/>
      <c r="J107" s="63"/>
      <c r="K107" s="266"/>
      <c r="L107" s="266"/>
      <c r="M107" s="266"/>
      <c r="N107" s="266"/>
      <c r="O107" s="266"/>
      <c r="P107" s="266"/>
      <c r="Q107" s="266"/>
      <c r="R107" s="12"/>
      <c r="T107" s="266"/>
    </row>
    <row r="108" spans="2:32">
      <c r="B108" s="63"/>
      <c r="C108" s="266"/>
      <c r="D108" s="266"/>
      <c r="E108" s="266"/>
      <c r="F108" s="63"/>
      <c r="G108" s="63"/>
      <c r="H108" s="63"/>
      <c r="I108" s="63"/>
      <c r="J108" s="63"/>
      <c r="K108" s="266"/>
      <c r="L108" s="266"/>
      <c r="M108" s="266"/>
      <c r="N108" s="266"/>
      <c r="O108" s="266"/>
      <c r="P108" s="266"/>
      <c r="Q108" s="266"/>
      <c r="R108" s="12"/>
      <c r="T108" s="266"/>
    </row>
    <row r="109" spans="2:32">
      <c r="B109" s="63"/>
      <c r="C109" s="266"/>
      <c r="D109" s="266"/>
      <c r="E109" s="266"/>
      <c r="F109" s="63"/>
      <c r="G109" s="63"/>
      <c r="H109" s="63"/>
      <c r="I109" s="63"/>
      <c r="J109" s="63"/>
      <c r="K109" s="266"/>
      <c r="L109" s="266"/>
      <c r="M109" s="266"/>
      <c r="N109" s="266"/>
      <c r="O109" s="266"/>
      <c r="P109" s="266"/>
      <c r="Q109" s="266"/>
      <c r="R109" s="12"/>
      <c r="T109" s="266"/>
    </row>
    <row r="110" spans="2:32">
      <c r="B110" s="63"/>
      <c r="C110" s="266"/>
      <c r="D110" s="266"/>
      <c r="E110" s="266"/>
      <c r="F110" s="63"/>
      <c r="G110" s="63"/>
      <c r="H110" s="63"/>
      <c r="I110" s="63"/>
      <c r="J110" s="63"/>
      <c r="K110" s="266"/>
      <c r="L110" s="266"/>
      <c r="M110" s="266"/>
      <c r="N110" s="266"/>
      <c r="O110" s="266"/>
      <c r="P110" s="266"/>
      <c r="Q110" s="266"/>
      <c r="R110" s="12"/>
      <c r="T110" s="266"/>
    </row>
    <row r="111" spans="2:32">
      <c r="B111" s="63"/>
      <c r="C111" s="266"/>
      <c r="D111" s="266"/>
      <c r="E111" s="266"/>
      <c r="F111" s="63"/>
      <c r="G111" s="63"/>
      <c r="H111" s="63"/>
      <c r="I111" s="63"/>
      <c r="J111" s="63"/>
      <c r="K111" s="266"/>
      <c r="L111" s="266"/>
      <c r="M111" s="266"/>
      <c r="N111" s="266"/>
      <c r="O111" s="266"/>
      <c r="P111" s="266"/>
      <c r="Q111" s="266"/>
      <c r="R111" s="12"/>
      <c r="T111" s="266"/>
    </row>
    <row r="112" spans="2:32">
      <c r="B112" s="63"/>
      <c r="C112" s="266"/>
      <c r="D112" s="266"/>
      <c r="E112" s="266"/>
      <c r="F112" s="63"/>
      <c r="G112" s="63"/>
      <c r="H112" s="63"/>
      <c r="I112" s="63"/>
      <c r="J112" s="63"/>
      <c r="K112" s="266"/>
      <c r="L112" s="266"/>
      <c r="M112" s="266"/>
      <c r="N112" s="266"/>
      <c r="O112" s="266"/>
      <c r="P112" s="266"/>
      <c r="Q112" s="266"/>
      <c r="R112" s="12"/>
      <c r="T112" s="266"/>
    </row>
    <row r="113" spans="1:20">
      <c r="B113" s="63"/>
      <c r="C113" s="266"/>
      <c r="D113" s="266"/>
      <c r="E113" s="266"/>
      <c r="F113" s="63"/>
      <c r="G113" s="63"/>
      <c r="H113" s="63"/>
      <c r="I113" s="63"/>
      <c r="J113" s="63"/>
      <c r="K113" s="266"/>
      <c r="L113" s="266"/>
      <c r="M113" s="266"/>
      <c r="N113" s="266"/>
      <c r="O113" s="266"/>
      <c r="P113" s="266"/>
      <c r="Q113" s="266"/>
      <c r="R113" s="12"/>
      <c r="T113" s="266"/>
    </row>
    <row r="114" spans="1:20">
      <c r="B114" s="63"/>
      <c r="C114" s="266"/>
      <c r="D114" s="266"/>
      <c r="E114" s="266"/>
      <c r="F114" s="63"/>
      <c r="G114" s="63"/>
      <c r="H114" s="63"/>
      <c r="I114" s="63"/>
      <c r="J114" s="63"/>
      <c r="K114" s="266"/>
      <c r="L114" s="266"/>
      <c r="M114" s="266"/>
      <c r="N114" s="266"/>
      <c r="O114" s="266"/>
      <c r="P114" s="266"/>
      <c r="Q114" s="266"/>
      <c r="R114" s="12"/>
      <c r="T114" s="266"/>
    </row>
    <row r="115" spans="1:20">
      <c r="B115" s="63"/>
      <c r="C115" s="266"/>
      <c r="D115" s="266"/>
      <c r="E115" s="266"/>
      <c r="F115" s="63"/>
      <c r="G115" s="63"/>
      <c r="H115" s="63"/>
      <c r="I115" s="63"/>
      <c r="J115" s="63"/>
      <c r="K115" s="266"/>
      <c r="L115" s="266"/>
      <c r="M115" s="266"/>
      <c r="N115" s="266"/>
      <c r="O115" s="266"/>
      <c r="P115" s="266"/>
      <c r="Q115" s="266"/>
      <c r="R115" s="12"/>
      <c r="T115" s="266"/>
    </row>
    <row r="116" spans="1:20">
      <c r="B116" s="63"/>
      <c r="C116" s="266"/>
      <c r="D116" s="266"/>
      <c r="E116" s="266"/>
      <c r="F116" s="63"/>
      <c r="G116" s="63"/>
      <c r="H116" s="63"/>
      <c r="I116" s="63"/>
      <c r="J116" s="63"/>
      <c r="K116" s="266"/>
      <c r="L116" s="266"/>
      <c r="M116" s="266"/>
      <c r="N116" s="266"/>
      <c r="O116" s="266"/>
      <c r="P116" s="266"/>
      <c r="Q116" s="266"/>
      <c r="R116" s="12"/>
      <c r="T116" s="266"/>
    </row>
    <row r="117" spans="1:20">
      <c r="B117" s="63"/>
      <c r="C117" s="266"/>
      <c r="D117" s="266"/>
      <c r="E117" s="266"/>
      <c r="F117" s="63"/>
      <c r="G117" s="63"/>
      <c r="H117" s="63"/>
      <c r="I117" s="63"/>
      <c r="J117" s="63"/>
      <c r="K117" s="266"/>
      <c r="L117" s="266"/>
      <c r="M117" s="266"/>
      <c r="N117" s="266"/>
      <c r="O117" s="266"/>
      <c r="P117" s="266"/>
      <c r="Q117" s="266"/>
      <c r="R117" s="12"/>
      <c r="T117" s="266"/>
    </row>
    <row r="118" spans="1:20">
      <c r="B118" s="63"/>
      <c r="C118" s="266"/>
      <c r="D118" s="266"/>
      <c r="E118" s="266"/>
      <c r="F118" s="63"/>
      <c r="G118" s="63"/>
      <c r="H118" s="63"/>
      <c r="I118" s="63"/>
      <c r="J118" s="63"/>
      <c r="K118" s="266"/>
      <c r="L118" s="266"/>
      <c r="M118" s="266"/>
      <c r="N118" s="266"/>
      <c r="O118" s="266"/>
      <c r="P118" s="266"/>
      <c r="Q118" s="266"/>
      <c r="R118" s="12"/>
      <c r="T118" s="266"/>
    </row>
    <row r="119" spans="1:20">
      <c r="B119" s="63"/>
      <c r="C119" s="266"/>
      <c r="D119" s="266"/>
      <c r="E119" s="266"/>
      <c r="F119" s="63"/>
      <c r="G119" s="63"/>
      <c r="H119" s="63"/>
      <c r="I119" s="63"/>
      <c r="J119" s="63"/>
      <c r="K119" s="266"/>
      <c r="L119" s="266"/>
      <c r="M119" s="266"/>
      <c r="N119" s="266"/>
      <c r="O119" s="266"/>
      <c r="P119" s="266"/>
      <c r="Q119" s="266"/>
      <c r="R119" s="12"/>
      <c r="T119" s="266"/>
    </row>
    <row r="120" spans="1:20">
      <c r="B120" s="63"/>
      <c r="C120" s="266"/>
      <c r="D120" s="266"/>
      <c r="E120" s="266"/>
      <c r="F120" s="63"/>
      <c r="G120" s="63"/>
      <c r="H120" s="63"/>
      <c r="I120" s="63"/>
      <c r="J120" s="63"/>
      <c r="K120" s="266"/>
      <c r="L120" s="266"/>
      <c r="M120" s="266"/>
      <c r="N120" s="266"/>
      <c r="O120" s="266"/>
      <c r="P120" s="266"/>
      <c r="Q120" s="266"/>
      <c r="R120" s="12"/>
      <c r="T120" s="266"/>
    </row>
    <row r="121" spans="1:20">
      <c r="B121" s="63"/>
      <c r="C121" s="266"/>
      <c r="D121" s="266"/>
      <c r="E121" s="266"/>
      <c r="F121" s="63"/>
      <c r="G121" s="63"/>
      <c r="H121" s="63"/>
      <c r="I121" s="63"/>
      <c r="J121" s="63"/>
      <c r="K121" s="266"/>
      <c r="L121" s="266"/>
      <c r="M121" s="266"/>
      <c r="N121" s="266"/>
      <c r="O121" s="266"/>
      <c r="P121" s="266"/>
      <c r="Q121" s="266"/>
      <c r="R121" s="12"/>
      <c r="T121" s="266"/>
    </row>
    <row r="122" spans="1:20">
      <c r="B122" s="63"/>
      <c r="C122" s="266"/>
      <c r="D122" s="266"/>
      <c r="E122" s="266"/>
      <c r="F122" s="63"/>
      <c r="G122" s="63"/>
      <c r="H122" s="63"/>
      <c r="I122" s="63"/>
      <c r="J122" s="63"/>
      <c r="K122" s="266"/>
      <c r="L122" s="266"/>
      <c r="M122" s="266"/>
      <c r="N122" s="266"/>
      <c r="O122" s="266"/>
      <c r="P122" s="266"/>
      <c r="Q122" s="266"/>
      <c r="R122" s="12"/>
      <c r="T122" s="266"/>
    </row>
    <row r="123" spans="1:20">
      <c r="B123" s="63"/>
      <c r="C123" s="266"/>
      <c r="D123" s="266"/>
      <c r="E123" s="266"/>
      <c r="F123" s="63"/>
      <c r="G123" s="63"/>
      <c r="H123" s="63"/>
      <c r="I123" s="63"/>
      <c r="J123" s="63"/>
      <c r="K123" s="266"/>
      <c r="L123" s="266"/>
      <c r="M123" s="266"/>
      <c r="N123" s="266"/>
      <c r="O123" s="266"/>
      <c r="P123" s="266"/>
      <c r="Q123" s="266"/>
      <c r="R123" s="12"/>
      <c r="T123" s="266"/>
    </row>
    <row r="124" spans="1:20">
      <c r="A124" s="266"/>
      <c r="B124" s="63"/>
      <c r="C124" s="266"/>
      <c r="D124" s="266"/>
      <c r="E124" s="266"/>
      <c r="F124" s="63"/>
      <c r="G124" s="63"/>
      <c r="H124" s="63"/>
      <c r="I124" s="63"/>
      <c r="J124" s="63"/>
      <c r="K124" s="266"/>
      <c r="L124" s="266"/>
      <c r="M124" s="266"/>
      <c r="N124" s="266"/>
      <c r="O124" s="266"/>
      <c r="P124" s="266"/>
      <c r="Q124" s="266"/>
      <c r="R124" s="12"/>
      <c r="T124" s="266"/>
    </row>
    <row r="125" spans="1:20">
      <c r="A125" s="266"/>
      <c r="B125" s="63"/>
      <c r="C125" s="266"/>
      <c r="D125" s="266"/>
      <c r="E125" s="266"/>
      <c r="F125" s="63"/>
      <c r="G125" s="63"/>
      <c r="H125" s="63"/>
      <c r="I125" s="63"/>
      <c r="J125" s="63"/>
      <c r="K125" s="266"/>
      <c r="L125" s="266"/>
      <c r="M125" s="266"/>
      <c r="N125" s="266"/>
      <c r="O125" s="266"/>
      <c r="P125" s="266"/>
      <c r="Q125" s="266"/>
      <c r="R125" s="12"/>
      <c r="T125" s="266"/>
    </row>
    <row r="126" spans="1:20">
      <c r="A126" s="266"/>
      <c r="B126" s="63"/>
      <c r="C126" s="266"/>
      <c r="D126" s="266"/>
      <c r="E126" s="266"/>
      <c r="F126" s="63"/>
      <c r="G126" s="63"/>
      <c r="H126" s="63"/>
      <c r="I126" s="63"/>
      <c r="J126" s="63"/>
      <c r="K126" s="266"/>
      <c r="L126" s="266"/>
      <c r="M126" s="266"/>
      <c r="N126" s="266"/>
      <c r="O126" s="266"/>
      <c r="P126" s="266"/>
      <c r="Q126" s="266"/>
      <c r="R126" s="12"/>
      <c r="T126" s="266"/>
    </row>
    <row r="127" spans="1:20">
      <c r="A127" s="266"/>
      <c r="B127" s="63"/>
      <c r="C127" s="266"/>
      <c r="D127" s="266"/>
      <c r="E127" s="266"/>
      <c r="F127" s="63"/>
      <c r="G127" s="63"/>
      <c r="H127" s="63"/>
      <c r="I127" s="63"/>
      <c r="J127" s="63"/>
      <c r="K127" s="266"/>
      <c r="L127" s="266"/>
      <c r="M127" s="266"/>
      <c r="N127" s="266"/>
      <c r="O127" s="266"/>
      <c r="P127" s="266"/>
      <c r="Q127" s="266"/>
      <c r="R127" s="12"/>
      <c r="T127" s="266"/>
    </row>
    <row r="128" spans="1:20">
      <c r="A128" s="266"/>
      <c r="B128" s="63"/>
      <c r="C128" s="266"/>
      <c r="D128" s="266"/>
      <c r="E128" s="266"/>
      <c r="F128" s="63"/>
      <c r="G128" s="63"/>
      <c r="H128" s="63"/>
      <c r="I128" s="63"/>
      <c r="J128" s="63"/>
      <c r="K128" s="266"/>
      <c r="L128" s="266"/>
      <c r="M128" s="266"/>
      <c r="N128" s="266"/>
      <c r="O128" s="266"/>
      <c r="P128" s="266"/>
      <c r="Q128" s="266"/>
      <c r="R128" s="12"/>
      <c r="T128" s="266"/>
    </row>
    <row r="129" spans="1:20">
      <c r="A129" s="266"/>
      <c r="B129" s="63"/>
      <c r="C129" s="266"/>
      <c r="D129" s="266"/>
      <c r="E129" s="266"/>
      <c r="F129" s="63"/>
      <c r="G129" s="63"/>
      <c r="H129" s="63"/>
      <c r="I129" s="63"/>
      <c r="J129" s="63"/>
      <c r="K129" s="266"/>
      <c r="L129" s="266"/>
      <c r="M129" s="266"/>
      <c r="N129" s="266"/>
      <c r="O129" s="266"/>
      <c r="P129" s="266"/>
      <c r="Q129" s="266"/>
      <c r="R129" s="12"/>
      <c r="T129" s="266"/>
    </row>
    <row r="130" spans="1:20">
      <c r="A130" s="266"/>
      <c r="B130" s="63"/>
      <c r="C130" s="266"/>
      <c r="D130" s="266"/>
      <c r="E130" s="266"/>
      <c r="F130" s="63"/>
      <c r="G130" s="63"/>
      <c r="H130" s="63"/>
      <c r="I130" s="63"/>
      <c r="J130" s="63"/>
      <c r="K130" s="266"/>
      <c r="L130" s="266"/>
      <c r="M130" s="266"/>
      <c r="N130" s="266"/>
      <c r="O130" s="266"/>
      <c r="P130" s="266"/>
      <c r="Q130" s="266"/>
      <c r="R130" s="12"/>
      <c r="T130" s="266"/>
    </row>
    <row r="131" spans="1:20">
      <c r="A131" s="266"/>
      <c r="B131" s="63"/>
      <c r="C131" s="266"/>
      <c r="D131" s="266"/>
      <c r="E131" s="266"/>
      <c r="F131" s="63"/>
      <c r="G131" s="63"/>
      <c r="H131" s="63"/>
      <c r="I131" s="63"/>
      <c r="J131" s="63"/>
      <c r="K131" s="266"/>
      <c r="L131" s="266"/>
      <c r="M131" s="266"/>
      <c r="N131" s="266"/>
      <c r="O131" s="266"/>
      <c r="P131" s="266"/>
      <c r="Q131" s="266"/>
      <c r="R131" s="12"/>
      <c r="T131" s="266"/>
    </row>
    <row r="132" spans="1:20">
      <c r="A132" s="266"/>
      <c r="B132" s="63"/>
      <c r="C132" s="266"/>
      <c r="D132" s="266"/>
      <c r="E132" s="266"/>
      <c r="F132" s="63"/>
      <c r="G132" s="63"/>
      <c r="H132" s="63"/>
      <c r="I132" s="63"/>
      <c r="J132" s="63"/>
      <c r="K132" s="266"/>
      <c r="L132" s="266"/>
      <c r="M132" s="266"/>
      <c r="N132" s="266"/>
      <c r="O132" s="266"/>
      <c r="P132" s="266"/>
      <c r="Q132" s="266"/>
      <c r="R132" s="12"/>
      <c r="T132" s="266"/>
    </row>
    <row r="133" spans="1:20">
      <c r="A133" s="266"/>
      <c r="B133" s="63"/>
      <c r="C133" s="266"/>
      <c r="D133" s="266"/>
      <c r="E133" s="266"/>
      <c r="F133" s="63"/>
      <c r="G133" s="63"/>
      <c r="H133" s="63"/>
      <c r="I133" s="63"/>
      <c r="J133" s="63"/>
      <c r="K133" s="266"/>
      <c r="L133" s="266"/>
      <c r="M133" s="266"/>
      <c r="N133" s="266"/>
      <c r="O133" s="266"/>
      <c r="P133" s="266"/>
      <c r="Q133" s="266"/>
      <c r="R133" s="12"/>
      <c r="T133" s="266"/>
    </row>
    <row r="134" spans="1:20">
      <c r="A134" s="266"/>
      <c r="B134" s="63"/>
      <c r="C134" s="266"/>
      <c r="D134" s="266"/>
      <c r="E134" s="266"/>
      <c r="F134" s="63"/>
      <c r="G134" s="63"/>
      <c r="H134" s="63"/>
      <c r="I134" s="63"/>
      <c r="J134" s="63"/>
      <c r="K134" s="266"/>
      <c r="L134" s="266"/>
      <c r="M134" s="266"/>
      <c r="N134" s="266"/>
      <c r="O134" s="266"/>
      <c r="P134" s="266"/>
      <c r="Q134" s="266"/>
      <c r="R134" s="12"/>
      <c r="T134" s="266"/>
    </row>
    <row r="135" spans="1:20">
      <c r="A135" s="266"/>
      <c r="B135" s="63"/>
      <c r="C135" s="266"/>
      <c r="D135" s="266"/>
      <c r="E135" s="266"/>
      <c r="F135" s="63"/>
      <c r="G135" s="63"/>
      <c r="H135" s="63"/>
      <c r="I135" s="63"/>
      <c r="J135" s="63"/>
      <c r="K135" s="266"/>
      <c r="L135" s="266"/>
      <c r="M135" s="266"/>
      <c r="N135" s="266"/>
      <c r="O135" s="266"/>
      <c r="P135" s="266"/>
      <c r="Q135" s="266"/>
      <c r="R135" s="12"/>
      <c r="T135" s="266"/>
    </row>
    <row r="136" spans="1:20">
      <c r="A136" s="266"/>
      <c r="B136" s="63"/>
      <c r="C136" s="266"/>
      <c r="D136" s="266"/>
      <c r="E136" s="266"/>
      <c r="F136" s="63"/>
      <c r="G136" s="63"/>
      <c r="H136" s="63"/>
      <c r="I136" s="63"/>
      <c r="J136" s="63"/>
      <c r="K136" s="266"/>
      <c r="L136" s="266"/>
      <c r="M136" s="266"/>
      <c r="N136" s="266"/>
      <c r="O136" s="266"/>
      <c r="P136" s="266"/>
      <c r="Q136" s="266"/>
      <c r="R136" s="12"/>
      <c r="T136" s="266"/>
    </row>
    <row r="137" spans="1:20">
      <c r="A137" s="266"/>
      <c r="B137" s="63"/>
      <c r="C137" s="266"/>
      <c r="D137" s="266"/>
      <c r="E137" s="266"/>
      <c r="F137" s="63"/>
      <c r="G137" s="63"/>
      <c r="H137" s="63"/>
      <c r="I137" s="63"/>
      <c r="J137" s="63"/>
      <c r="K137" s="266"/>
      <c r="L137" s="266"/>
      <c r="M137" s="266"/>
      <c r="N137" s="266"/>
      <c r="O137" s="266"/>
      <c r="P137" s="266"/>
      <c r="Q137" s="266"/>
      <c r="R137" s="12"/>
      <c r="T137" s="266"/>
    </row>
    <row r="138" spans="1:20">
      <c r="A138" s="266"/>
      <c r="B138" s="63"/>
      <c r="C138" s="266"/>
      <c r="D138" s="266"/>
      <c r="E138" s="266"/>
      <c r="F138" s="63"/>
      <c r="G138" s="63"/>
      <c r="H138" s="63"/>
      <c r="I138" s="63"/>
      <c r="J138" s="63"/>
      <c r="K138" s="266"/>
      <c r="L138" s="266"/>
      <c r="M138" s="266"/>
      <c r="N138" s="266"/>
      <c r="O138" s="266"/>
      <c r="P138" s="266"/>
      <c r="Q138" s="266"/>
      <c r="R138" s="12"/>
      <c r="T138" s="266"/>
    </row>
    <row r="139" spans="1:20">
      <c r="A139" s="266"/>
      <c r="B139" s="63"/>
      <c r="C139" s="266"/>
      <c r="D139" s="266"/>
      <c r="E139" s="266"/>
      <c r="F139" s="63"/>
      <c r="G139" s="63"/>
      <c r="H139" s="63"/>
      <c r="I139" s="63"/>
      <c r="J139" s="63"/>
      <c r="K139" s="266"/>
      <c r="L139" s="266"/>
      <c r="M139" s="266"/>
      <c r="N139" s="266"/>
      <c r="O139" s="266"/>
      <c r="P139" s="266"/>
      <c r="Q139" s="266"/>
      <c r="R139" s="12"/>
      <c r="T139" s="266"/>
    </row>
    <row r="140" spans="1:20">
      <c r="A140" s="266"/>
      <c r="B140" s="63"/>
      <c r="C140" s="266"/>
      <c r="D140" s="266"/>
      <c r="E140" s="266"/>
      <c r="F140" s="63"/>
      <c r="G140" s="63"/>
      <c r="H140" s="63"/>
      <c r="I140" s="63"/>
      <c r="J140" s="63"/>
      <c r="K140" s="266"/>
      <c r="L140" s="266"/>
      <c r="M140" s="266"/>
      <c r="N140" s="266"/>
      <c r="O140" s="266"/>
      <c r="P140" s="266"/>
      <c r="Q140" s="266"/>
      <c r="R140" s="12"/>
      <c r="T140" s="266"/>
    </row>
    <row r="141" spans="1:20">
      <c r="A141" s="266"/>
      <c r="B141" s="63"/>
      <c r="C141" s="266"/>
      <c r="D141" s="266"/>
      <c r="E141" s="266"/>
      <c r="F141" s="63"/>
      <c r="G141" s="63"/>
      <c r="H141" s="63"/>
      <c r="I141" s="63"/>
      <c r="J141" s="63"/>
      <c r="K141" s="266"/>
      <c r="L141" s="266"/>
      <c r="M141" s="266"/>
      <c r="N141" s="266"/>
      <c r="O141" s="266"/>
      <c r="P141" s="266"/>
      <c r="Q141" s="266"/>
      <c r="R141" s="12"/>
      <c r="T141" s="266"/>
    </row>
    <row r="142" spans="1:20">
      <c r="A142" s="266"/>
      <c r="B142" s="63"/>
      <c r="C142" s="266"/>
      <c r="D142" s="266"/>
      <c r="E142" s="266"/>
      <c r="F142" s="63"/>
      <c r="G142" s="63"/>
      <c r="H142" s="63"/>
      <c r="I142" s="63"/>
      <c r="J142" s="63"/>
      <c r="K142" s="266"/>
      <c r="L142" s="266"/>
      <c r="M142" s="266"/>
      <c r="N142" s="266"/>
      <c r="O142" s="266"/>
      <c r="P142" s="266"/>
      <c r="Q142" s="266"/>
      <c r="R142" s="12"/>
      <c r="T142" s="266"/>
    </row>
    <row r="143" spans="1:20">
      <c r="A143" s="266"/>
      <c r="B143" s="63"/>
      <c r="C143" s="266"/>
      <c r="D143" s="266"/>
      <c r="E143" s="266"/>
      <c r="F143" s="63"/>
      <c r="G143" s="63"/>
      <c r="H143" s="63"/>
      <c r="I143" s="63"/>
      <c r="J143" s="63"/>
      <c r="K143" s="266"/>
      <c r="L143" s="266"/>
      <c r="M143" s="266"/>
      <c r="N143" s="266"/>
      <c r="O143" s="266"/>
      <c r="P143" s="266"/>
      <c r="Q143" s="266"/>
      <c r="R143" s="12"/>
      <c r="T143" s="266"/>
    </row>
    <row r="144" spans="1:20">
      <c r="A144" s="266"/>
      <c r="B144" s="63"/>
      <c r="C144" s="266"/>
      <c r="D144" s="266"/>
      <c r="E144" s="266"/>
      <c r="F144" s="63"/>
      <c r="G144" s="63"/>
      <c r="H144" s="63"/>
      <c r="I144" s="63"/>
      <c r="J144" s="63"/>
      <c r="K144" s="266"/>
      <c r="L144" s="266"/>
      <c r="M144" s="266"/>
      <c r="N144" s="266"/>
      <c r="O144" s="266"/>
      <c r="P144" s="266"/>
      <c r="Q144" s="266"/>
      <c r="R144" s="12"/>
      <c r="T144" s="266"/>
    </row>
    <row r="145" spans="1:20">
      <c r="A145" s="266"/>
      <c r="B145" s="63"/>
      <c r="C145" s="266"/>
      <c r="D145" s="266"/>
      <c r="E145" s="266"/>
      <c r="F145" s="63"/>
      <c r="G145" s="63"/>
      <c r="H145" s="63"/>
      <c r="I145" s="63"/>
      <c r="J145" s="63"/>
      <c r="K145" s="266"/>
      <c r="L145" s="266"/>
      <c r="M145" s="266"/>
      <c r="N145" s="266"/>
      <c r="O145" s="266"/>
      <c r="P145" s="266"/>
      <c r="Q145" s="266"/>
      <c r="R145" s="12"/>
      <c r="T145" s="266"/>
    </row>
    <row r="146" spans="1:20">
      <c r="A146" s="266"/>
      <c r="B146" s="63"/>
      <c r="C146" s="266"/>
      <c r="D146" s="266"/>
      <c r="E146" s="266"/>
      <c r="F146" s="63"/>
      <c r="G146" s="63"/>
      <c r="H146" s="63"/>
      <c r="I146" s="63"/>
      <c r="J146" s="63"/>
      <c r="K146" s="266"/>
      <c r="L146" s="266"/>
      <c r="M146" s="266"/>
      <c r="N146" s="266"/>
      <c r="O146" s="266"/>
      <c r="P146" s="266"/>
      <c r="Q146" s="266"/>
      <c r="R146" s="12"/>
      <c r="T146" s="266"/>
    </row>
    <row r="147" spans="1:20">
      <c r="A147" s="266"/>
      <c r="B147" s="63"/>
      <c r="C147" s="266"/>
      <c r="D147" s="266"/>
      <c r="E147" s="266"/>
      <c r="F147" s="63"/>
      <c r="G147" s="63"/>
      <c r="H147" s="63"/>
      <c r="I147" s="63"/>
      <c r="J147" s="63"/>
      <c r="K147" s="266"/>
      <c r="L147" s="266"/>
      <c r="M147" s="266"/>
      <c r="N147" s="266"/>
      <c r="O147" s="266"/>
      <c r="P147" s="266"/>
      <c r="Q147" s="266"/>
      <c r="R147" s="12"/>
      <c r="T147" s="266"/>
    </row>
    <row r="148" spans="1:20">
      <c r="A148" s="266"/>
      <c r="B148" s="63"/>
      <c r="C148" s="266"/>
      <c r="D148" s="266"/>
      <c r="E148" s="266"/>
      <c r="F148" s="63"/>
      <c r="G148" s="63"/>
      <c r="H148" s="63"/>
      <c r="I148" s="63"/>
      <c r="J148" s="63"/>
      <c r="K148" s="266"/>
      <c r="L148" s="266"/>
      <c r="M148" s="266"/>
      <c r="N148" s="266"/>
      <c r="O148" s="266"/>
      <c r="P148" s="266"/>
      <c r="Q148" s="266"/>
      <c r="R148" s="12"/>
      <c r="T148" s="266"/>
    </row>
    <row r="149" spans="1:20">
      <c r="A149" s="266"/>
      <c r="B149" s="63"/>
      <c r="C149" s="266"/>
      <c r="D149" s="266"/>
      <c r="E149" s="266"/>
      <c r="F149" s="63"/>
      <c r="G149" s="63"/>
      <c r="H149" s="63"/>
      <c r="I149" s="63"/>
      <c r="J149" s="63"/>
      <c r="K149" s="266"/>
      <c r="L149" s="266"/>
      <c r="M149" s="266"/>
      <c r="N149" s="266"/>
      <c r="O149" s="266"/>
      <c r="P149" s="266"/>
      <c r="Q149" s="266"/>
      <c r="R149" s="12"/>
      <c r="T149" s="266"/>
    </row>
    <row r="150" spans="1:20">
      <c r="A150" s="266"/>
      <c r="B150" s="63"/>
      <c r="C150" s="266"/>
      <c r="D150" s="266"/>
      <c r="E150" s="266"/>
      <c r="F150" s="63"/>
      <c r="G150" s="63"/>
      <c r="H150" s="63"/>
      <c r="I150" s="63"/>
      <c r="J150" s="63"/>
      <c r="K150" s="266"/>
      <c r="L150" s="266"/>
      <c r="M150" s="266"/>
      <c r="N150" s="266"/>
      <c r="O150" s="266"/>
      <c r="P150" s="266"/>
      <c r="Q150" s="266"/>
      <c r="R150" s="12"/>
      <c r="T150" s="266"/>
    </row>
    <row r="151" spans="1:20">
      <c r="A151" s="266"/>
      <c r="B151" s="63"/>
      <c r="C151" s="266"/>
      <c r="D151" s="266"/>
      <c r="E151" s="266"/>
      <c r="F151" s="63"/>
      <c r="G151" s="63"/>
      <c r="H151" s="63"/>
      <c r="I151" s="63"/>
      <c r="J151" s="63"/>
      <c r="K151" s="266"/>
      <c r="L151" s="266"/>
      <c r="M151" s="266"/>
      <c r="N151" s="266"/>
      <c r="O151" s="266"/>
      <c r="P151" s="266"/>
      <c r="Q151" s="266"/>
      <c r="R151" s="12"/>
      <c r="T151" s="266"/>
    </row>
    <row r="152" spans="1:20">
      <c r="A152" s="266"/>
      <c r="B152" s="63"/>
      <c r="C152" s="266"/>
      <c r="D152" s="266"/>
      <c r="E152" s="266"/>
      <c r="F152" s="63"/>
      <c r="G152" s="63"/>
      <c r="H152" s="63"/>
      <c r="I152" s="63"/>
      <c r="J152" s="63"/>
      <c r="K152" s="266"/>
      <c r="L152" s="266"/>
      <c r="M152" s="266"/>
      <c r="N152" s="266"/>
      <c r="O152" s="266"/>
      <c r="P152" s="266"/>
      <c r="Q152" s="266"/>
      <c r="R152" s="12"/>
      <c r="T152" s="266"/>
    </row>
    <row r="153" spans="1:20">
      <c r="A153" s="266"/>
      <c r="B153" s="63"/>
      <c r="C153" s="266"/>
      <c r="D153" s="266"/>
      <c r="E153" s="266"/>
      <c r="F153" s="63"/>
      <c r="G153" s="63"/>
      <c r="H153" s="63"/>
      <c r="I153" s="63"/>
      <c r="J153" s="63"/>
      <c r="K153" s="266"/>
      <c r="L153" s="266"/>
      <c r="M153" s="266"/>
      <c r="N153" s="266"/>
      <c r="O153" s="266"/>
      <c r="P153" s="266"/>
      <c r="Q153" s="266"/>
      <c r="R153" s="12"/>
      <c r="T153" s="266"/>
    </row>
    <row r="154" spans="1:20">
      <c r="A154" s="266"/>
      <c r="B154" s="63"/>
      <c r="C154" s="266"/>
      <c r="D154" s="266"/>
      <c r="E154" s="266"/>
      <c r="F154" s="63"/>
      <c r="G154" s="63"/>
      <c r="H154" s="63"/>
      <c r="I154" s="63"/>
      <c r="J154" s="63"/>
      <c r="K154" s="266"/>
      <c r="L154" s="266"/>
      <c r="M154" s="266"/>
      <c r="N154" s="266"/>
      <c r="O154" s="266"/>
      <c r="P154" s="266"/>
      <c r="Q154" s="266"/>
      <c r="R154" s="12"/>
      <c r="T154" s="266"/>
    </row>
    <row r="155" spans="1:20">
      <c r="A155" s="266"/>
      <c r="B155" s="63"/>
      <c r="C155" s="266"/>
      <c r="D155" s="266"/>
      <c r="E155" s="266"/>
      <c r="F155" s="63"/>
      <c r="G155" s="63"/>
      <c r="H155" s="63"/>
      <c r="I155" s="63"/>
      <c r="J155" s="63"/>
      <c r="K155" s="266"/>
      <c r="L155" s="266"/>
      <c r="M155" s="266"/>
      <c r="N155" s="266"/>
      <c r="O155" s="266"/>
      <c r="P155" s="266"/>
      <c r="Q155" s="266"/>
      <c r="R155" s="12"/>
      <c r="T155" s="266"/>
    </row>
    <row r="156" spans="1:20">
      <c r="A156" s="266"/>
      <c r="B156" s="63"/>
      <c r="C156" s="266"/>
      <c r="D156" s="266"/>
      <c r="E156" s="266"/>
      <c r="F156" s="63"/>
      <c r="G156" s="63"/>
      <c r="H156" s="63"/>
      <c r="I156" s="63"/>
      <c r="J156" s="63"/>
      <c r="K156" s="266"/>
      <c r="L156" s="266"/>
      <c r="M156" s="266"/>
      <c r="N156" s="266"/>
      <c r="O156" s="266"/>
      <c r="P156" s="266"/>
      <c r="Q156" s="266"/>
      <c r="R156" s="12"/>
      <c r="T156" s="266"/>
    </row>
    <row r="157" spans="1:20">
      <c r="A157" s="266"/>
      <c r="B157" s="63"/>
      <c r="C157" s="266"/>
      <c r="D157" s="266"/>
      <c r="E157" s="266"/>
      <c r="F157" s="63"/>
      <c r="G157" s="63"/>
      <c r="H157" s="63"/>
      <c r="I157" s="63"/>
      <c r="J157" s="63"/>
      <c r="K157" s="266"/>
      <c r="L157" s="266"/>
      <c r="M157" s="266"/>
      <c r="N157" s="266"/>
      <c r="O157" s="266"/>
      <c r="P157" s="266"/>
      <c r="Q157" s="266"/>
      <c r="R157" s="12"/>
      <c r="T157" s="266"/>
    </row>
    <row r="158" spans="1:20">
      <c r="A158" s="266"/>
      <c r="B158" s="63"/>
      <c r="C158" s="266"/>
      <c r="D158" s="266"/>
      <c r="E158" s="266"/>
      <c r="F158" s="63"/>
      <c r="G158" s="63"/>
      <c r="H158" s="63"/>
      <c r="I158" s="63"/>
      <c r="J158" s="63"/>
      <c r="K158" s="266"/>
      <c r="L158" s="266"/>
      <c r="M158" s="266"/>
      <c r="N158" s="266"/>
      <c r="O158" s="266"/>
      <c r="P158" s="266"/>
      <c r="Q158" s="266"/>
      <c r="R158" s="12"/>
      <c r="T158" s="266"/>
    </row>
    <row r="159" spans="1:20">
      <c r="A159" s="266"/>
      <c r="B159" s="63"/>
      <c r="C159" s="266"/>
      <c r="D159" s="266"/>
      <c r="E159" s="266"/>
      <c r="F159" s="63"/>
      <c r="G159" s="63"/>
      <c r="H159" s="63"/>
      <c r="I159" s="63"/>
      <c r="J159" s="63"/>
      <c r="K159" s="266"/>
      <c r="L159" s="266"/>
      <c r="M159" s="266"/>
      <c r="N159" s="266"/>
      <c r="O159" s="266"/>
      <c r="P159" s="266"/>
      <c r="Q159" s="266"/>
      <c r="R159" s="12"/>
      <c r="T159" s="266"/>
    </row>
    <row r="160" spans="1:20">
      <c r="A160" s="266"/>
      <c r="B160" s="63"/>
      <c r="C160" s="266"/>
      <c r="D160" s="266"/>
      <c r="E160" s="266"/>
      <c r="F160" s="63"/>
      <c r="G160" s="63"/>
      <c r="H160" s="63"/>
      <c r="I160" s="63"/>
      <c r="J160" s="63"/>
      <c r="K160" s="266"/>
      <c r="L160" s="266"/>
      <c r="M160" s="266"/>
      <c r="N160" s="266"/>
      <c r="O160" s="266"/>
      <c r="P160" s="266"/>
      <c r="Q160" s="266"/>
      <c r="R160" s="12"/>
      <c r="T160" s="266"/>
    </row>
    <row r="161" spans="1:20">
      <c r="A161" s="266"/>
      <c r="B161" s="63"/>
      <c r="C161" s="266"/>
      <c r="D161" s="266"/>
      <c r="E161" s="266"/>
      <c r="F161" s="63"/>
      <c r="G161" s="63"/>
      <c r="H161" s="63"/>
      <c r="I161" s="63"/>
      <c r="J161" s="63"/>
      <c r="K161" s="266"/>
      <c r="L161" s="266"/>
      <c r="M161" s="266"/>
      <c r="N161" s="266"/>
      <c r="O161" s="266"/>
      <c r="P161" s="266"/>
      <c r="Q161" s="266"/>
      <c r="R161" s="12"/>
      <c r="T161" s="266"/>
    </row>
    <row r="162" spans="1:20">
      <c r="A162" s="266"/>
      <c r="B162" s="63"/>
      <c r="C162" s="266"/>
      <c r="D162" s="266"/>
      <c r="E162" s="266"/>
      <c r="F162" s="63"/>
      <c r="G162" s="63"/>
      <c r="H162" s="63"/>
      <c r="I162" s="63"/>
      <c r="J162" s="63"/>
      <c r="K162" s="266"/>
      <c r="L162" s="266"/>
      <c r="M162" s="266"/>
      <c r="N162" s="266"/>
      <c r="O162" s="266"/>
      <c r="P162" s="266"/>
      <c r="Q162" s="266"/>
      <c r="R162" s="12"/>
      <c r="T162" s="266"/>
    </row>
    <row r="163" spans="1:20">
      <c r="A163" s="266"/>
      <c r="B163" s="63"/>
      <c r="C163" s="266"/>
      <c r="D163" s="266"/>
      <c r="E163" s="266"/>
      <c r="F163" s="63"/>
      <c r="G163" s="63"/>
      <c r="H163" s="63"/>
      <c r="I163" s="63"/>
      <c r="J163" s="63"/>
      <c r="K163" s="266"/>
      <c r="L163" s="266"/>
      <c r="M163" s="266"/>
      <c r="N163" s="266"/>
      <c r="O163" s="266"/>
      <c r="P163" s="266"/>
      <c r="Q163" s="266"/>
      <c r="R163" s="12"/>
      <c r="T163" s="266"/>
    </row>
    <row r="164" spans="1:20">
      <c r="A164" s="266"/>
      <c r="B164" s="63"/>
      <c r="C164" s="266"/>
      <c r="D164" s="266"/>
      <c r="E164" s="266"/>
      <c r="F164" s="63"/>
      <c r="G164" s="63"/>
      <c r="H164" s="63"/>
      <c r="I164" s="63"/>
      <c r="J164" s="63"/>
      <c r="K164" s="266"/>
      <c r="L164" s="266"/>
      <c r="M164" s="266"/>
      <c r="N164" s="266"/>
      <c r="O164" s="266"/>
      <c r="P164" s="266"/>
      <c r="Q164" s="266"/>
      <c r="R164" s="12"/>
      <c r="T164" s="266"/>
    </row>
    <row r="165" spans="1:20">
      <c r="A165" s="266"/>
      <c r="B165" s="63"/>
      <c r="C165" s="266"/>
      <c r="D165" s="266"/>
      <c r="E165" s="266"/>
      <c r="F165" s="63"/>
      <c r="G165" s="63"/>
      <c r="H165" s="63"/>
      <c r="I165" s="63"/>
      <c r="J165" s="63"/>
      <c r="K165" s="266"/>
      <c r="L165" s="266"/>
      <c r="M165" s="266"/>
      <c r="N165" s="266"/>
      <c r="O165" s="266"/>
      <c r="P165" s="266"/>
      <c r="Q165" s="266"/>
      <c r="R165" s="12"/>
      <c r="T165" s="266"/>
    </row>
    <row r="166" spans="1:20">
      <c r="A166" s="266"/>
      <c r="B166" s="63"/>
      <c r="C166" s="266"/>
      <c r="D166" s="266"/>
      <c r="E166" s="266"/>
      <c r="F166" s="63"/>
      <c r="G166" s="63"/>
      <c r="H166" s="63"/>
      <c r="I166" s="63"/>
      <c r="J166" s="63"/>
      <c r="K166" s="266"/>
      <c r="L166" s="266"/>
      <c r="M166" s="266"/>
      <c r="N166" s="266"/>
      <c r="O166" s="266"/>
      <c r="P166" s="266"/>
      <c r="Q166" s="266"/>
      <c r="R166" s="12"/>
      <c r="T166" s="266"/>
    </row>
    <row r="167" spans="1:20">
      <c r="A167" s="266"/>
      <c r="B167" s="63"/>
      <c r="C167" s="266"/>
      <c r="D167" s="266"/>
      <c r="E167" s="266"/>
      <c r="F167" s="63"/>
      <c r="G167" s="63"/>
      <c r="H167" s="63"/>
      <c r="I167" s="63"/>
      <c r="J167" s="63"/>
      <c r="K167" s="266"/>
      <c r="L167" s="266"/>
      <c r="M167" s="266"/>
      <c r="N167" s="266"/>
      <c r="O167" s="266"/>
      <c r="P167" s="266"/>
      <c r="Q167" s="266"/>
      <c r="R167" s="12"/>
      <c r="T167" s="266"/>
    </row>
    <row r="168" spans="1:20">
      <c r="A168" s="266"/>
      <c r="B168" s="63"/>
      <c r="C168" s="266"/>
      <c r="D168" s="266"/>
      <c r="E168" s="266"/>
      <c r="F168" s="63"/>
      <c r="G168" s="63"/>
      <c r="H168" s="63"/>
      <c r="I168" s="63"/>
      <c r="J168" s="63"/>
      <c r="K168" s="266"/>
      <c r="L168" s="266"/>
      <c r="M168" s="266"/>
      <c r="N168" s="266"/>
      <c r="O168" s="266"/>
      <c r="P168" s="266"/>
      <c r="Q168" s="266"/>
      <c r="R168" s="12"/>
      <c r="T168" s="266"/>
    </row>
    <row r="169" spans="1:20">
      <c r="A169" s="266"/>
      <c r="B169" s="63"/>
      <c r="C169" s="266"/>
      <c r="D169" s="266"/>
      <c r="E169" s="266"/>
      <c r="F169" s="63"/>
      <c r="G169" s="63"/>
      <c r="H169" s="63"/>
      <c r="I169" s="63"/>
      <c r="J169" s="63"/>
      <c r="K169" s="266"/>
      <c r="L169" s="266"/>
      <c r="M169" s="266"/>
      <c r="N169" s="266"/>
      <c r="O169" s="266"/>
      <c r="P169" s="266"/>
      <c r="Q169" s="266"/>
      <c r="R169" s="12"/>
      <c r="T169" s="266"/>
    </row>
    <row r="170" spans="1:20">
      <c r="A170" s="266"/>
      <c r="B170" s="63"/>
      <c r="C170" s="266"/>
      <c r="D170" s="266"/>
      <c r="E170" s="266"/>
      <c r="F170" s="63"/>
      <c r="G170" s="63"/>
      <c r="H170" s="63"/>
      <c r="I170" s="63"/>
      <c r="J170" s="63"/>
      <c r="K170" s="266"/>
      <c r="L170" s="266"/>
      <c r="M170" s="266"/>
      <c r="N170" s="266"/>
      <c r="O170" s="266"/>
      <c r="P170" s="266"/>
      <c r="Q170" s="266"/>
      <c r="R170" s="12"/>
      <c r="T170" s="266"/>
    </row>
    <row r="171" spans="1:20">
      <c r="A171" s="266"/>
      <c r="B171" s="63"/>
      <c r="C171" s="266"/>
      <c r="D171" s="266"/>
      <c r="E171" s="266"/>
      <c r="F171" s="63"/>
      <c r="G171" s="63"/>
      <c r="H171" s="63"/>
      <c r="I171" s="63"/>
      <c r="J171" s="63"/>
      <c r="K171" s="266"/>
      <c r="L171" s="266"/>
      <c r="M171" s="266"/>
      <c r="N171" s="266"/>
      <c r="O171" s="266"/>
      <c r="P171" s="266"/>
      <c r="Q171" s="266"/>
      <c r="R171" s="12"/>
      <c r="T171" s="266"/>
    </row>
    <row r="172" spans="1:20">
      <c r="A172" s="266"/>
      <c r="B172" s="63"/>
      <c r="C172" s="266"/>
      <c r="D172" s="266"/>
      <c r="E172" s="266"/>
      <c r="F172" s="63"/>
      <c r="G172" s="63"/>
      <c r="H172" s="63"/>
      <c r="I172" s="63"/>
      <c r="J172" s="63"/>
      <c r="K172" s="266"/>
      <c r="L172" s="266"/>
      <c r="M172" s="266"/>
      <c r="N172" s="266"/>
      <c r="O172" s="266"/>
      <c r="P172" s="266"/>
      <c r="Q172" s="266"/>
      <c r="R172" s="12"/>
      <c r="T172" s="266"/>
    </row>
    <row r="173" spans="1:20">
      <c r="A173" s="266"/>
      <c r="B173" s="63"/>
      <c r="C173" s="266"/>
      <c r="D173" s="266"/>
      <c r="E173" s="266"/>
      <c r="F173" s="63"/>
      <c r="G173" s="63"/>
      <c r="H173" s="63"/>
      <c r="I173" s="63"/>
      <c r="J173" s="63"/>
      <c r="K173" s="266"/>
      <c r="L173" s="266"/>
      <c r="M173" s="266"/>
      <c r="N173" s="266"/>
      <c r="O173" s="266"/>
      <c r="P173" s="266"/>
      <c r="Q173" s="266"/>
      <c r="R173" s="12"/>
      <c r="T173" s="266"/>
    </row>
    <row r="174" spans="1:20">
      <c r="A174" s="266"/>
      <c r="B174" s="63"/>
      <c r="C174" s="266"/>
      <c r="D174" s="266"/>
      <c r="E174" s="266"/>
      <c r="F174" s="63"/>
      <c r="G174" s="63"/>
      <c r="H174" s="63"/>
      <c r="I174" s="63"/>
      <c r="J174" s="63"/>
      <c r="K174" s="266"/>
      <c r="L174" s="266"/>
      <c r="M174" s="266"/>
      <c r="N174" s="266"/>
      <c r="O174" s="266"/>
      <c r="P174" s="266"/>
      <c r="Q174" s="266"/>
      <c r="R174" s="12"/>
      <c r="T174" s="266"/>
    </row>
    <row r="175" spans="1:20">
      <c r="A175" s="266"/>
      <c r="B175" s="63"/>
      <c r="C175" s="266"/>
      <c r="D175" s="266"/>
      <c r="E175" s="266"/>
      <c r="F175" s="63"/>
      <c r="G175" s="63"/>
      <c r="H175" s="63"/>
      <c r="I175" s="63"/>
      <c r="J175" s="63"/>
      <c r="K175" s="266"/>
      <c r="L175" s="266"/>
      <c r="M175" s="266"/>
      <c r="N175" s="266"/>
      <c r="O175" s="266"/>
      <c r="P175" s="266"/>
      <c r="Q175" s="266"/>
      <c r="R175" s="12"/>
      <c r="T175" s="266"/>
    </row>
    <row r="176" spans="1:20">
      <c r="A176" s="266"/>
      <c r="B176" s="63"/>
      <c r="C176" s="266"/>
      <c r="D176" s="266"/>
      <c r="E176" s="266"/>
      <c r="F176" s="63"/>
      <c r="G176" s="63"/>
      <c r="H176" s="63"/>
      <c r="I176" s="63"/>
      <c r="J176" s="63"/>
      <c r="K176" s="266"/>
      <c r="L176" s="266"/>
      <c r="M176" s="266"/>
      <c r="N176" s="266"/>
      <c r="O176" s="266"/>
      <c r="P176" s="266"/>
      <c r="Q176" s="266"/>
      <c r="R176" s="12"/>
      <c r="T176" s="266"/>
    </row>
    <row r="177" spans="1:20">
      <c r="A177" s="266"/>
      <c r="B177" s="63"/>
      <c r="C177" s="266"/>
      <c r="D177" s="266"/>
      <c r="E177" s="266"/>
      <c r="F177" s="63"/>
      <c r="G177" s="63"/>
      <c r="H177" s="63"/>
      <c r="I177" s="63"/>
      <c r="J177" s="63"/>
      <c r="K177" s="266"/>
      <c r="L177" s="266"/>
      <c r="M177" s="266"/>
      <c r="N177" s="266"/>
      <c r="O177" s="266"/>
      <c r="P177" s="266"/>
      <c r="Q177" s="266"/>
      <c r="R177" s="12"/>
      <c r="T177" s="266"/>
    </row>
    <row r="178" spans="1:20">
      <c r="A178" s="266"/>
      <c r="B178" s="63"/>
      <c r="C178" s="266"/>
      <c r="D178" s="266"/>
      <c r="E178" s="266"/>
      <c r="F178" s="63"/>
      <c r="G178" s="63"/>
      <c r="H178" s="63"/>
      <c r="I178" s="63"/>
      <c r="J178" s="63"/>
      <c r="K178" s="266"/>
      <c r="L178" s="266"/>
      <c r="M178" s="266"/>
      <c r="N178" s="266"/>
      <c r="O178" s="266"/>
      <c r="P178" s="266"/>
      <c r="Q178" s="266"/>
      <c r="R178" s="12"/>
      <c r="T178" s="266"/>
    </row>
    <row r="179" spans="1:20">
      <c r="A179" s="266"/>
      <c r="B179" s="63"/>
      <c r="C179" s="266"/>
      <c r="D179" s="266"/>
      <c r="E179" s="266"/>
      <c r="F179" s="63"/>
      <c r="G179" s="63"/>
      <c r="H179" s="63"/>
      <c r="I179" s="63"/>
      <c r="J179" s="63"/>
      <c r="K179" s="266"/>
      <c r="L179" s="266"/>
      <c r="M179" s="266"/>
      <c r="N179" s="266"/>
      <c r="O179" s="266"/>
      <c r="P179" s="266"/>
      <c r="Q179" s="266"/>
      <c r="R179" s="12"/>
      <c r="T179" s="266"/>
    </row>
  </sheetData>
  <dataConsolidate/>
  <mergeCells count="30">
    <mergeCell ref="C1:K1"/>
    <mergeCell ref="M1:Q1"/>
    <mergeCell ref="R1:T1"/>
    <mergeCell ref="V1:X1"/>
    <mergeCell ref="A9:A13"/>
    <mergeCell ref="A15:A20"/>
    <mergeCell ref="S15:T20"/>
    <mergeCell ref="A21:A24"/>
    <mergeCell ref="A4:A5"/>
    <mergeCell ref="S4:T4"/>
    <mergeCell ref="A6:A8"/>
    <mergeCell ref="Z43:AE43"/>
    <mergeCell ref="S25:T25"/>
    <mergeCell ref="A26:A27"/>
    <mergeCell ref="A28:A32"/>
    <mergeCell ref="V31:X31"/>
    <mergeCell ref="A33:A35"/>
    <mergeCell ref="A45:A48"/>
    <mergeCell ref="V46:X46"/>
    <mergeCell ref="A49:A50"/>
    <mergeCell ref="A36:A37"/>
    <mergeCell ref="A39:A40"/>
    <mergeCell ref="A41:A43"/>
    <mergeCell ref="AH74:AM74"/>
    <mergeCell ref="Z81:AE81"/>
    <mergeCell ref="A51:A52"/>
    <mergeCell ref="A53:A54"/>
    <mergeCell ref="A55:A56"/>
    <mergeCell ref="AH57:AM57"/>
    <mergeCell ref="Z61:AE61"/>
  </mergeCells>
  <conditionalFormatting sqref="Q3:Q56">
    <cfRule type="cellIs" dxfId="106" priority="9" operator="lessThan">
      <formula>0</formula>
    </cfRule>
  </conditionalFormatting>
  <conditionalFormatting sqref="AA45:AF56">
    <cfRule type="cellIs" dxfId="105" priority="8" operator="greaterThan">
      <formula>0</formula>
    </cfRule>
  </conditionalFormatting>
  <conditionalFormatting sqref="AA63:AF74">
    <cfRule type="cellIs" dxfId="104" priority="7" operator="greaterThan">
      <formula>0</formula>
    </cfRule>
  </conditionalFormatting>
  <conditionalFormatting sqref="AI59:AN60">
    <cfRule type="cellIs" dxfId="103" priority="6" operator="greaterThan">
      <formula>0</formula>
    </cfRule>
  </conditionalFormatting>
  <conditionalFormatting sqref="AJ91:AN91">
    <cfRule type="cellIs" dxfId="102" priority="5" operator="greaterThan">
      <formula>0</formula>
    </cfRule>
  </conditionalFormatting>
  <conditionalFormatting sqref="AI76:AN87">
    <cfRule type="cellIs" dxfId="101" priority="4" operator="greaterThan">
      <formula>0</formula>
    </cfRule>
  </conditionalFormatting>
  <conditionalFormatting sqref="AF83:AF94">
    <cfRule type="cellIs" dxfId="100" priority="3" operator="greaterThan">
      <formula>0</formula>
    </cfRule>
  </conditionalFormatting>
  <conditionalFormatting sqref="AB83:AE94">
    <cfRule type="cellIs" dxfId="99" priority="2" operator="greaterThan">
      <formula>0</formula>
    </cfRule>
  </conditionalFormatting>
  <conditionalFormatting sqref="AA83:AA94">
    <cfRule type="cellIs" dxfId="98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9"/>
  <sheetViews>
    <sheetView topLeftCell="AA17" zoomScale="110" zoomScaleNormal="110" workbookViewId="0">
      <selection activeCell="AD40" sqref="AD40:AJ56"/>
    </sheetView>
  </sheetViews>
  <sheetFormatPr defaultColWidth="9" defaultRowHeight="12.75"/>
  <cols>
    <col min="1" max="1" width="13.42578125" style="5" customWidth="1"/>
    <col min="2" max="2" width="22.7109375" style="62" customWidth="1"/>
    <col min="3" max="3" width="26.7109375" style="58" customWidth="1"/>
    <col min="4" max="4" width="16.85546875" style="58" customWidth="1"/>
    <col min="5" max="5" width="20.140625" style="58" customWidth="1"/>
    <col min="6" max="6" width="20.7109375" style="60" customWidth="1"/>
    <col min="7" max="7" width="18.42578125" style="60" customWidth="1"/>
    <col min="8" max="8" width="28.42578125" style="60" customWidth="1"/>
    <col min="9" max="9" width="21.5703125" style="58" customWidth="1"/>
    <col min="10" max="10" width="16.7109375" style="61" customWidth="1"/>
    <col min="11" max="11" width="16.140625" style="58" customWidth="1"/>
    <col min="12" max="12" width="18" style="58" customWidth="1"/>
    <col min="13" max="13" width="28.85546875" style="58" customWidth="1"/>
    <col min="14" max="17" width="17.7109375" style="58" customWidth="1"/>
    <col min="18" max="19" width="20" style="58" customWidth="1"/>
    <col min="20" max="20" width="23.28515625" style="58" customWidth="1"/>
    <col min="21" max="21" width="17.5703125" style="61" customWidth="1"/>
    <col min="22" max="22" width="26.5703125" style="10" customWidth="1"/>
    <col min="23" max="23" width="35.140625" style="58" customWidth="1"/>
    <col min="24" max="24" width="23" style="57" customWidth="1"/>
    <col min="25" max="25" width="22.85546875" style="5" customWidth="1"/>
    <col min="26" max="26" width="23.7109375" style="5" customWidth="1"/>
    <col min="27" max="27" width="21.5703125" style="5" customWidth="1"/>
    <col min="28" max="16384" width="9" style="5"/>
  </cols>
  <sheetData>
    <row r="1" spans="1:23" ht="14.25" customHeight="1">
      <c r="A1" s="184"/>
      <c r="B1" s="185"/>
      <c r="C1" s="572" t="s">
        <v>450</v>
      </c>
      <c r="D1" s="573"/>
      <c r="E1" s="573"/>
      <c r="F1" s="573"/>
      <c r="G1" s="573"/>
      <c r="H1" s="573"/>
      <c r="I1" s="573"/>
      <c r="J1" s="573"/>
      <c r="K1" s="574"/>
      <c r="L1" s="293"/>
      <c r="M1" s="570" t="s">
        <v>449</v>
      </c>
      <c r="N1" s="571"/>
      <c r="O1" s="571"/>
      <c r="P1" s="571"/>
      <c r="Q1" s="571"/>
      <c r="R1" s="571"/>
      <c r="S1" s="571"/>
      <c r="T1" s="571"/>
      <c r="U1" s="623"/>
      <c r="V1" s="7"/>
      <c r="W1" s="7"/>
    </row>
    <row r="2" spans="1:23" ht="13.5" thickBot="1">
      <c r="A2" s="184" t="s">
        <v>448</v>
      </c>
      <c r="B2" s="183" t="s">
        <v>447</v>
      </c>
      <c r="C2" s="182" t="s">
        <v>446</v>
      </c>
      <c r="D2" s="181" t="s">
        <v>34</v>
      </c>
      <c r="E2" s="181" t="s">
        <v>463</v>
      </c>
      <c r="F2" s="181" t="s">
        <v>445</v>
      </c>
      <c r="G2" s="181" t="s">
        <v>456</v>
      </c>
      <c r="H2" s="181" t="s">
        <v>457</v>
      </c>
      <c r="I2" s="181" t="s">
        <v>464</v>
      </c>
      <c r="J2" s="181" t="s">
        <v>33</v>
      </c>
      <c r="K2" s="180" t="s">
        <v>442</v>
      </c>
      <c r="L2" s="231" t="s">
        <v>455</v>
      </c>
      <c r="M2" s="179" t="s">
        <v>444</v>
      </c>
      <c r="N2" s="179" t="s">
        <v>34</v>
      </c>
      <c r="O2" s="179" t="s">
        <v>41</v>
      </c>
      <c r="P2" s="178" t="s">
        <v>443</v>
      </c>
      <c r="Q2" s="177" t="s">
        <v>456</v>
      </c>
      <c r="R2" s="250" t="s">
        <v>458</v>
      </c>
      <c r="S2" s="177" t="s">
        <v>33</v>
      </c>
      <c r="T2" s="179" t="s">
        <v>442</v>
      </c>
      <c r="U2" s="222" t="s">
        <v>454</v>
      </c>
      <c r="V2" s="221" t="s">
        <v>438</v>
      </c>
      <c r="W2" s="16" t="s">
        <v>453</v>
      </c>
    </row>
    <row r="3" spans="1:23" ht="13.5" thickBot="1">
      <c r="A3" s="151" t="s">
        <v>436</v>
      </c>
      <c r="B3" s="172" t="s">
        <v>435</v>
      </c>
      <c r="C3" s="171" t="s">
        <v>434</v>
      </c>
      <c r="D3" s="170">
        <v>386.9</v>
      </c>
      <c r="E3" s="82">
        <f>IF(D3&lt;135,300, IF(AND(D3&gt;135,D3&lt;288),250, IF(AND(D3&gt;288,D3&lt;537),200,IF(AND(D3&gt;537,D3&lt;1096),150,100))))</f>
        <v>200</v>
      </c>
      <c r="F3" s="170">
        <v>131.95400000000001</v>
      </c>
      <c r="G3" s="82">
        <v>2.5</v>
      </c>
      <c r="H3" s="82">
        <f>G3*F3</f>
        <v>329.88499999999999</v>
      </c>
      <c r="I3" s="81">
        <f>CEILING(H3/(0.84*E3),1)</f>
        <v>2</v>
      </c>
      <c r="J3" s="269">
        <f t="shared" ref="J3:J13" si="0">E3*I3</f>
        <v>400</v>
      </c>
      <c r="K3" s="81">
        <f t="shared" ref="K3:K34" si="1">J3-H3</f>
        <v>70.115000000000009</v>
      </c>
      <c r="L3" s="82">
        <f>H3/J3 * 100</f>
        <v>82.471249999999998</v>
      </c>
      <c r="M3" s="168" t="s">
        <v>433</v>
      </c>
      <c r="N3" s="168">
        <v>598.85</v>
      </c>
      <c r="O3" s="168">
        <f>IF(N3&lt;135,300, IF(AND(N3&gt;135,N3&lt;288),250, IF(AND(N3&gt;288,N3&lt;537),200,IF(AND(N3&gt;537,N3&lt;1096),150,100))))</f>
        <v>150</v>
      </c>
      <c r="P3" s="168">
        <f>F3</f>
        <v>131.95400000000001</v>
      </c>
      <c r="Q3" s="79">
        <v>2.5</v>
      </c>
      <c r="R3" s="79">
        <f>P3*Q3</f>
        <v>329.88499999999999</v>
      </c>
      <c r="S3" s="168">
        <f t="shared" ref="S3:S13" si="2">O3*I3</f>
        <v>300</v>
      </c>
      <c r="T3" s="228">
        <f t="shared" ref="T3:T13" si="3">S3-R3</f>
        <v>-29.884999999999991</v>
      </c>
      <c r="U3" s="216" t="str">
        <f t="shared" ref="U3:U13" si="4">IF(T3&gt;=0,"No","Yes")</f>
        <v>Yes</v>
      </c>
      <c r="V3" s="400" t="s">
        <v>22</v>
      </c>
      <c r="W3" s="401">
        <v>6</v>
      </c>
    </row>
    <row r="4" spans="1:23" ht="13.5" thickBot="1">
      <c r="A4" s="575" t="s">
        <v>44</v>
      </c>
      <c r="B4" s="165" t="s">
        <v>3</v>
      </c>
      <c r="C4" s="164" t="s">
        <v>44</v>
      </c>
      <c r="D4" s="163">
        <v>424.31</v>
      </c>
      <c r="E4" s="243">
        <f t="shared" ref="E4:E56" si="5">IF(D4&lt;135,300, IF(AND(D4&gt;135,D4&lt;288),250, IF(AND(D4&gt;288,D4&lt;537),200,IF(AND(D4&gt;537,D4&lt;1096),150,100))))</f>
        <v>200</v>
      </c>
      <c r="F4" s="163">
        <v>79.758499999999998</v>
      </c>
      <c r="G4" s="82">
        <v>2.5</v>
      </c>
      <c r="H4" s="82">
        <f t="shared" ref="H4:H56" si="6">G4*F4</f>
        <v>199.39625000000001</v>
      </c>
      <c r="I4" s="81">
        <f t="shared" ref="I4:I56" si="7">CEILING(H4/(0.84*E4),1)</f>
        <v>2</v>
      </c>
      <c r="J4" s="270">
        <f t="shared" si="0"/>
        <v>400</v>
      </c>
      <c r="K4" s="81">
        <f t="shared" si="1"/>
        <v>200.60374999999999</v>
      </c>
      <c r="L4" s="82">
        <f t="shared" ref="L4:L56" si="8">H4/J4 * 100</f>
        <v>49.849062500000002</v>
      </c>
      <c r="M4" s="161" t="s">
        <v>432</v>
      </c>
      <c r="N4" s="162">
        <v>561.44000000000005</v>
      </c>
      <c r="O4" s="168">
        <f t="shared" ref="O4:O56" si="9">IF(N4&lt;135,300, IF(AND(N4&gt;135,N4&lt;288),250, IF(AND(N4&gt;288,N4&lt;537),200,IF(AND(N4&gt;537,N4&lt;1096),150,100))))</f>
        <v>150</v>
      </c>
      <c r="P4" s="168">
        <f t="shared" ref="P4:P13" si="10">F4</f>
        <v>79.758499999999998</v>
      </c>
      <c r="Q4" s="79">
        <v>2.5</v>
      </c>
      <c r="R4" s="251">
        <f t="shared" ref="R4:R56" si="11">P4*Q4</f>
        <v>199.39625000000001</v>
      </c>
      <c r="S4" s="168">
        <f t="shared" si="2"/>
        <v>300</v>
      </c>
      <c r="T4" s="228">
        <f t="shared" si="3"/>
        <v>100.60374999999999</v>
      </c>
      <c r="U4" s="216" t="str">
        <f t="shared" si="4"/>
        <v>No</v>
      </c>
      <c r="V4" s="11"/>
      <c r="W4" s="11"/>
    </row>
    <row r="5" spans="1:23" ht="14.25" customHeight="1" thickBot="1">
      <c r="A5" s="564"/>
      <c r="B5" s="62" t="s">
        <v>25</v>
      </c>
      <c r="C5" s="111" t="s">
        <v>65</v>
      </c>
      <c r="D5" s="92">
        <v>645.40499999999997</v>
      </c>
      <c r="E5" s="245">
        <f t="shared" si="5"/>
        <v>150</v>
      </c>
      <c r="F5" s="92">
        <v>101.52370000000001</v>
      </c>
      <c r="G5" s="82">
        <v>2.5</v>
      </c>
      <c r="H5" s="92">
        <f t="shared" si="6"/>
        <v>253.80925000000002</v>
      </c>
      <c r="I5" s="81">
        <f t="shared" si="7"/>
        <v>3</v>
      </c>
      <c r="J5" s="274">
        <f t="shared" si="0"/>
        <v>450</v>
      </c>
      <c r="K5" s="81">
        <f t="shared" si="1"/>
        <v>196.19074999999998</v>
      </c>
      <c r="L5" s="82">
        <f t="shared" si="8"/>
        <v>56.402055555555563</v>
      </c>
      <c r="M5" s="88" t="s">
        <v>427</v>
      </c>
      <c r="N5" s="90">
        <v>691.82</v>
      </c>
      <c r="O5" s="168">
        <f t="shared" si="9"/>
        <v>150</v>
      </c>
      <c r="P5" s="168">
        <f t="shared" si="10"/>
        <v>101.52370000000001</v>
      </c>
      <c r="Q5" s="79">
        <v>2.5</v>
      </c>
      <c r="R5" s="252">
        <f t="shared" si="11"/>
        <v>253.80925000000002</v>
      </c>
      <c r="S5" s="168">
        <f t="shared" si="2"/>
        <v>450</v>
      </c>
      <c r="T5" s="228">
        <f t="shared" si="3"/>
        <v>196.19074999999998</v>
      </c>
      <c r="U5" s="216" t="str">
        <f t="shared" si="4"/>
        <v>No</v>
      </c>
    </row>
    <row r="6" spans="1:23" ht="15" customHeight="1" thickBot="1">
      <c r="A6" s="562" t="s">
        <v>431</v>
      </c>
      <c r="B6" s="84" t="s">
        <v>430</v>
      </c>
      <c r="C6" s="83" t="s">
        <v>390</v>
      </c>
      <c r="D6" s="82">
        <v>774.56</v>
      </c>
      <c r="E6" s="243">
        <f t="shared" si="5"/>
        <v>150</v>
      </c>
      <c r="F6" s="82">
        <v>593.39</v>
      </c>
      <c r="G6" s="82">
        <v>2.5</v>
      </c>
      <c r="H6" s="82">
        <f t="shared" si="6"/>
        <v>1483.4749999999999</v>
      </c>
      <c r="I6" s="81">
        <f t="shared" si="7"/>
        <v>12</v>
      </c>
      <c r="J6" s="270">
        <f t="shared" si="0"/>
        <v>1800</v>
      </c>
      <c r="K6" s="81">
        <f t="shared" si="1"/>
        <v>316.52500000000009</v>
      </c>
      <c r="L6" s="82">
        <f t="shared" si="8"/>
        <v>82.415277777777774</v>
      </c>
      <c r="M6" s="98" t="s">
        <v>429</v>
      </c>
      <c r="N6" s="80">
        <v>778.62</v>
      </c>
      <c r="O6" s="168">
        <f t="shared" si="9"/>
        <v>150</v>
      </c>
      <c r="P6" s="168">
        <f t="shared" si="10"/>
        <v>593.39</v>
      </c>
      <c r="Q6" s="79">
        <v>2.5</v>
      </c>
      <c r="R6" s="251">
        <f t="shared" si="11"/>
        <v>1483.4749999999999</v>
      </c>
      <c r="S6" s="168">
        <f t="shared" si="2"/>
        <v>1800</v>
      </c>
      <c r="T6" s="228">
        <f t="shared" si="3"/>
        <v>316.52500000000009</v>
      </c>
      <c r="U6" s="216" t="str">
        <f t="shared" si="4"/>
        <v>No</v>
      </c>
      <c r="V6" s="614" t="s">
        <v>351</v>
      </c>
      <c r="W6" s="615"/>
    </row>
    <row r="7" spans="1:23" ht="14.25" customHeight="1" thickBot="1">
      <c r="A7" s="564"/>
      <c r="B7" s="94" t="s">
        <v>4</v>
      </c>
      <c r="C7" s="93" t="s">
        <v>45</v>
      </c>
      <c r="D7" s="105">
        <v>221.095</v>
      </c>
      <c r="E7" s="245">
        <f t="shared" si="5"/>
        <v>250</v>
      </c>
      <c r="F7" s="105">
        <v>165.54</v>
      </c>
      <c r="G7" s="82">
        <v>2.5</v>
      </c>
      <c r="H7" s="92">
        <f t="shared" si="6"/>
        <v>413.84999999999997</v>
      </c>
      <c r="I7" s="81">
        <f t="shared" si="7"/>
        <v>2</v>
      </c>
      <c r="J7" s="274">
        <f t="shared" si="0"/>
        <v>500</v>
      </c>
      <c r="K7" s="81">
        <f t="shared" si="1"/>
        <v>86.150000000000034</v>
      </c>
      <c r="L7" s="82">
        <f t="shared" si="8"/>
        <v>82.769999999999982</v>
      </c>
      <c r="M7" s="99" t="s">
        <v>428</v>
      </c>
      <c r="N7" s="104">
        <v>904.18</v>
      </c>
      <c r="O7" s="168">
        <f t="shared" si="9"/>
        <v>150</v>
      </c>
      <c r="P7" s="168">
        <f t="shared" si="10"/>
        <v>165.54</v>
      </c>
      <c r="Q7" s="79">
        <v>2.5</v>
      </c>
      <c r="R7" s="252">
        <f t="shared" si="11"/>
        <v>413.84999999999997</v>
      </c>
      <c r="S7" s="168">
        <f t="shared" si="2"/>
        <v>300</v>
      </c>
      <c r="T7" s="228">
        <f t="shared" si="3"/>
        <v>-113.84999999999997</v>
      </c>
      <c r="U7" s="216" t="str">
        <f t="shared" si="4"/>
        <v>Yes</v>
      </c>
      <c r="V7" s="616"/>
      <c r="W7" s="617"/>
    </row>
    <row r="8" spans="1:23" ht="14.25" customHeight="1" thickBot="1">
      <c r="A8" s="564"/>
      <c r="B8" s="94" t="s">
        <v>25</v>
      </c>
      <c r="C8" s="93" t="s">
        <v>65</v>
      </c>
      <c r="D8" s="92">
        <v>645.40499999999997</v>
      </c>
      <c r="E8" s="245">
        <f t="shared" si="5"/>
        <v>150</v>
      </c>
      <c r="F8" s="92">
        <v>101.52370000000001</v>
      </c>
      <c r="G8" s="82">
        <v>2.5</v>
      </c>
      <c r="H8" s="92">
        <f t="shared" si="6"/>
        <v>253.80925000000002</v>
      </c>
      <c r="I8" s="81">
        <f t="shared" si="7"/>
        <v>3</v>
      </c>
      <c r="J8" s="274">
        <f t="shared" si="0"/>
        <v>450</v>
      </c>
      <c r="K8" s="81">
        <f t="shared" si="1"/>
        <v>196.19074999999998</v>
      </c>
      <c r="L8" s="82">
        <f t="shared" si="8"/>
        <v>56.402055555555563</v>
      </c>
      <c r="M8" s="88" t="s">
        <v>427</v>
      </c>
      <c r="N8" s="90">
        <v>691.82</v>
      </c>
      <c r="O8" s="168">
        <f t="shared" si="9"/>
        <v>150</v>
      </c>
      <c r="P8" s="168">
        <f t="shared" si="10"/>
        <v>101.52370000000001</v>
      </c>
      <c r="Q8" s="79">
        <v>2.5</v>
      </c>
      <c r="R8" s="252">
        <f t="shared" si="11"/>
        <v>253.80925000000002</v>
      </c>
      <c r="S8" s="168">
        <f t="shared" si="2"/>
        <v>450</v>
      </c>
      <c r="T8" s="228">
        <f t="shared" si="3"/>
        <v>196.19074999999998</v>
      </c>
      <c r="U8" s="216" t="str">
        <f t="shared" si="4"/>
        <v>No</v>
      </c>
      <c r="V8" s="618"/>
      <c r="W8" s="619"/>
    </row>
    <row r="9" spans="1:23" ht="13.5" thickBot="1">
      <c r="A9" s="562" t="s">
        <v>46</v>
      </c>
      <c r="B9" s="84" t="s">
        <v>5</v>
      </c>
      <c r="C9" s="83" t="s">
        <v>46</v>
      </c>
      <c r="D9" s="82">
        <v>87.444999999999993</v>
      </c>
      <c r="E9" s="243">
        <f t="shared" si="5"/>
        <v>300</v>
      </c>
      <c r="F9" s="82">
        <v>330.03719999999998</v>
      </c>
      <c r="G9" s="82">
        <v>2.5</v>
      </c>
      <c r="H9" s="82">
        <f t="shared" si="6"/>
        <v>825.09299999999996</v>
      </c>
      <c r="I9" s="81">
        <f t="shared" si="7"/>
        <v>4</v>
      </c>
      <c r="J9" s="270">
        <f t="shared" si="0"/>
        <v>1200</v>
      </c>
      <c r="K9" s="81">
        <f t="shared" si="1"/>
        <v>374.90700000000004</v>
      </c>
      <c r="L9" s="82">
        <f t="shared" si="8"/>
        <v>68.757750000000001</v>
      </c>
      <c r="M9" s="98" t="s">
        <v>426</v>
      </c>
      <c r="N9" s="80">
        <v>243.73500000000001</v>
      </c>
      <c r="O9" s="168">
        <f t="shared" si="9"/>
        <v>250</v>
      </c>
      <c r="P9" s="168">
        <f t="shared" si="10"/>
        <v>330.03719999999998</v>
      </c>
      <c r="Q9" s="79">
        <v>2.5</v>
      </c>
      <c r="R9" s="251">
        <f t="shared" si="11"/>
        <v>825.09299999999996</v>
      </c>
      <c r="S9" s="168">
        <f t="shared" si="2"/>
        <v>1000</v>
      </c>
      <c r="T9" s="228">
        <f t="shared" si="3"/>
        <v>174.90700000000004</v>
      </c>
      <c r="U9" s="216" t="str">
        <f t="shared" si="4"/>
        <v>No</v>
      </c>
      <c r="V9" s="402"/>
      <c r="W9" s="403"/>
    </row>
    <row r="10" spans="1:23" ht="14.25" customHeight="1" thickBot="1">
      <c r="A10" s="564"/>
      <c r="B10" s="94" t="s">
        <v>7</v>
      </c>
      <c r="C10" s="93" t="s">
        <v>48</v>
      </c>
      <c r="D10" s="105">
        <v>457.755</v>
      </c>
      <c r="E10" s="245">
        <f t="shared" si="5"/>
        <v>200</v>
      </c>
      <c r="F10" s="105">
        <v>200.11</v>
      </c>
      <c r="G10" s="82">
        <v>2.5</v>
      </c>
      <c r="H10" s="92">
        <f t="shared" si="6"/>
        <v>500.27500000000003</v>
      </c>
      <c r="I10" s="81">
        <f t="shared" si="7"/>
        <v>3</v>
      </c>
      <c r="J10" s="274">
        <f t="shared" si="0"/>
        <v>600</v>
      </c>
      <c r="K10" s="81">
        <f t="shared" si="1"/>
        <v>99.724999999999966</v>
      </c>
      <c r="L10" s="82">
        <f t="shared" si="8"/>
        <v>83.379166666666677</v>
      </c>
      <c r="M10" s="99" t="s">
        <v>425</v>
      </c>
      <c r="N10" s="104">
        <v>614.06500000000005</v>
      </c>
      <c r="O10" s="168">
        <f t="shared" si="9"/>
        <v>150</v>
      </c>
      <c r="P10" s="168">
        <f t="shared" si="10"/>
        <v>200.11</v>
      </c>
      <c r="Q10" s="79">
        <v>2.5</v>
      </c>
      <c r="R10" s="252">
        <f t="shared" si="11"/>
        <v>500.27500000000003</v>
      </c>
      <c r="S10" s="168">
        <f t="shared" si="2"/>
        <v>450</v>
      </c>
      <c r="T10" s="228">
        <f t="shared" si="3"/>
        <v>-50.275000000000034</v>
      </c>
      <c r="U10" s="216" t="str">
        <f t="shared" si="4"/>
        <v>Yes</v>
      </c>
      <c r="V10" s="404" t="s">
        <v>22</v>
      </c>
      <c r="W10" s="405">
        <v>16</v>
      </c>
    </row>
    <row r="11" spans="1:23" ht="14.25" customHeight="1" thickBot="1">
      <c r="A11" s="564"/>
      <c r="B11" s="94" t="s">
        <v>8</v>
      </c>
      <c r="C11" s="93" t="s">
        <v>74</v>
      </c>
      <c r="D11" s="105">
        <v>632.29</v>
      </c>
      <c r="E11" s="245">
        <f t="shared" si="5"/>
        <v>150</v>
      </c>
      <c r="F11" s="105">
        <v>416.14780000000002</v>
      </c>
      <c r="G11" s="82">
        <v>2.5</v>
      </c>
      <c r="H11" s="92">
        <f t="shared" si="6"/>
        <v>1040.3695</v>
      </c>
      <c r="I11" s="81">
        <f t="shared" si="7"/>
        <v>9</v>
      </c>
      <c r="J11" s="274">
        <f t="shared" si="0"/>
        <v>1350</v>
      </c>
      <c r="K11" s="81">
        <f t="shared" si="1"/>
        <v>309.63049999999998</v>
      </c>
      <c r="L11" s="82">
        <f t="shared" si="8"/>
        <v>77.064407407407415</v>
      </c>
      <c r="M11" s="99" t="s">
        <v>424</v>
      </c>
      <c r="N11" s="104">
        <v>692.19500000000005</v>
      </c>
      <c r="O11" s="168">
        <f t="shared" si="9"/>
        <v>150</v>
      </c>
      <c r="P11" s="168">
        <f t="shared" si="10"/>
        <v>416.14780000000002</v>
      </c>
      <c r="Q11" s="79">
        <v>2.5</v>
      </c>
      <c r="R11" s="252">
        <f t="shared" si="11"/>
        <v>1040.3695</v>
      </c>
      <c r="S11" s="168">
        <f t="shared" si="2"/>
        <v>1350</v>
      </c>
      <c r="T11" s="228">
        <f t="shared" si="3"/>
        <v>309.63049999999998</v>
      </c>
      <c r="U11" s="216" t="str">
        <f t="shared" si="4"/>
        <v>No</v>
      </c>
      <c r="V11" s="404"/>
      <c r="W11" s="405"/>
    </row>
    <row r="12" spans="1:23" ht="14.25" customHeight="1" thickBot="1">
      <c r="A12" s="564"/>
      <c r="B12" s="94" t="s">
        <v>12</v>
      </c>
      <c r="C12" s="93" t="s">
        <v>52</v>
      </c>
      <c r="D12" s="105">
        <v>428.91</v>
      </c>
      <c r="E12" s="245">
        <f t="shared" si="5"/>
        <v>200</v>
      </c>
      <c r="F12" s="105">
        <v>320.77999999999997</v>
      </c>
      <c r="G12" s="82">
        <v>2.5</v>
      </c>
      <c r="H12" s="92">
        <f t="shared" si="6"/>
        <v>801.94999999999993</v>
      </c>
      <c r="I12" s="81">
        <f t="shared" si="7"/>
        <v>5</v>
      </c>
      <c r="J12" s="274">
        <f t="shared" si="0"/>
        <v>1000</v>
      </c>
      <c r="K12" s="81">
        <f t="shared" si="1"/>
        <v>198.05000000000007</v>
      </c>
      <c r="L12" s="82">
        <f t="shared" si="8"/>
        <v>80.194999999999993</v>
      </c>
      <c r="M12" s="99" t="s">
        <v>418</v>
      </c>
      <c r="N12" s="104">
        <v>440.09</v>
      </c>
      <c r="O12" s="168">
        <f t="shared" si="9"/>
        <v>200</v>
      </c>
      <c r="P12" s="168">
        <f t="shared" si="10"/>
        <v>320.77999999999997</v>
      </c>
      <c r="Q12" s="79">
        <v>2.5</v>
      </c>
      <c r="R12" s="252">
        <f t="shared" si="11"/>
        <v>801.94999999999993</v>
      </c>
      <c r="S12" s="168">
        <f t="shared" si="2"/>
        <v>1000</v>
      </c>
      <c r="T12" s="228">
        <f t="shared" si="3"/>
        <v>198.05000000000007</v>
      </c>
      <c r="U12" s="216" t="str">
        <f t="shared" si="4"/>
        <v>No</v>
      </c>
      <c r="V12" s="404"/>
      <c r="W12" s="405"/>
    </row>
    <row r="13" spans="1:23" ht="14.25" customHeight="1" thickBot="1">
      <c r="A13" s="564"/>
      <c r="B13" s="94" t="s">
        <v>394</v>
      </c>
      <c r="C13" s="93" t="s">
        <v>63</v>
      </c>
      <c r="D13" s="92">
        <v>530.30999999999995</v>
      </c>
      <c r="E13" s="244">
        <f t="shared" si="5"/>
        <v>200</v>
      </c>
      <c r="F13" s="92">
        <v>22.35</v>
      </c>
      <c r="G13" s="82">
        <v>2.5</v>
      </c>
      <c r="H13" s="72">
        <f t="shared" si="6"/>
        <v>55.875</v>
      </c>
      <c r="I13" s="81">
        <f t="shared" si="7"/>
        <v>1</v>
      </c>
      <c r="J13" s="272">
        <f t="shared" si="0"/>
        <v>200</v>
      </c>
      <c r="K13" s="81">
        <f t="shared" si="1"/>
        <v>144.125</v>
      </c>
      <c r="L13" s="82">
        <f t="shared" si="8"/>
        <v>27.9375</v>
      </c>
      <c r="M13" s="88" t="s">
        <v>416</v>
      </c>
      <c r="N13" s="90">
        <v>541.49</v>
      </c>
      <c r="O13" s="168">
        <f t="shared" si="9"/>
        <v>150</v>
      </c>
      <c r="P13" s="168">
        <f t="shared" si="10"/>
        <v>22.35</v>
      </c>
      <c r="Q13" s="79">
        <v>2.5</v>
      </c>
      <c r="R13" s="253">
        <f t="shared" si="11"/>
        <v>55.875</v>
      </c>
      <c r="S13" s="168">
        <f t="shared" si="2"/>
        <v>150</v>
      </c>
      <c r="T13" s="228">
        <f t="shared" si="3"/>
        <v>94.125</v>
      </c>
      <c r="U13" s="216" t="str">
        <f t="shared" si="4"/>
        <v>No</v>
      </c>
      <c r="V13" s="406"/>
      <c r="W13" s="407"/>
    </row>
    <row r="14" spans="1:23" ht="13.5" thickBot="1">
      <c r="A14" s="109" t="s">
        <v>424</v>
      </c>
      <c r="B14" s="84" t="s">
        <v>351</v>
      </c>
      <c r="C14" s="150"/>
      <c r="D14" s="82"/>
      <c r="E14" s="92">
        <f t="shared" si="5"/>
        <v>300</v>
      </c>
      <c r="F14" s="82"/>
      <c r="G14" s="82">
        <v>2.5</v>
      </c>
      <c r="H14" s="92">
        <f t="shared" si="6"/>
        <v>0</v>
      </c>
      <c r="I14" s="81">
        <f t="shared" si="7"/>
        <v>0</v>
      </c>
      <c r="J14" s="268"/>
      <c r="K14" s="81">
        <f t="shared" si="1"/>
        <v>0</v>
      </c>
      <c r="L14" s="82"/>
      <c r="M14" s="80"/>
      <c r="N14" s="80"/>
      <c r="O14" s="168">
        <f t="shared" si="9"/>
        <v>300</v>
      </c>
      <c r="P14" s="80"/>
      <c r="Q14" s="79">
        <v>2.5</v>
      </c>
      <c r="R14" s="89">
        <f t="shared" si="11"/>
        <v>0</v>
      </c>
      <c r="S14" s="80"/>
      <c r="T14" s="191"/>
      <c r="U14" s="80"/>
      <c r="V14" s="215"/>
      <c r="W14" s="106"/>
    </row>
    <row r="15" spans="1:23" ht="13.5" thickBot="1">
      <c r="A15" s="562" t="s">
        <v>49</v>
      </c>
      <c r="B15" s="84" t="s">
        <v>423</v>
      </c>
      <c r="C15" s="83" t="s">
        <v>47</v>
      </c>
      <c r="D15" s="82">
        <v>341.36500000000001</v>
      </c>
      <c r="E15" s="243">
        <f t="shared" si="5"/>
        <v>200</v>
      </c>
      <c r="F15" s="82">
        <v>414.50749999999999</v>
      </c>
      <c r="G15" s="82">
        <v>2.5</v>
      </c>
      <c r="H15" s="82">
        <f t="shared" si="6"/>
        <v>1036.26875</v>
      </c>
      <c r="I15" s="81">
        <f t="shared" si="7"/>
        <v>7</v>
      </c>
      <c r="J15" s="270">
        <f t="shared" ref="J15:J24" si="12">I15*E15</f>
        <v>1400</v>
      </c>
      <c r="K15" s="81">
        <f t="shared" si="1"/>
        <v>363.73125000000005</v>
      </c>
      <c r="L15" s="82">
        <f t="shared" si="8"/>
        <v>74.019196428571419</v>
      </c>
      <c r="M15" s="98" t="s">
        <v>422</v>
      </c>
      <c r="N15" s="80">
        <v>527.53499999999997</v>
      </c>
      <c r="O15" s="168">
        <f t="shared" si="9"/>
        <v>200</v>
      </c>
      <c r="P15" s="80">
        <f>F15</f>
        <v>414.50749999999999</v>
      </c>
      <c r="Q15" s="79">
        <v>2.5</v>
      </c>
      <c r="R15" s="251">
        <f t="shared" si="11"/>
        <v>1036.26875</v>
      </c>
      <c r="S15" s="80">
        <f t="shared" ref="S15:S24" si="13">O15*I15</f>
        <v>1400</v>
      </c>
      <c r="T15" s="188">
        <f t="shared" ref="T15:T24" si="14">S15-R15</f>
        <v>363.73125000000005</v>
      </c>
      <c r="U15" s="79" t="str">
        <f t="shared" ref="U15:U24" si="15">IF(T15&gt;=0,"No","Yes")</f>
        <v>No</v>
      </c>
      <c r="V15" s="59"/>
      <c r="W15" s="85"/>
    </row>
    <row r="16" spans="1:23" ht="14.25" customHeight="1" thickBot="1">
      <c r="A16" s="564"/>
      <c r="B16" s="94" t="s">
        <v>9</v>
      </c>
      <c r="C16" s="93" t="s">
        <v>421</v>
      </c>
      <c r="D16" s="105">
        <v>72.555000000000007</v>
      </c>
      <c r="E16" s="245">
        <f t="shared" si="5"/>
        <v>300</v>
      </c>
      <c r="F16" s="105">
        <v>249.06020000000001</v>
      </c>
      <c r="G16" s="82">
        <v>2.5</v>
      </c>
      <c r="H16" s="92">
        <f t="shared" si="6"/>
        <v>622.65049999999997</v>
      </c>
      <c r="I16" s="81">
        <f t="shared" si="7"/>
        <v>3</v>
      </c>
      <c r="J16" s="274">
        <f t="shared" si="12"/>
        <v>900</v>
      </c>
      <c r="K16" s="81">
        <f t="shared" si="1"/>
        <v>277.34950000000003</v>
      </c>
      <c r="L16" s="82">
        <f t="shared" si="8"/>
        <v>69.183388888888885</v>
      </c>
      <c r="M16" s="99" t="s">
        <v>420</v>
      </c>
      <c r="N16" s="104">
        <v>258.625</v>
      </c>
      <c r="O16" s="168">
        <f t="shared" si="9"/>
        <v>250</v>
      </c>
      <c r="P16" s="80">
        <f t="shared" ref="P16:P24" si="16">F16</f>
        <v>249.06020000000001</v>
      </c>
      <c r="Q16" s="79">
        <v>2.5</v>
      </c>
      <c r="R16" s="252">
        <f t="shared" si="11"/>
        <v>622.65049999999997</v>
      </c>
      <c r="S16" s="80">
        <f t="shared" si="13"/>
        <v>750</v>
      </c>
      <c r="T16" s="188">
        <f t="shared" si="14"/>
        <v>127.34950000000003</v>
      </c>
      <c r="U16" s="79" t="str">
        <f t="shared" si="15"/>
        <v>No</v>
      </c>
      <c r="V16" s="59"/>
      <c r="W16" s="95"/>
    </row>
    <row r="17" spans="1:44" ht="14.25" customHeight="1" thickBot="1">
      <c r="A17" s="564"/>
      <c r="B17" s="94" t="s">
        <v>10</v>
      </c>
      <c r="C17" s="93" t="s">
        <v>384</v>
      </c>
      <c r="D17" s="105">
        <v>894.93</v>
      </c>
      <c r="E17" s="245">
        <f t="shared" si="5"/>
        <v>150</v>
      </c>
      <c r="F17" s="105">
        <v>185.4342</v>
      </c>
      <c r="G17" s="82">
        <v>2.5</v>
      </c>
      <c r="H17" s="92">
        <f t="shared" si="6"/>
        <v>463.58550000000002</v>
      </c>
      <c r="I17" s="81">
        <f t="shared" si="7"/>
        <v>4</v>
      </c>
      <c r="J17" s="274">
        <f t="shared" si="12"/>
        <v>600</v>
      </c>
      <c r="K17" s="81">
        <f t="shared" si="1"/>
        <v>136.41449999999998</v>
      </c>
      <c r="L17" s="82">
        <f t="shared" si="8"/>
        <v>77.264250000000004</v>
      </c>
      <c r="M17" s="99" t="s">
        <v>383</v>
      </c>
      <c r="N17" s="104">
        <v>975.03499999999997</v>
      </c>
      <c r="O17" s="168">
        <f t="shared" si="9"/>
        <v>150</v>
      </c>
      <c r="P17" s="80">
        <f t="shared" si="16"/>
        <v>185.4342</v>
      </c>
      <c r="Q17" s="79">
        <v>2.5</v>
      </c>
      <c r="R17" s="252">
        <f t="shared" si="11"/>
        <v>463.58550000000002</v>
      </c>
      <c r="S17" s="80">
        <f t="shared" si="13"/>
        <v>600</v>
      </c>
      <c r="T17" s="188">
        <f t="shared" si="14"/>
        <v>136.41449999999998</v>
      </c>
      <c r="U17" s="79" t="str">
        <f t="shared" si="15"/>
        <v>No</v>
      </c>
      <c r="V17" s="59"/>
      <c r="W17" s="95"/>
    </row>
    <row r="18" spans="1:44" ht="14.25" customHeight="1" thickBot="1">
      <c r="A18" s="564"/>
      <c r="B18" s="94" t="s">
        <v>11</v>
      </c>
      <c r="C18" s="93" t="s">
        <v>377</v>
      </c>
      <c r="D18" s="105">
        <v>839.23</v>
      </c>
      <c r="E18" s="245">
        <f t="shared" si="5"/>
        <v>150</v>
      </c>
      <c r="F18" s="105">
        <v>213.84829999999999</v>
      </c>
      <c r="G18" s="82">
        <v>2.5</v>
      </c>
      <c r="H18" s="92">
        <f t="shared" si="6"/>
        <v>534.62075000000004</v>
      </c>
      <c r="I18" s="81">
        <f t="shared" si="7"/>
        <v>5</v>
      </c>
      <c r="J18" s="274">
        <f t="shared" si="12"/>
        <v>750</v>
      </c>
      <c r="K18" s="81">
        <f t="shared" si="1"/>
        <v>215.37924999999996</v>
      </c>
      <c r="L18" s="82">
        <f t="shared" si="8"/>
        <v>71.282766666666674</v>
      </c>
      <c r="M18" s="99" t="s">
        <v>419</v>
      </c>
      <c r="N18" s="104">
        <v>1025.3</v>
      </c>
      <c r="O18" s="168">
        <f t="shared" si="9"/>
        <v>150</v>
      </c>
      <c r="P18" s="80">
        <f t="shared" si="16"/>
        <v>213.84829999999999</v>
      </c>
      <c r="Q18" s="79">
        <v>2.5</v>
      </c>
      <c r="R18" s="252">
        <f t="shared" si="11"/>
        <v>534.62075000000004</v>
      </c>
      <c r="S18" s="80">
        <f t="shared" si="13"/>
        <v>750</v>
      </c>
      <c r="T18" s="188">
        <f t="shared" si="14"/>
        <v>215.37924999999996</v>
      </c>
      <c r="U18" s="79" t="str">
        <f t="shared" si="15"/>
        <v>No</v>
      </c>
      <c r="V18" s="59"/>
      <c r="W18" s="85"/>
      <c r="Y18" s="214"/>
      <c r="Z18" s="57"/>
    </row>
    <row r="19" spans="1:44" ht="14.25" customHeight="1" thickBot="1">
      <c r="A19" s="564"/>
      <c r="B19" s="94" t="s">
        <v>12</v>
      </c>
      <c r="C19" s="93" t="s">
        <v>52</v>
      </c>
      <c r="D19" s="105">
        <v>428.91</v>
      </c>
      <c r="E19" s="245">
        <f t="shared" si="5"/>
        <v>200</v>
      </c>
      <c r="F19" s="105">
        <v>320.7817</v>
      </c>
      <c r="G19" s="82">
        <v>2.5</v>
      </c>
      <c r="H19" s="92">
        <f t="shared" si="6"/>
        <v>801.95425</v>
      </c>
      <c r="I19" s="81">
        <f t="shared" si="7"/>
        <v>5</v>
      </c>
      <c r="J19" s="274">
        <f t="shared" si="12"/>
        <v>1000</v>
      </c>
      <c r="K19" s="81">
        <f t="shared" si="1"/>
        <v>198.04575</v>
      </c>
      <c r="L19" s="82">
        <f t="shared" si="8"/>
        <v>80.195425</v>
      </c>
      <c r="M19" s="99" t="s">
        <v>418</v>
      </c>
      <c r="N19" s="104">
        <v>440.09</v>
      </c>
      <c r="O19" s="168">
        <f t="shared" si="9"/>
        <v>200</v>
      </c>
      <c r="P19" s="80">
        <f t="shared" si="16"/>
        <v>320.7817</v>
      </c>
      <c r="Q19" s="79">
        <v>2.5</v>
      </c>
      <c r="R19" s="252">
        <f t="shared" si="11"/>
        <v>801.95425</v>
      </c>
      <c r="S19" s="80">
        <f t="shared" si="13"/>
        <v>1000</v>
      </c>
      <c r="T19" s="188">
        <f t="shared" si="14"/>
        <v>198.04575</v>
      </c>
      <c r="U19" s="79" t="str">
        <f t="shared" si="15"/>
        <v>No</v>
      </c>
      <c r="V19" s="59"/>
      <c r="W19" s="85"/>
      <c r="Y19" s="237" t="s">
        <v>452</v>
      </c>
      <c r="Z19" s="238"/>
      <c r="AA19" s="241"/>
    </row>
    <row r="20" spans="1:44" ht="14.25" customHeight="1" thickBot="1">
      <c r="A20" s="564"/>
      <c r="B20" s="94" t="s">
        <v>417</v>
      </c>
      <c r="C20" s="93" t="s">
        <v>409</v>
      </c>
      <c r="D20" s="92">
        <v>530.30999999999995</v>
      </c>
      <c r="E20" s="245">
        <f t="shared" si="5"/>
        <v>200</v>
      </c>
      <c r="F20" s="92">
        <v>22.35</v>
      </c>
      <c r="G20" s="82">
        <v>2.5</v>
      </c>
      <c r="H20" s="92">
        <f t="shared" si="6"/>
        <v>55.875</v>
      </c>
      <c r="I20" s="81">
        <f t="shared" si="7"/>
        <v>1</v>
      </c>
      <c r="J20" s="274">
        <f t="shared" si="12"/>
        <v>200</v>
      </c>
      <c r="K20" s="81">
        <f t="shared" si="1"/>
        <v>144.125</v>
      </c>
      <c r="L20" s="82">
        <f t="shared" si="8"/>
        <v>27.9375</v>
      </c>
      <c r="M20" s="88" t="s">
        <v>416</v>
      </c>
      <c r="N20" s="90">
        <v>541.49</v>
      </c>
      <c r="O20" s="168">
        <f t="shared" si="9"/>
        <v>150</v>
      </c>
      <c r="P20" s="80">
        <f t="shared" si="16"/>
        <v>22.35</v>
      </c>
      <c r="Q20" s="79">
        <v>2.5</v>
      </c>
      <c r="R20" s="252">
        <f t="shared" si="11"/>
        <v>55.875</v>
      </c>
      <c r="S20" s="80">
        <f t="shared" si="13"/>
        <v>150</v>
      </c>
      <c r="T20" s="188">
        <f t="shared" si="14"/>
        <v>94.125</v>
      </c>
      <c r="U20" s="79" t="str">
        <f t="shared" si="15"/>
        <v>No</v>
      </c>
      <c r="V20" s="59"/>
      <c r="W20" s="95"/>
      <c r="Y20" s="87"/>
      <c r="Z20" s="20"/>
      <c r="AA20" s="97"/>
      <c r="AD20" s="557" t="s">
        <v>579</v>
      </c>
      <c r="AE20" s="558"/>
      <c r="AF20" s="558"/>
      <c r="AG20" s="558"/>
      <c r="AH20" s="558"/>
      <c r="AI20" s="559"/>
      <c r="AJ20" s="154"/>
      <c r="AO20" s="486"/>
      <c r="AP20" s="486"/>
      <c r="AQ20" s="486"/>
      <c r="AR20" s="486"/>
    </row>
    <row r="21" spans="1:44" ht="13.5" thickBot="1">
      <c r="A21" s="562" t="s">
        <v>411</v>
      </c>
      <c r="B21" s="84" t="s">
        <v>7</v>
      </c>
      <c r="C21" s="83" t="s">
        <v>48</v>
      </c>
      <c r="D21" s="82">
        <v>457.755</v>
      </c>
      <c r="E21" s="243">
        <f t="shared" si="5"/>
        <v>200</v>
      </c>
      <c r="F21" s="82">
        <v>200.1122</v>
      </c>
      <c r="G21" s="82">
        <v>2.5</v>
      </c>
      <c r="H21" s="82">
        <f t="shared" si="6"/>
        <v>500.28050000000002</v>
      </c>
      <c r="I21" s="81">
        <f t="shared" si="7"/>
        <v>3</v>
      </c>
      <c r="J21" s="270">
        <f t="shared" si="12"/>
        <v>600</v>
      </c>
      <c r="K21" s="81">
        <f t="shared" si="1"/>
        <v>99.719499999999982</v>
      </c>
      <c r="L21" s="82">
        <f t="shared" si="8"/>
        <v>83.380083333333332</v>
      </c>
      <c r="M21" s="98" t="s">
        <v>414</v>
      </c>
      <c r="N21" s="80">
        <v>733.18499999999995</v>
      </c>
      <c r="O21" s="168">
        <f t="shared" si="9"/>
        <v>150</v>
      </c>
      <c r="P21" s="80">
        <f t="shared" si="16"/>
        <v>200.1122</v>
      </c>
      <c r="Q21" s="79">
        <v>2.5</v>
      </c>
      <c r="R21" s="251">
        <f t="shared" si="11"/>
        <v>500.28050000000002</v>
      </c>
      <c r="S21" s="80">
        <f t="shared" si="13"/>
        <v>450</v>
      </c>
      <c r="T21" s="188">
        <f t="shared" si="14"/>
        <v>-50.280500000000018</v>
      </c>
      <c r="U21" s="79" t="str">
        <f t="shared" si="15"/>
        <v>Yes</v>
      </c>
      <c r="V21" s="409"/>
      <c r="W21" s="403"/>
      <c r="Y21" s="131" t="s">
        <v>388</v>
      </c>
      <c r="Z21" s="130" t="s">
        <v>387</v>
      </c>
      <c r="AA21" s="129" t="s">
        <v>386</v>
      </c>
      <c r="AD21" s="331" t="s">
        <v>491</v>
      </c>
      <c r="AE21" s="333" t="s">
        <v>493</v>
      </c>
      <c r="AF21" s="333" t="s">
        <v>494</v>
      </c>
      <c r="AG21" s="333" t="s">
        <v>495</v>
      </c>
      <c r="AH21" s="333" t="s">
        <v>496</v>
      </c>
      <c r="AI21" s="334" t="s">
        <v>562</v>
      </c>
      <c r="AJ21" s="290" t="s">
        <v>415</v>
      </c>
      <c r="AO21" s="486"/>
      <c r="AP21" s="486"/>
      <c r="AQ21" s="486"/>
      <c r="AR21" s="491"/>
    </row>
    <row r="22" spans="1:44" ht="14.25" customHeight="1" thickBot="1">
      <c r="A22" s="564"/>
      <c r="B22" s="94" t="s">
        <v>413</v>
      </c>
      <c r="C22" s="93" t="s">
        <v>74</v>
      </c>
      <c r="D22" s="105">
        <v>632.29</v>
      </c>
      <c r="E22" s="245">
        <f t="shared" si="5"/>
        <v>150</v>
      </c>
      <c r="F22" s="105">
        <v>416.14780000000002</v>
      </c>
      <c r="G22" s="82">
        <v>2.5</v>
      </c>
      <c r="H22" s="92">
        <f t="shared" si="6"/>
        <v>1040.3695</v>
      </c>
      <c r="I22" s="81">
        <f t="shared" si="7"/>
        <v>9</v>
      </c>
      <c r="J22" s="274">
        <f t="shared" si="12"/>
        <v>1350</v>
      </c>
      <c r="K22" s="81">
        <f t="shared" si="1"/>
        <v>309.63049999999998</v>
      </c>
      <c r="L22" s="82">
        <f t="shared" si="8"/>
        <v>77.064407407407415</v>
      </c>
      <c r="M22" s="99" t="s">
        <v>361</v>
      </c>
      <c r="N22" s="104">
        <v>692.19500000000005</v>
      </c>
      <c r="O22" s="168">
        <f t="shared" si="9"/>
        <v>150</v>
      </c>
      <c r="P22" s="80">
        <f t="shared" si="16"/>
        <v>416.14780000000002</v>
      </c>
      <c r="Q22" s="79">
        <v>2.5</v>
      </c>
      <c r="R22" s="252">
        <f t="shared" si="11"/>
        <v>1040.3695</v>
      </c>
      <c r="S22" s="80">
        <f t="shared" si="13"/>
        <v>1350</v>
      </c>
      <c r="T22" s="188">
        <f t="shared" si="14"/>
        <v>309.63049999999998</v>
      </c>
      <c r="U22" s="79" t="str">
        <f t="shared" si="15"/>
        <v>No</v>
      </c>
      <c r="V22" s="410" t="s">
        <v>22</v>
      </c>
      <c r="W22" s="405">
        <v>16</v>
      </c>
      <c r="Y22" s="157" t="s">
        <v>2</v>
      </c>
      <c r="Z22" s="156">
        <v>174</v>
      </c>
      <c r="AA22" s="97">
        <f>(Z22/J10)*100</f>
        <v>28.999999999999996</v>
      </c>
      <c r="AD22" s="59" t="s">
        <v>84</v>
      </c>
      <c r="AE22" s="335">
        <v>0</v>
      </c>
      <c r="AF22" s="335">
        <v>0</v>
      </c>
      <c r="AG22" s="336">
        <v>1</v>
      </c>
      <c r="AH22" s="336">
        <v>0</v>
      </c>
      <c r="AI22" s="337">
        <v>0</v>
      </c>
      <c r="AJ22" s="338">
        <f>SUM(AE22:AI22)</f>
        <v>1</v>
      </c>
      <c r="AO22" s="486"/>
      <c r="AP22" s="486"/>
      <c r="AQ22" s="486"/>
      <c r="AR22" s="486"/>
    </row>
    <row r="23" spans="1:44" ht="14.25" customHeight="1" thickBot="1">
      <c r="A23" s="564"/>
      <c r="B23" s="94" t="s">
        <v>412</v>
      </c>
      <c r="C23" s="93" t="s">
        <v>411</v>
      </c>
      <c r="D23" s="105">
        <v>370.31</v>
      </c>
      <c r="E23" s="245">
        <f t="shared" si="5"/>
        <v>200</v>
      </c>
      <c r="F23" s="105">
        <v>24.103000000000002</v>
      </c>
      <c r="G23" s="82">
        <v>2.5</v>
      </c>
      <c r="H23" s="92">
        <f t="shared" si="6"/>
        <v>60.257500000000007</v>
      </c>
      <c r="I23" s="81">
        <f t="shared" si="7"/>
        <v>1</v>
      </c>
      <c r="J23" s="274">
        <f t="shared" si="12"/>
        <v>200</v>
      </c>
      <c r="K23" s="81">
        <f t="shared" si="1"/>
        <v>139.74250000000001</v>
      </c>
      <c r="L23" s="82">
        <f t="shared" si="8"/>
        <v>30.128750000000004</v>
      </c>
      <c r="M23" s="99" t="s">
        <v>410</v>
      </c>
      <c r="N23" s="104">
        <v>820.63</v>
      </c>
      <c r="O23" s="168">
        <f t="shared" si="9"/>
        <v>150</v>
      </c>
      <c r="P23" s="80">
        <f t="shared" si="16"/>
        <v>24.103000000000002</v>
      </c>
      <c r="Q23" s="79">
        <v>2.5</v>
      </c>
      <c r="R23" s="252">
        <f t="shared" si="11"/>
        <v>60.257500000000007</v>
      </c>
      <c r="S23" s="80">
        <f t="shared" si="13"/>
        <v>150</v>
      </c>
      <c r="T23" s="188">
        <f t="shared" si="14"/>
        <v>89.742499999999993</v>
      </c>
      <c r="U23" s="79" t="str">
        <f t="shared" si="15"/>
        <v>No</v>
      </c>
      <c r="V23" s="410"/>
      <c r="W23" s="405"/>
      <c r="Y23" s="157" t="s">
        <v>7</v>
      </c>
      <c r="Z23" s="156">
        <v>144</v>
      </c>
      <c r="AA23" s="97">
        <f>(Z23/J19)*100</f>
        <v>14.399999999999999</v>
      </c>
      <c r="AD23" s="59" t="s">
        <v>85</v>
      </c>
      <c r="AE23" s="335">
        <v>2</v>
      </c>
      <c r="AF23" s="335">
        <v>3</v>
      </c>
      <c r="AG23" s="335">
        <v>0</v>
      </c>
      <c r="AH23" s="335">
        <v>0</v>
      </c>
      <c r="AI23" s="337">
        <v>0</v>
      </c>
      <c r="AJ23" s="59">
        <f t="shared" ref="AJ23:AJ33" si="17">SUM(AE23:AI23)</f>
        <v>5</v>
      </c>
      <c r="AO23" s="486"/>
      <c r="AP23" s="486"/>
      <c r="AQ23" s="486"/>
      <c r="AR23" s="486"/>
    </row>
    <row r="24" spans="1:44" ht="14.25" customHeight="1" thickBot="1">
      <c r="A24" s="564"/>
      <c r="B24" s="94" t="s">
        <v>394</v>
      </c>
      <c r="C24" s="93" t="s">
        <v>409</v>
      </c>
      <c r="D24" s="92">
        <v>530.30999999999995</v>
      </c>
      <c r="E24" s="244">
        <f t="shared" si="5"/>
        <v>200</v>
      </c>
      <c r="F24" s="92">
        <v>22.35</v>
      </c>
      <c r="G24" s="82">
        <v>2.5</v>
      </c>
      <c r="H24" s="72">
        <f t="shared" si="6"/>
        <v>55.875</v>
      </c>
      <c r="I24" s="81">
        <f t="shared" si="7"/>
        <v>1</v>
      </c>
      <c r="J24" s="272">
        <f t="shared" si="12"/>
        <v>200</v>
      </c>
      <c r="K24" s="81">
        <f t="shared" si="1"/>
        <v>144.125</v>
      </c>
      <c r="L24" s="82">
        <f t="shared" si="8"/>
        <v>27.9375</v>
      </c>
      <c r="M24" s="88" t="s">
        <v>408</v>
      </c>
      <c r="N24" s="90">
        <v>660.63</v>
      </c>
      <c r="O24" s="168">
        <f t="shared" si="9"/>
        <v>150</v>
      </c>
      <c r="P24" s="80">
        <f t="shared" si="16"/>
        <v>22.35</v>
      </c>
      <c r="Q24" s="79">
        <v>2.5</v>
      </c>
      <c r="R24" s="253">
        <f t="shared" si="11"/>
        <v>55.875</v>
      </c>
      <c r="S24" s="80">
        <f t="shared" si="13"/>
        <v>150</v>
      </c>
      <c r="T24" s="188">
        <f t="shared" si="14"/>
        <v>94.125</v>
      </c>
      <c r="U24" s="79" t="str">
        <f t="shared" si="15"/>
        <v>No</v>
      </c>
      <c r="V24" s="411"/>
      <c r="W24" s="412"/>
      <c r="Y24" s="157" t="s">
        <v>394</v>
      </c>
      <c r="Z24" s="156">
        <v>100</v>
      </c>
      <c r="AA24" s="97">
        <f>(Z24/600)*100</f>
        <v>16.666666666666664</v>
      </c>
      <c r="AD24" s="59" t="s">
        <v>86</v>
      </c>
      <c r="AE24" s="335">
        <v>1</v>
      </c>
      <c r="AF24" s="335">
        <v>1</v>
      </c>
      <c r="AG24" s="335">
        <v>0</v>
      </c>
      <c r="AH24" s="335">
        <v>0</v>
      </c>
      <c r="AI24" s="337">
        <v>0</v>
      </c>
      <c r="AJ24" s="59">
        <f t="shared" si="17"/>
        <v>2</v>
      </c>
      <c r="AL24" s="481" t="s">
        <v>498</v>
      </c>
      <c r="AM24" s="481" t="s">
        <v>499</v>
      </c>
      <c r="AN24" s="340" t="s">
        <v>500</v>
      </c>
      <c r="AO24" s="486"/>
      <c r="AP24" s="486"/>
    </row>
    <row r="25" spans="1:44" ht="13.5" thickBot="1">
      <c r="A25" s="151" t="s">
        <v>407</v>
      </c>
      <c r="B25" s="84" t="s">
        <v>406</v>
      </c>
      <c r="C25" s="150"/>
      <c r="D25" s="82"/>
      <c r="E25" s="92">
        <f t="shared" si="5"/>
        <v>300</v>
      </c>
      <c r="F25" s="82"/>
      <c r="G25" s="82">
        <v>2.5</v>
      </c>
      <c r="H25" s="92">
        <f t="shared" si="6"/>
        <v>0</v>
      </c>
      <c r="I25" s="81">
        <f t="shared" si="7"/>
        <v>0</v>
      </c>
      <c r="J25" s="268"/>
      <c r="K25" s="81">
        <f t="shared" si="1"/>
        <v>0</v>
      </c>
      <c r="L25" s="82"/>
      <c r="M25" s="80"/>
      <c r="N25" s="80"/>
      <c r="O25" s="168">
        <f t="shared" si="9"/>
        <v>300</v>
      </c>
      <c r="P25" s="80"/>
      <c r="Q25" s="79">
        <v>2.5</v>
      </c>
      <c r="R25" s="89">
        <f t="shared" si="11"/>
        <v>0</v>
      </c>
      <c r="S25" s="80"/>
      <c r="T25" s="191"/>
      <c r="U25" s="79"/>
      <c r="V25" s="192"/>
      <c r="W25" s="213"/>
      <c r="Y25" s="157" t="s">
        <v>12</v>
      </c>
      <c r="Z25" s="156">
        <v>46</v>
      </c>
      <c r="AA25" s="97">
        <f>(Z25/J46)*100</f>
        <v>11.5</v>
      </c>
      <c r="AD25" s="59" t="s">
        <v>87</v>
      </c>
      <c r="AE25" s="335">
        <v>3</v>
      </c>
      <c r="AF25" s="335">
        <v>4</v>
      </c>
      <c r="AG25" s="335">
        <v>0</v>
      </c>
      <c r="AH25" s="335">
        <v>0</v>
      </c>
      <c r="AI25" s="337">
        <v>0</v>
      </c>
      <c r="AJ25" s="59">
        <f t="shared" si="17"/>
        <v>7</v>
      </c>
      <c r="AL25" s="60" t="s">
        <v>493</v>
      </c>
      <c r="AM25" s="60">
        <v>100</v>
      </c>
      <c r="AN25" s="492">
        <v>15</v>
      </c>
      <c r="AO25" s="486"/>
      <c r="AP25" s="486"/>
    </row>
    <row r="26" spans="1:44" ht="13.5" thickBot="1">
      <c r="A26" s="575" t="s">
        <v>405</v>
      </c>
      <c r="B26" s="148" t="s">
        <v>14</v>
      </c>
      <c r="C26" s="83" t="s">
        <v>404</v>
      </c>
      <c r="D26" s="82">
        <v>391.72</v>
      </c>
      <c r="E26" s="243">
        <f t="shared" si="5"/>
        <v>200</v>
      </c>
      <c r="F26" s="82">
        <v>664.51419999999996</v>
      </c>
      <c r="G26" s="82">
        <v>2.5</v>
      </c>
      <c r="H26" s="82">
        <f t="shared" si="6"/>
        <v>1661.2855</v>
      </c>
      <c r="I26" s="81">
        <f t="shared" si="7"/>
        <v>10</v>
      </c>
      <c r="J26" s="270">
        <f t="shared" ref="J26:J56" si="18">I26*E26</f>
        <v>2000</v>
      </c>
      <c r="K26" s="81">
        <f t="shared" si="1"/>
        <v>338.71450000000004</v>
      </c>
      <c r="L26" s="82">
        <f t="shared" si="8"/>
        <v>83.064274999999995</v>
      </c>
      <c r="M26" s="98" t="s">
        <v>403</v>
      </c>
      <c r="N26" s="80">
        <v>799.22</v>
      </c>
      <c r="O26" s="168">
        <f t="shared" si="9"/>
        <v>150</v>
      </c>
      <c r="P26" s="80">
        <f>F26</f>
        <v>664.51419999999996</v>
      </c>
      <c r="Q26" s="79">
        <v>2.5</v>
      </c>
      <c r="R26" s="80">
        <f t="shared" si="11"/>
        <v>1661.2855</v>
      </c>
      <c r="S26" s="247">
        <f t="shared" ref="S26:S56" si="19">O26*I26</f>
        <v>1500</v>
      </c>
      <c r="T26" s="191">
        <f t="shared" ref="T26:T56" si="20">S26-R26</f>
        <v>-161.28549999999996</v>
      </c>
      <c r="U26" s="306" t="str">
        <f t="shared" ref="U26:U57" si="21">IF(T26&gt;=0,"No","Yes")</f>
        <v>Yes</v>
      </c>
      <c r="V26" s="298" t="s">
        <v>470</v>
      </c>
      <c r="W26" s="212" t="s">
        <v>471</v>
      </c>
      <c r="Y26" s="157" t="s">
        <v>13</v>
      </c>
      <c r="Z26" s="156">
        <v>274</v>
      </c>
      <c r="AA26" s="97">
        <f>(Z26/600)*100</f>
        <v>45.666666666666664</v>
      </c>
      <c r="AD26" s="59" t="s">
        <v>88</v>
      </c>
      <c r="AE26" s="335">
        <v>2</v>
      </c>
      <c r="AF26" s="335">
        <v>2</v>
      </c>
      <c r="AG26" s="335">
        <v>2</v>
      </c>
      <c r="AH26" s="335">
        <v>0</v>
      </c>
      <c r="AI26" s="337">
        <v>0</v>
      </c>
      <c r="AJ26" s="59">
        <f t="shared" si="17"/>
        <v>6</v>
      </c>
      <c r="AK26" s="329"/>
      <c r="AL26" s="341" t="s">
        <v>494</v>
      </c>
      <c r="AM26" s="341">
        <v>150</v>
      </c>
      <c r="AN26" s="493">
        <v>16.3689</v>
      </c>
      <c r="AO26" s="486"/>
      <c r="AP26" s="486"/>
      <c r="AR26" s="486"/>
    </row>
    <row r="27" spans="1:44" ht="14.25" customHeight="1" thickBot="1">
      <c r="A27" s="576"/>
      <c r="B27" s="74" t="s">
        <v>360</v>
      </c>
      <c r="C27" s="73" t="s">
        <v>55</v>
      </c>
      <c r="D27" s="146">
        <v>566.26</v>
      </c>
      <c r="E27" s="245">
        <f t="shared" si="5"/>
        <v>150</v>
      </c>
      <c r="F27" s="146">
        <v>424.66829999999999</v>
      </c>
      <c r="G27" s="82">
        <v>2.5</v>
      </c>
      <c r="H27" s="92">
        <f t="shared" si="6"/>
        <v>1061.67075</v>
      </c>
      <c r="I27" s="81">
        <f t="shared" si="7"/>
        <v>9</v>
      </c>
      <c r="J27" s="274">
        <f t="shared" si="18"/>
        <v>1350</v>
      </c>
      <c r="K27" s="81">
        <f t="shared" si="1"/>
        <v>288.32925</v>
      </c>
      <c r="L27" s="82">
        <f t="shared" si="8"/>
        <v>78.642277777777778</v>
      </c>
      <c r="M27" s="246" t="s">
        <v>402</v>
      </c>
      <c r="N27" s="145">
        <v>973.76</v>
      </c>
      <c r="O27" s="168">
        <f t="shared" si="9"/>
        <v>150</v>
      </c>
      <c r="P27" s="80">
        <f t="shared" ref="P27:P56" si="22">F27</f>
        <v>424.66829999999999</v>
      </c>
      <c r="Q27" s="79">
        <v>2.5</v>
      </c>
      <c r="R27" s="90">
        <f t="shared" si="11"/>
        <v>1061.67075</v>
      </c>
      <c r="S27" s="249">
        <f t="shared" si="19"/>
        <v>1350</v>
      </c>
      <c r="T27" s="305">
        <f t="shared" si="20"/>
        <v>288.32925</v>
      </c>
      <c r="U27" s="307" t="str">
        <f t="shared" si="21"/>
        <v>No</v>
      </c>
      <c r="V27" s="304" t="s">
        <v>462</v>
      </c>
      <c r="W27" s="211" t="s">
        <v>469</v>
      </c>
      <c r="Y27" s="157" t="s">
        <v>22</v>
      </c>
      <c r="Z27" s="156">
        <v>195</v>
      </c>
      <c r="AA27" s="97">
        <f>(Z27/1000)*100</f>
        <v>19.5</v>
      </c>
      <c r="AD27" s="59" t="s">
        <v>89</v>
      </c>
      <c r="AE27" s="335">
        <v>0</v>
      </c>
      <c r="AF27" s="335">
        <v>0</v>
      </c>
      <c r="AG27" s="335">
        <v>1</v>
      </c>
      <c r="AH27" s="335">
        <v>0</v>
      </c>
      <c r="AI27" s="337">
        <v>0</v>
      </c>
      <c r="AJ27" s="59">
        <f t="shared" si="17"/>
        <v>1</v>
      </c>
      <c r="AK27" s="328"/>
      <c r="AL27" s="341" t="s">
        <v>495</v>
      </c>
      <c r="AM27" s="341">
        <v>200</v>
      </c>
      <c r="AN27" s="493">
        <v>16.746700000000001</v>
      </c>
      <c r="AO27" s="486"/>
      <c r="AP27" s="486"/>
      <c r="AR27" s="486"/>
    </row>
    <row r="28" spans="1:44" ht="13.5" thickBot="1">
      <c r="A28" s="564" t="s">
        <v>401</v>
      </c>
      <c r="B28" s="62" t="s">
        <v>6</v>
      </c>
      <c r="C28" s="111" t="s">
        <v>47</v>
      </c>
      <c r="D28" s="92">
        <v>341.46499999999997</v>
      </c>
      <c r="E28" s="243">
        <f t="shared" si="5"/>
        <v>200</v>
      </c>
      <c r="F28" s="92">
        <v>414.50749999999999</v>
      </c>
      <c r="G28" s="82">
        <v>2.5</v>
      </c>
      <c r="H28" s="82">
        <f t="shared" si="6"/>
        <v>1036.26875</v>
      </c>
      <c r="I28" s="81">
        <f t="shared" si="7"/>
        <v>7</v>
      </c>
      <c r="J28" s="270">
        <f t="shared" si="18"/>
        <v>1400</v>
      </c>
      <c r="K28" s="81">
        <f t="shared" si="1"/>
        <v>363.73125000000005</v>
      </c>
      <c r="L28" s="82">
        <f t="shared" si="8"/>
        <v>74.019196428571419</v>
      </c>
      <c r="M28" s="88" t="s">
        <v>400</v>
      </c>
      <c r="N28" s="90">
        <v>849.47500000000002</v>
      </c>
      <c r="O28" s="168">
        <f t="shared" si="9"/>
        <v>150</v>
      </c>
      <c r="P28" s="80">
        <f t="shared" si="22"/>
        <v>414.50749999999999</v>
      </c>
      <c r="Q28" s="79">
        <v>2.5</v>
      </c>
      <c r="R28" s="80">
        <f t="shared" si="11"/>
        <v>1036.26875</v>
      </c>
      <c r="S28" s="248">
        <f t="shared" si="19"/>
        <v>1050</v>
      </c>
      <c r="T28" s="302">
        <f t="shared" si="20"/>
        <v>13.731250000000045</v>
      </c>
      <c r="U28" s="308" t="str">
        <f t="shared" si="21"/>
        <v>No</v>
      </c>
      <c r="V28" s="298"/>
      <c r="W28" s="239"/>
      <c r="Y28" s="157" t="s">
        <v>460</v>
      </c>
      <c r="Z28" s="156">
        <v>12</v>
      </c>
      <c r="AA28" s="209">
        <f>(Z28/150)*100</f>
        <v>8</v>
      </c>
      <c r="AD28" s="59" t="s">
        <v>90</v>
      </c>
      <c r="AE28" s="335">
        <v>0</v>
      </c>
      <c r="AF28" s="335">
        <v>1</v>
      </c>
      <c r="AG28" s="335">
        <v>0</v>
      </c>
      <c r="AH28" s="335">
        <v>0</v>
      </c>
      <c r="AI28" s="337">
        <v>0</v>
      </c>
      <c r="AJ28" s="59">
        <f t="shared" si="17"/>
        <v>1</v>
      </c>
      <c r="AK28" s="328"/>
      <c r="AL28" s="341" t="s">
        <v>496</v>
      </c>
      <c r="AM28" s="341">
        <v>250</v>
      </c>
      <c r="AN28" s="493">
        <v>16.886600000000001</v>
      </c>
      <c r="AO28" s="486"/>
      <c r="AP28" s="486"/>
      <c r="AR28" s="486"/>
    </row>
    <row r="29" spans="1:44" ht="14.25" customHeight="1" thickBot="1">
      <c r="A29" s="564"/>
      <c r="B29" s="62" t="s">
        <v>399</v>
      </c>
      <c r="C29" s="111" t="s">
        <v>384</v>
      </c>
      <c r="D29" s="92">
        <v>894.93</v>
      </c>
      <c r="E29" s="245">
        <f t="shared" si="5"/>
        <v>150</v>
      </c>
      <c r="F29" s="92">
        <v>185.4342</v>
      </c>
      <c r="G29" s="82">
        <v>2.5</v>
      </c>
      <c r="H29" s="92">
        <f t="shared" si="6"/>
        <v>463.58550000000002</v>
      </c>
      <c r="I29" s="81">
        <f t="shared" si="7"/>
        <v>4</v>
      </c>
      <c r="J29" s="274">
        <f t="shared" si="18"/>
        <v>600</v>
      </c>
      <c r="K29" s="81">
        <f t="shared" si="1"/>
        <v>136.41449999999998</v>
      </c>
      <c r="L29" s="82">
        <f t="shared" si="8"/>
        <v>77.264250000000004</v>
      </c>
      <c r="M29" s="88" t="s">
        <v>383</v>
      </c>
      <c r="N29" s="90">
        <v>975.03499999999997</v>
      </c>
      <c r="O29" s="168">
        <f t="shared" si="9"/>
        <v>150</v>
      </c>
      <c r="P29" s="80">
        <f t="shared" si="22"/>
        <v>185.4342</v>
      </c>
      <c r="Q29" s="79">
        <v>2.5</v>
      </c>
      <c r="R29" s="90">
        <f t="shared" si="11"/>
        <v>463.58550000000002</v>
      </c>
      <c r="S29" s="248">
        <f t="shared" si="19"/>
        <v>600</v>
      </c>
      <c r="T29" s="302">
        <f t="shared" si="20"/>
        <v>136.41449999999998</v>
      </c>
      <c r="U29" s="308" t="str">
        <f t="shared" si="21"/>
        <v>No</v>
      </c>
      <c r="V29" s="299" t="s">
        <v>6</v>
      </c>
      <c r="W29" s="254">
        <v>616</v>
      </c>
      <c r="Y29" s="157" t="s">
        <v>6</v>
      </c>
      <c r="Z29" s="156">
        <v>616</v>
      </c>
      <c r="AA29" s="208">
        <f>(Z29/200)*100</f>
        <v>308</v>
      </c>
      <c r="AD29" s="59" t="s">
        <v>91</v>
      </c>
      <c r="AE29" s="335">
        <v>1</v>
      </c>
      <c r="AF29" s="335">
        <v>4</v>
      </c>
      <c r="AG29" s="337">
        <v>2</v>
      </c>
      <c r="AH29" s="337">
        <v>0</v>
      </c>
      <c r="AI29" s="337">
        <v>0</v>
      </c>
      <c r="AJ29" s="59">
        <f t="shared" si="17"/>
        <v>7</v>
      </c>
      <c r="AK29" s="329"/>
      <c r="AL29" s="342" t="s">
        <v>562</v>
      </c>
      <c r="AM29" s="342">
        <v>300</v>
      </c>
      <c r="AN29" s="494">
        <v>17</v>
      </c>
      <c r="AO29" s="486"/>
      <c r="AP29" s="486"/>
      <c r="AR29" s="486"/>
    </row>
    <row r="30" spans="1:44" ht="14.25" customHeight="1" thickBot="1">
      <c r="A30" s="564"/>
      <c r="B30" s="94" t="s">
        <v>398</v>
      </c>
      <c r="C30" s="93" t="s">
        <v>377</v>
      </c>
      <c r="D30" s="105">
        <v>839.23</v>
      </c>
      <c r="E30" s="245">
        <f t="shared" si="5"/>
        <v>150</v>
      </c>
      <c r="F30" s="105">
        <v>213.84829999999999</v>
      </c>
      <c r="G30" s="82">
        <v>2.5</v>
      </c>
      <c r="H30" s="92">
        <f t="shared" si="6"/>
        <v>534.62075000000004</v>
      </c>
      <c r="I30" s="81">
        <f t="shared" si="7"/>
        <v>5</v>
      </c>
      <c r="J30" s="274">
        <f t="shared" si="18"/>
        <v>750</v>
      </c>
      <c r="K30" s="81">
        <f t="shared" si="1"/>
        <v>215.37924999999996</v>
      </c>
      <c r="L30" s="82">
        <f t="shared" si="8"/>
        <v>71.282766666666674</v>
      </c>
      <c r="M30" s="99" t="s">
        <v>397</v>
      </c>
      <c r="N30" s="104">
        <v>1347.24</v>
      </c>
      <c r="O30" s="168">
        <f t="shared" si="9"/>
        <v>100</v>
      </c>
      <c r="P30" s="80">
        <f t="shared" si="22"/>
        <v>213.84829999999999</v>
      </c>
      <c r="Q30" s="79">
        <v>2.5</v>
      </c>
      <c r="R30" s="90">
        <f t="shared" si="11"/>
        <v>534.62075000000004</v>
      </c>
      <c r="S30" s="248">
        <f t="shared" si="19"/>
        <v>500</v>
      </c>
      <c r="T30" s="302">
        <f t="shared" si="20"/>
        <v>-34.620750000000044</v>
      </c>
      <c r="U30" s="308" t="str">
        <f t="shared" si="21"/>
        <v>Yes</v>
      </c>
      <c r="V30" s="300" t="s">
        <v>461</v>
      </c>
      <c r="W30" s="210">
        <v>170</v>
      </c>
      <c r="Y30" s="157" t="s">
        <v>14</v>
      </c>
      <c r="Z30" s="156">
        <v>219</v>
      </c>
      <c r="AA30" s="97">
        <f>Z30/200 * 100</f>
        <v>109.5</v>
      </c>
      <c r="AD30" s="59" t="s">
        <v>92</v>
      </c>
      <c r="AE30" s="337">
        <v>0</v>
      </c>
      <c r="AF30" s="337">
        <v>1</v>
      </c>
      <c r="AG30" s="337">
        <v>1</v>
      </c>
      <c r="AH30" s="337">
        <v>0</v>
      </c>
      <c r="AI30" s="337">
        <v>0</v>
      </c>
      <c r="AJ30" s="59">
        <f t="shared" si="17"/>
        <v>2</v>
      </c>
      <c r="AK30" s="329"/>
      <c r="AL30" s="486"/>
      <c r="AM30" s="486"/>
      <c r="AO30" s="486"/>
      <c r="AP30" s="486"/>
      <c r="AR30" s="486"/>
    </row>
    <row r="31" spans="1:44" ht="14.25" customHeight="1" thickBot="1">
      <c r="A31" s="564"/>
      <c r="B31" s="94" t="s">
        <v>396</v>
      </c>
      <c r="C31" s="93" t="s">
        <v>52</v>
      </c>
      <c r="D31" s="92">
        <v>428.91</v>
      </c>
      <c r="E31" s="245">
        <f t="shared" si="5"/>
        <v>200</v>
      </c>
      <c r="F31" s="92">
        <v>320.7817</v>
      </c>
      <c r="G31" s="82">
        <v>2.5</v>
      </c>
      <c r="H31" s="92">
        <f t="shared" si="6"/>
        <v>801.95425</v>
      </c>
      <c r="I31" s="81">
        <f t="shared" si="7"/>
        <v>5</v>
      </c>
      <c r="J31" s="274">
        <f t="shared" si="18"/>
        <v>1000</v>
      </c>
      <c r="K31" s="81">
        <f t="shared" si="1"/>
        <v>198.04575</v>
      </c>
      <c r="L31" s="82">
        <f t="shared" si="8"/>
        <v>80.195425</v>
      </c>
      <c r="M31" s="88" t="s">
        <v>395</v>
      </c>
      <c r="N31" s="90">
        <v>762.03</v>
      </c>
      <c r="O31" s="168">
        <f t="shared" si="9"/>
        <v>150</v>
      </c>
      <c r="P31" s="80">
        <f t="shared" si="22"/>
        <v>320.7817</v>
      </c>
      <c r="Q31" s="79">
        <v>2.5</v>
      </c>
      <c r="R31" s="90">
        <f t="shared" si="11"/>
        <v>801.95425</v>
      </c>
      <c r="S31" s="248">
        <f t="shared" si="19"/>
        <v>750</v>
      </c>
      <c r="T31" s="302">
        <f t="shared" si="20"/>
        <v>-51.954250000000002</v>
      </c>
      <c r="U31" s="308" t="str">
        <f t="shared" si="21"/>
        <v>Yes</v>
      </c>
      <c r="V31" s="300" t="s">
        <v>14</v>
      </c>
      <c r="W31" s="210">
        <v>219</v>
      </c>
      <c r="Y31" s="157" t="s">
        <v>394</v>
      </c>
      <c r="Z31" s="156">
        <v>103</v>
      </c>
      <c r="AA31" s="97"/>
      <c r="AB31" s="20"/>
      <c r="AC31" s="17"/>
      <c r="AD31" s="59" t="s">
        <v>93</v>
      </c>
      <c r="AE31" s="337">
        <v>1</v>
      </c>
      <c r="AF31" s="335">
        <v>1</v>
      </c>
      <c r="AG31" s="337">
        <v>5</v>
      </c>
      <c r="AH31" s="337">
        <v>0</v>
      </c>
      <c r="AI31" s="337">
        <v>0</v>
      </c>
      <c r="AJ31" s="59">
        <f t="shared" si="17"/>
        <v>7</v>
      </c>
      <c r="AK31" s="329"/>
      <c r="AL31" s="486"/>
      <c r="AM31" s="486"/>
      <c r="AO31" s="486"/>
      <c r="AP31" s="486"/>
      <c r="AQ31" s="495"/>
      <c r="AR31" s="486"/>
    </row>
    <row r="32" spans="1:44" ht="14.25" customHeight="1" thickBot="1">
      <c r="A32" s="564"/>
      <c r="B32" s="94" t="s">
        <v>393</v>
      </c>
      <c r="C32" s="93" t="s">
        <v>56</v>
      </c>
      <c r="D32" s="92">
        <v>268.91000000000003</v>
      </c>
      <c r="E32" s="245">
        <f t="shared" si="5"/>
        <v>250</v>
      </c>
      <c r="F32" s="92">
        <v>277.57420000000002</v>
      </c>
      <c r="G32" s="82">
        <v>2.5</v>
      </c>
      <c r="H32" s="92">
        <f t="shared" si="6"/>
        <v>693.93550000000005</v>
      </c>
      <c r="I32" s="81">
        <f t="shared" si="7"/>
        <v>4</v>
      </c>
      <c r="J32" s="274">
        <f t="shared" si="18"/>
        <v>1000</v>
      </c>
      <c r="K32" s="81">
        <f t="shared" si="1"/>
        <v>306.06449999999995</v>
      </c>
      <c r="L32" s="82">
        <f t="shared" si="8"/>
        <v>69.393550000000005</v>
      </c>
      <c r="M32" s="88" t="s">
        <v>392</v>
      </c>
      <c r="N32" s="90">
        <v>922.03</v>
      </c>
      <c r="O32" s="168">
        <f t="shared" si="9"/>
        <v>150</v>
      </c>
      <c r="P32" s="80">
        <f t="shared" si="22"/>
        <v>277.57420000000002</v>
      </c>
      <c r="Q32" s="79">
        <v>2.5</v>
      </c>
      <c r="R32" s="90">
        <f t="shared" si="11"/>
        <v>693.93550000000005</v>
      </c>
      <c r="S32" s="249">
        <f t="shared" si="19"/>
        <v>600</v>
      </c>
      <c r="T32" s="305">
        <f t="shared" si="20"/>
        <v>-93.935500000000047</v>
      </c>
      <c r="U32" s="307" t="str">
        <f t="shared" si="21"/>
        <v>Yes</v>
      </c>
      <c r="V32" s="301" t="s">
        <v>394</v>
      </c>
      <c r="W32" s="255">
        <v>103</v>
      </c>
      <c r="Y32" s="157" t="s">
        <v>327</v>
      </c>
      <c r="Z32" s="156">
        <v>779</v>
      </c>
      <c r="AA32" s="97"/>
      <c r="AD32" s="59" t="s">
        <v>94</v>
      </c>
      <c r="AE32" s="337">
        <v>2</v>
      </c>
      <c r="AF32" s="335">
        <v>4</v>
      </c>
      <c r="AG32" s="337">
        <v>3</v>
      </c>
      <c r="AH32" s="337">
        <v>0</v>
      </c>
      <c r="AI32" s="337">
        <v>0</v>
      </c>
      <c r="AJ32" s="59">
        <f t="shared" si="17"/>
        <v>9</v>
      </c>
      <c r="AK32" s="18"/>
      <c r="AL32" s="18"/>
      <c r="AM32" s="486"/>
      <c r="AO32" s="486"/>
      <c r="AP32" s="486"/>
      <c r="AR32" s="486"/>
    </row>
    <row r="33" spans="1:44" ht="13.5" thickBot="1">
      <c r="A33" s="562" t="s">
        <v>380</v>
      </c>
      <c r="B33" s="84" t="s">
        <v>391</v>
      </c>
      <c r="C33" s="83" t="s">
        <v>390</v>
      </c>
      <c r="D33" s="82">
        <v>774.56</v>
      </c>
      <c r="E33" s="243">
        <f t="shared" si="5"/>
        <v>150</v>
      </c>
      <c r="F33" s="82">
        <v>593.39</v>
      </c>
      <c r="G33" s="82">
        <v>2.5</v>
      </c>
      <c r="H33" s="82">
        <f t="shared" si="6"/>
        <v>1483.4749999999999</v>
      </c>
      <c r="I33" s="81">
        <f t="shared" si="7"/>
        <v>12</v>
      </c>
      <c r="J33" s="270">
        <f t="shared" si="18"/>
        <v>1800</v>
      </c>
      <c r="K33" s="81">
        <f t="shared" si="1"/>
        <v>316.52500000000009</v>
      </c>
      <c r="L33" s="82">
        <f t="shared" si="8"/>
        <v>82.415277777777774</v>
      </c>
      <c r="M33" s="98" t="s">
        <v>389</v>
      </c>
      <c r="N33" s="80">
        <v>778.62</v>
      </c>
      <c r="O33" s="168">
        <f t="shared" si="9"/>
        <v>150</v>
      </c>
      <c r="P33" s="80">
        <f t="shared" si="22"/>
        <v>593.39</v>
      </c>
      <c r="Q33" s="79">
        <v>2.5</v>
      </c>
      <c r="R33" s="251">
        <f t="shared" si="11"/>
        <v>1483.4749999999999</v>
      </c>
      <c r="S33" s="90">
        <f t="shared" si="19"/>
        <v>1800</v>
      </c>
      <c r="T33" s="302">
        <f t="shared" si="20"/>
        <v>316.52500000000009</v>
      </c>
      <c r="U33" s="303" t="str">
        <f t="shared" si="21"/>
        <v>No</v>
      </c>
      <c r="V33" s="197"/>
      <c r="W33" s="103"/>
      <c r="Y33" s="157" t="s">
        <v>20</v>
      </c>
      <c r="Z33" s="156">
        <v>182</v>
      </c>
      <c r="AA33" s="97"/>
      <c r="AD33" s="343" t="s">
        <v>492</v>
      </c>
      <c r="AE33" s="344">
        <v>0</v>
      </c>
      <c r="AF33" s="344">
        <v>0</v>
      </c>
      <c r="AG33" s="344">
        <v>0</v>
      </c>
      <c r="AH33" s="344">
        <v>0</v>
      </c>
      <c r="AI33" s="344">
        <v>0</v>
      </c>
      <c r="AJ33" s="343">
        <f t="shared" si="17"/>
        <v>0</v>
      </c>
      <c r="AK33" s="329"/>
      <c r="AL33" s="557" t="s">
        <v>581</v>
      </c>
      <c r="AM33" s="558"/>
      <c r="AN33" s="558"/>
      <c r="AO33" s="558"/>
      <c r="AP33" s="558"/>
      <c r="AQ33" s="559"/>
      <c r="AR33" s="154"/>
    </row>
    <row r="34" spans="1:44" ht="14.25" customHeight="1" thickBot="1">
      <c r="A34" s="564"/>
      <c r="B34" s="94" t="s">
        <v>385</v>
      </c>
      <c r="C34" s="93" t="s">
        <v>384</v>
      </c>
      <c r="D34" s="105">
        <v>894.93</v>
      </c>
      <c r="E34" s="245">
        <f t="shared" si="5"/>
        <v>150</v>
      </c>
      <c r="F34" s="105">
        <v>185.4342</v>
      </c>
      <c r="G34" s="82">
        <v>2.5</v>
      </c>
      <c r="H34" s="92">
        <f t="shared" si="6"/>
        <v>463.58550000000002</v>
      </c>
      <c r="I34" s="81">
        <f t="shared" si="7"/>
        <v>4</v>
      </c>
      <c r="J34" s="274">
        <f t="shared" si="18"/>
        <v>600</v>
      </c>
      <c r="K34" s="81">
        <f t="shared" si="1"/>
        <v>136.41449999999998</v>
      </c>
      <c r="L34" s="82">
        <f t="shared" si="8"/>
        <v>77.264250000000004</v>
      </c>
      <c r="M34" s="99" t="s">
        <v>383</v>
      </c>
      <c r="N34" s="104">
        <v>975.03499999999997</v>
      </c>
      <c r="O34" s="168">
        <f t="shared" si="9"/>
        <v>150</v>
      </c>
      <c r="P34" s="80">
        <f t="shared" si="22"/>
        <v>185.4342</v>
      </c>
      <c r="Q34" s="79">
        <v>2.5</v>
      </c>
      <c r="R34" s="252">
        <f t="shared" si="11"/>
        <v>463.58550000000002</v>
      </c>
      <c r="S34" s="80">
        <f t="shared" si="19"/>
        <v>600</v>
      </c>
      <c r="T34" s="191">
        <f t="shared" si="20"/>
        <v>136.41449999999998</v>
      </c>
      <c r="U34" s="204" t="str">
        <f t="shared" si="21"/>
        <v>No</v>
      </c>
      <c r="V34" s="195"/>
      <c r="W34" s="102"/>
      <c r="Y34" s="157" t="s">
        <v>27</v>
      </c>
      <c r="Z34" s="156">
        <v>604</v>
      </c>
      <c r="AA34" s="97"/>
      <c r="AD34" s="290" t="s">
        <v>501</v>
      </c>
      <c r="AE34" s="345">
        <f t="shared" ref="AE34:AJ34" si="23">SUM(AE22:AE33)</f>
        <v>12</v>
      </c>
      <c r="AF34" s="345">
        <f t="shared" si="23"/>
        <v>21</v>
      </c>
      <c r="AG34" s="345">
        <f t="shared" si="23"/>
        <v>15</v>
      </c>
      <c r="AH34" s="345">
        <f t="shared" si="23"/>
        <v>0</v>
      </c>
      <c r="AI34" s="345">
        <f t="shared" si="23"/>
        <v>0</v>
      </c>
      <c r="AJ34" s="346">
        <f t="shared" si="23"/>
        <v>48</v>
      </c>
      <c r="AK34" s="329"/>
      <c r="AL34" s="331" t="s">
        <v>491</v>
      </c>
      <c r="AM34" s="333" t="s">
        <v>493</v>
      </c>
      <c r="AN34" s="333" t="s">
        <v>494</v>
      </c>
      <c r="AO34" s="333" t="s">
        <v>495</v>
      </c>
      <c r="AP34" s="333" t="s">
        <v>496</v>
      </c>
      <c r="AQ34" s="334" t="s">
        <v>562</v>
      </c>
      <c r="AR34" s="290" t="s">
        <v>415</v>
      </c>
    </row>
    <row r="35" spans="1:44" ht="14.25" customHeight="1" thickBot="1">
      <c r="A35" s="564"/>
      <c r="B35" s="94" t="s">
        <v>381</v>
      </c>
      <c r="C35" s="93" t="s">
        <v>380</v>
      </c>
      <c r="D35" s="92">
        <v>553.46500000000003</v>
      </c>
      <c r="E35" s="245">
        <f t="shared" si="5"/>
        <v>150</v>
      </c>
      <c r="F35" s="92">
        <v>491.47570000000002</v>
      </c>
      <c r="G35" s="82">
        <v>2.5</v>
      </c>
      <c r="H35" s="92">
        <f t="shared" si="6"/>
        <v>1228.6892500000001</v>
      </c>
      <c r="I35" s="81">
        <f t="shared" si="7"/>
        <v>10</v>
      </c>
      <c r="J35" s="274">
        <f t="shared" si="18"/>
        <v>1500</v>
      </c>
      <c r="K35" s="81">
        <f t="shared" ref="K35:K56" si="24">J35-H35</f>
        <v>271.31074999999987</v>
      </c>
      <c r="L35" s="82">
        <f t="shared" si="8"/>
        <v>81.912616666666665</v>
      </c>
      <c r="M35" s="88" t="s">
        <v>379</v>
      </c>
      <c r="N35" s="90">
        <v>660.12</v>
      </c>
      <c r="O35" s="168">
        <f t="shared" si="9"/>
        <v>150</v>
      </c>
      <c r="P35" s="80">
        <f t="shared" si="22"/>
        <v>491.47570000000002</v>
      </c>
      <c r="Q35" s="79">
        <v>2.5</v>
      </c>
      <c r="R35" s="252">
        <f t="shared" si="11"/>
        <v>1228.6892500000001</v>
      </c>
      <c r="S35" s="80">
        <f t="shared" si="19"/>
        <v>1500</v>
      </c>
      <c r="T35" s="191">
        <f t="shared" si="20"/>
        <v>271.31074999999987</v>
      </c>
      <c r="U35" s="204" t="str">
        <f t="shared" si="21"/>
        <v>No</v>
      </c>
      <c r="V35" s="207"/>
      <c r="W35" s="127"/>
      <c r="Y35" s="157" t="s">
        <v>31</v>
      </c>
      <c r="Z35" s="156">
        <v>1088</v>
      </c>
      <c r="AA35" s="97"/>
      <c r="AD35" s="290" t="s">
        <v>500</v>
      </c>
      <c r="AE35" s="347">
        <f>PRODUCT(AE34*AN25)</f>
        <v>180</v>
      </c>
      <c r="AF35" s="489">
        <f>PRODUCT(AF34*AN26)</f>
        <v>343.74689999999998</v>
      </c>
      <c r="AG35" s="489">
        <f>PRODUCT(AG34*AN27)</f>
        <v>251.20050000000001</v>
      </c>
      <c r="AH35" s="489">
        <f>PRODUCT(AH34*AN28)</f>
        <v>0</v>
      </c>
      <c r="AI35" s="489">
        <f>PRODUCT(AI34*AN29)</f>
        <v>0</v>
      </c>
      <c r="AJ35" s="490">
        <f>SUM(AE35:AI35)</f>
        <v>774.94740000000002</v>
      </c>
      <c r="AK35" s="329"/>
      <c r="AL35" s="59" t="s">
        <v>84</v>
      </c>
      <c r="AM35" s="337">
        <f>AE22+AE42</f>
        <v>0</v>
      </c>
      <c r="AN35" s="337">
        <f t="shared" ref="AN35:AQ46" si="25">AF22+AF42</f>
        <v>12</v>
      </c>
      <c r="AO35" s="337">
        <f t="shared" si="25"/>
        <v>5</v>
      </c>
      <c r="AP35" s="337">
        <f t="shared" si="25"/>
        <v>2</v>
      </c>
      <c r="AQ35" s="337">
        <f t="shared" si="25"/>
        <v>0</v>
      </c>
      <c r="AR35" s="338">
        <f>SUM(AM35:AQ35)</f>
        <v>19</v>
      </c>
    </row>
    <row r="36" spans="1:44" ht="13.5" thickBot="1">
      <c r="A36" s="562" t="s">
        <v>374</v>
      </c>
      <c r="B36" s="84" t="s">
        <v>378</v>
      </c>
      <c r="C36" s="83" t="s">
        <v>377</v>
      </c>
      <c r="D36" s="82">
        <v>839.23</v>
      </c>
      <c r="E36" s="243">
        <f t="shared" si="5"/>
        <v>150</v>
      </c>
      <c r="F36" s="82">
        <v>213.84829999999999</v>
      </c>
      <c r="G36" s="82">
        <v>2.5</v>
      </c>
      <c r="H36" s="82">
        <f t="shared" si="6"/>
        <v>534.62075000000004</v>
      </c>
      <c r="I36" s="81">
        <f t="shared" si="7"/>
        <v>5</v>
      </c>
      <c r="J36" s="270">
        <f t="shared" si="18"/>
        <v>750</v>
      </c>
      <c r="K36" s="81">
        <f t="shared" si="24"/>
        <v>215.37924999999996</v>
      </c>
      <c r="L36" s="82">
        <f t="shared" si="8"/>
        <v>71.282766666666674</v>
      </c>
      <c r="M36" s="98" t="s">
        <v>376</v>
      </c>
      <c r="N36" s="80">
        <v>844.89</v>
      </c>
      <c r="O36" s="168">
        <f t="shared" si="9"/>
        <v>150</v>
      </c>
      <c r="P36" s="80">
        <f t="shared" si="22"/>
        <v>213.84829999999999</v>
      </c>
      <c r="Q36" s="79">
        <v>2.5</v>
      </c>
      <c r="R36" s="251">
        <f t="shared" si="11"/>
        <v>534.62075000000004</v>
      </c>
      <c r="S36" s="80">
        <f t="shared" si="19"/>
        <v>750</v>
      </c>
      <c r="T36" s="191">
        <f t="shared" si="20"/>
        <v>215.37924999999996</v>
      </c>
      <c r="U36" s="204" t="str">
        <f t="shared" si="21"/>
        <v>No</v>
      </c>
      <c r="V36" s="192"/>
      <c r="W36" s="75"/>
      <c r="Y36" s="157" t="s">
        <v>19</v>
      </c>
      <c r="Z36" s="156">
        <v>54</v>
      </c>
      <c r="AA36" s="97"/>
      <c r="AB36" s="20"/>
      <c r="AD36" s="290" t="s">
        <v>499</v>
      </c>
      <c r="AE36" s="347">
        <f>AE34*AM25</f>
        <v>1200</v>
      </c>
      <c r="AF36" s="347">
        <f>AF34*AM26</f>
        <v>3150</v>
      </c>
      <c r="AG36" s="347">
        <f>AG34*AM27</f>
        <v>3000</v>
      </c>
      <c r="AH36" s="347">
        <f>AH34*AM28</f>
        <v>0</v>
      </c>
      <c r="AI36" s="347">
        <f>AI34*AM29</f>
        <v>0</v>
      </c>
      <c r="AJ36" s="290">
        <f>SUM(AE36:AI36)</f>
        <v>7350</v>
      </c>
      <c r="AK36" s="329"/>
      <c r="AL36" s="59" t="s">
        <v>85</v>
      </c>
      <c r="AM36" s="337">
        <f t="shared" ref="AM36:AM46" si="26">AE23+AE43</f>
        <v>2</v>
      </c>
      <c r="AN36" s="337">
        <f t="shared" si="25"/>
        <v>21</v>
      </c>
      <c r="AO36" s="337">
        <f t="shared" si="25"/>
        <v>10</v>
      </c>
      <c r="AP36" s="337">
        <f t="shared" si="25"/>
        <v>0</v>
      </c>
      <c r="AQ36" s="337">
        <f t="shared" si="25"/>
        <v>7</v>
      </c>
      <c r="AR36" s="59">
        <f t="shared" ref="AR36:AR46" si="27">SUM(AM36:AQ36)</f>
        <v>40</v>
      </c>
    </row>
    <row r="37" spans="1:44" ht="14.25" customHeight="1" thickBot="1">
      <c r="A37" s="564"/>
      <c r="B37" s="94" t="s">
        <v>375</v>
      </c>
      <c r="C37" s="93" t="s">
        <v>374</v>
      </c>
      <c r="D37" s="92">
        <v>497.76499999999999</v>
      </c>
      <c r="E37" s="244">
        <f t="shared" si="5"/>
        <v>200</v>
      </c>
      <c r="F37" s="92">
        <v>1151.328</v>
      </c>
      <c r="G37" s="82">
        <v>2.5</v>
      </c>
      <c r="H37" s="72">
        <f t="shared" si="6"/>
        <v>2878.3199999999997</v>
      </c>
      <c r="I37" s="81">
        <f t="shared" si="7"/>
        <v>18</v>
      </c>
      <c r="J37" s="272">
        <f t="shared" si="18"/>
        <v>3600</v>
      </c>
      <c r="K37" s="81">
        <f t="shared" si="24"/>
        <v>721.68000000000029</v>
      </c>
      <c r="L37" s="82">
        <f t="shared" si="8"/>
        <v>79.953333333333319</v>
      </c>
      <c r="M37" s="88" t="s">
        <v>373</v>
      </c>
      <c r="N37" s="90">
        <v>503.42500000000001</v>
      </c>
      <c r="O37" s="168">
        <f t="shared" si="9"/>
        <v>200</v>
      </c>
      <c r="P37" s="80">
        <f t="shared" si="22"/>
        <v>1151.328</v>
      </c>
      <c r="Q37" s="79">
        <v>2.5</v>
      </c>
      <c r="R37" s="253">
        <f t="shared" si="11"/>
        <v>2878.3199999999997</v>
      </c>
      <c r="S37" s="80">
        <f t="shared" si="19"/>
        <v>3600</v>
      </c>
      <c r="T37" s="191">
        <f t="shared" si="20"/>
        <v>721.68000000000029</v>
      </c>
      <c r="U37" s="204" t="str">
        <f t="shared" si="21"/>
        <v>No</v>
      </c>
      <c r="V37" s="190"/>
      <c r="W37" s="65"/>
      <c r="Y37" s="233" t="s">
        <v>28</v>
      </c>
      <c r="Z37" s="232">
        <v>524</v>
      </c>
      <c r="AA37" s="86"/>
      <c r="AL37" s="59" t="s">
        <v>86</v>
      </c>
      <c r="AM37" s="337">
        <f t="shared" si="26"/>
        <v>1</v>
      </c>
      <c r="AN37" s="337">
        <f t="shared" si="25"/>
        <v>1</v>
      </c>
      <c r="AO37" s="337">
        <f t="shared" si="25"/>
        <v>6</v>
      </c>
      <c r="AP37" s="337">
        <f t="shared" si="25"/>
        <v>0</v>
      </c>
      <c r="AQ37" s="337">
        <f t="shared" si="25"/>
        <v>4</v>
      </c>
      <c r="AR37" s="59">
        <f t="shared" si="27"/>
        <v>12</v>
      </c>
    </row>
    <row r="38" spans="1:44" ht="13.5" thickBot="1">
      <c r="A38" s="109" t="s">
        <v>371</v>
      </c>
      <c r="B38" s="84" t="s">
        <v>372</v>
      </c>
      <c r="C38" s="83" t="s">
        <v>371</v>
      </c>
      <c r="D38" s="82">
        <v>285.27999999999997</v>
      </c>
      <c r="E38" s="92">
        <f t="shared" si="5"/>
        <v>250</v>
      </c>
      <c r="F38" s="82">
        <v>779.52329999999995</v>
      </c>
      <c r="G38" s="82">
        <v>2.5</v>
      </c>
      <c r="H38" s="92">
        <f t="shared" si="6"/>
        <v>1948.8082499999998</v>
      </c>
      <c r="I38" s="81">
        <f t="shared" si="7"/>
        <v>10</v>
      </c>
      <c r="J38" s="242">
        <f t="shared" si="18"/>
        <v>2500</v>
      </c>
      <c r="K38" s="81">
        <f t="shared" si="24"/>
        <v>551.19175000000018</v>
      </c>
      <c r="L38" s="82">
        <f t="shared" si="8"/>
        <v>77.952329999999989</v>
      </c>
      <c r="M38" s="80" t="s">
        <v>370</v>
      </c>
      <c r="N38" s="80">
        <v>539.80499999999995</v>
      </c>
      <c r="O38" s="168">
        <f t="shared" si="9"/>
        <v>150</v>
      </c>
      <c r="P38" s="80">
        <f t="shared" si="22"/>
        <v>779.52329999999995</v>
      </c>
      <c r="Q38" s="79">
        <v>2.5</v>
      </c>
      <c r="R38" s="89">
        <f t="shared" si="11"/>
        <v>1948.8082499999998</v>
      </c>
      <c r="S38" s="80">
        <f t="shared" si="19"/>
        <v>1500</v>
      </c>
      <c r="T38" s="191">
        <f t="shared" si="20"/>
        <v>-448.80824999999982</v>
      </c>
      <c r="U38" s="204" t="str">
        <f t="shared" si="21"/>
        <v>Yes</v>
      </c>
      <c r="V38" s="206" t="s">
        <v>459</v>
      </c>
      <c r="W38" s="205" t="s">
        <v>472</v>
      </c>
      <c r="Y38" s="5" t="s">
        <v>30</v>
      </c>
      <c r="Z38" s="5">
        <v>347</v>
      </c>
      <c r="AL38" s="59" t="s">
        <v>87</v>
      </c>
      <c r="AM38" s="337">
        <f t="shared" si="26"/>
        <v>3</v>
      </c>
      <c r="AN38" s="337">
        <f t="shared" si="25"/>
        <v>35</v>
      </c>
      <c r="AO38" s="337">
        <f t="shared" si="25"/>
        <v>44</v>
      </c>
      <c r="AP38" s="337">
        <f t="shared" si="25"/>
        <v>25</v>
      </c>
      <c r="AQ38" s="337">
        <f t="shared" si="25"/>
        <v>0</v>
      </c>
      <c r="AR38" s="59">
        <f t="shared" si="27"/>
        <v>107</v>
      </c>
    </row>
    <row r="39" spans="1:44" ht="13.5" thickBot="1">
      <c r="A39" s="562" t="s">
        <v>60</v>
      </c>
      <c r="B39" s="84" t="s">
        <v>368</v>
      </c>
      <c r="C39" s="83" t="s">
        <v>367</v>
      </c>
      <c r="D39" s="82">
        <v>239.47</v>
      </c>
      <c r="E39" s="243">
        <f t="shared" si="5"/>
        <v>250</v>
      </c>
      <c r="F39" s="82">
        <v>886.15449999999998</v>
      </c>
      <c r="G39" s="82">
        <v>2.5</v>
      </c>
      <c r="H39" s="82">
        <f t="shared" si="6"/>
        <v>2215.38625</v>
      </c>
      <c r="I39" s="81">
        <f t="shared" si="7"/>
        <v>11</v>
      </c>
      <c r="J39" s="270">
        <f t="shared" si="18"/>
        <v>2750</v>
      </c>
      <c r="K39" s="81">
        <f t="shared" si="24"/>
        <v>534.61374999999998</v>
      </c>
      <c r="L39" s="82">
        <f t="shared" si="8"/>
        <v>80.5595</v>
      </c>
      <c r="M39" s="98" t="s">
        <v>366</v>
      </c>
      <c r="N39" s="80">
        <v>585.61500000000001</v>
      </c>
      <c r="O39" s="168">
        <f t="shared" si="9"/>
        <v>150</v>
      </c>
      <c r="P39" s="80">
        <f t="shared" si="22"/>
        <v>886.15449999999998</v>
      </c>
      <c r="Q39" s="79">
        <v>2.5</v>
      </c>
      <c r="R39" s="251">
        <f t="shared" si="11"/>
        <v>2215.38625</v>
      </c>
      <c r="S39" s="80">
        <f t="shared" si="19"/>
        <v>1650</v>
      </c>
      <c r="T39" s="191">
        <f t="shared" si="20"/>
        <v>-565.38625000000002</v>
      </c>
      <c r="U39" s="204" t="str">
        <f t="shared" si="21"/>
        <v>Yes</v>
      </c>
      <c r="V39" s="203" t="s">
        <v>451</v>
      </c>
      <c r="W39" s="202" t="s">
        <v>473</v>
      </c>
      <c r="Y39" s="120" t="s">
        <v>369</v>
      </c>
      <c r="Z39" s="236">
        <f ca="1">SUM(Z22:Z41)</f>
        <v>6008</v>
      </c>
      <c r="AL39" s="59" t="s">
        <v>88</v>
      </c>
      <c r="AM39" s="337">
        <f t="shared" si="26"/>
        <v>2</v>
      </c>
      <c r="AN39" s="337">
        <f t="shared" si="25"/>
        <v>2</v>
      </c>
      <c r="AO39" s="337">
        <f t="shared" si="25"/>
        <v>21</v>
      </c>
      <c r="AP39" s="337">
        <f t="shared" si="25"/>
        <v>1</v>
      </c>
      <c r="AQ39" s="337">
        <f t="shared" si="25"/>
        <v>0</v>
      </c>
      <c r="AR39" s="59">
        <f t="shared" si="27"/>
        <v>26</v>
      </c>
    </row>
    <row r="40" spans="1:44" ht="14.25" customHeight="1" thickBot="1">
      <c r="A40" s="563"/>
      <c r="B40" s="74" t="s">
        <v>364</v>
      </c>
      <c r="C40" s="73" t="s">
        <v>61</v>
      </c>
      <c r="D40" s="72">
        <v>381.34</v>
      </c>
      <c r="E40" s="245">
        <f t="shared" si="5"/>
        <v>200</v>
      </c>
      <c r="F40" s="72">
        <v>233.80699999999999</v>
      </c>
      <c r="G40" s="82">
        <v>2.5</v>
      </c>
      <c r="H40" s="92">
        <f t="shared" si="6"/>
        <v>584.51749999999993</v>
      </c>
      <c r="I40" s="81">
        <f t="shared" si="7"/>
        <v>4</v>
      </c>
      <c r="J40" s="274">
        <f t="shared" si="18"/>
        <v>800</v>
      </c>
      <c r="K40" s="81">
        <f t="shared" si="24"/>
        <v>215.48250000000007</v>
      </c>
      <c r="L40" s="82">
        <f t="shared" si="8"/>
        <v>73.064687499999991</v>
      </c>
      <c r="M40" s="69" t="s">
        <v>328</v>
      </c>
      <c r="N40" s="70">
        <v>673.16499999999996</v>
      </c>
      <c r="O40" s="168">
        <f t="shared" si="9"/>
        <v>150</v>
      </c>
      <c r="P40" s="80">
        <f t="shared" si="22"/>
        <v>233.80699999999999</v>
      </c>
      <c r="Q40" s="79">
        <v>2.5</v>
      </c>
      <c r="R40" s="252">
        <f t="shared" si="11"/>
        <v>584.51749999999993</v>
      </c>
      <c r="S40" s="80">
        <f t="shared" si="19"/>
        <v>600</v>
      </c>
      <c r="T40" s="191">
        <f t="shared" si="20"/>
        <v>15.482500000000073</v>
      </c>
      <c r="U40" s="204" t="str">
        <f t="shared" si="21"/>
        <v>No</v>
      </c>
      <c r="V40" s="201" t="s">
        <v>474</v>
      </c>
      <c r="W40" s="200" t="s">
        <v>475</v>
      </c>
      <c r="Y40" s="17" t="s">
        <v>365</v>
      </c>
      <c r="Z40" s="17">
        <f ca="1">Z39/J57</f>
        <v>0.13018418201516793</v>
      </c>
      <c r="AD40" s="557" t="s">
        <v>580</v>
      </c>
      <c r="AE40" s="558"/>
      <c r="AF40" s="558"/>
      <c r="AG40" s="558"/>
      <c r="AH40" s="558"/>
      <c r="AI40" s="559"/>
      <c r="AJ40" s="154"/>
      <c r="AL40" s="59" t="s">
        <v>89</v>
      </c>
      <c r="AM40" s="337">
        <f t="shared" si="26"/>
        <v>0</v>
      </c>
      <c r="AN40" s="337">
        <f t="shared" si="25"/>
        <v>21</v>
      </c>
      <c r="AO40" s="337">
        <f t="shared" si="25"/>
        <v>3</v>
      </c>
      <c r="AP40" s="337">
        <f t="shared" si="25"/>
        <v>1</v>
      </c>
      <c r="AQ40" s="337">
        <f t="shared" si="25"/>
        <v>0</v>
      </c>
      <c r="AR40" s="59">
        <f t="shared" si="27"/>
        <v>25</v>
      </c>
    </row>
    <row r="41" spans="1:44" ht="15" customHeight="1" thickBot="1">
      <c r="A41" s="564" t="s">
        <v>363</v>
      </c>
      <c r="B41" s="62" t="s">
        <v>362</v>
      </c>
      <c r="C41" s="111" t="s">
        <v>74</v>
      </c>
      <c r="D41" s="92">
        <v>632.29499999999996</v>
      </c>
      <c r="E41" s="243">
        <f t="shared" si="5"/>
        <v>150</v>
      </c>
      <c r="F41" s="92">
        <v>416.14780000000002</v>
      </c>
      <c r="G41" s="82">
        <v>2.5</v>
      </c>
      <c r="H41" s="82">
        <f t="shared" si="6"/>
        <v>1040.3695</v>
      </c>
      <c r="I41" s="81">
        <f t="shared" si="7"/>
        <v>9</v>
      </c>
      <c r="J41" s="270">
        <f t="shared" si="18"/>
        <v>1350</v>
      </c>
      <c r="K41" s="81">
        <f t="shared" si="24"/>
        <v>309.63049999999998</v>
      </c>
      <c r="L41" s="82">
        <f t="shared" si="8"/>
        <v>77.064407407407415</v>
      </c>
      <c r="M41" s="88" t="s">
        <v>361</v>
      </c>
      <c r="N41" s="90">
        <v>692.19500000000005</v>
      </c>
      <c r="O41" s="168">
        <f t="shared" si="9"/>
        <v>150</v>
      </c>
      <c r="P41" s="80">
        <f t="shared" si="22"/>
        <v>416.14780000000002</v>
      </c>
      <c r="Q41" s="79">
        <v>2.5</v>
      </c>
      <c r="R41" s="251">
        <f t="shared" si="11"/>
        <v>1040.3695</v>
      </c>
      <c r="S41" s="80">
        <f t="shared" si="19"/>
        <v>1350</v>
      </c>
      <c r="T41" s="191">
        <f t="shared" si="20"/>
        <v>309.63049999999998</v>
      </c>
      <c r="U41" s="204" t="str">
        <f t="shared" si="21"/>
        <v>No</v>
      </c>
      <c r="V41" s="620" t="s">
        <v>351</v>
      </c>
      <c r="W41" s="615"/>
      <c r="AD41" s="331" t="s">
        <v>491</v>
      </c>
      <c r="AE41" s="333" t="s">
        <v>493</v>
      </c>
      <c r="AF41" s="333" t="s">
        <v>494</v>
      </c>
      <c r="AG41" s="333" t="s">
        <v>495</v>
      </c>
      <c r="AH41" s="333" t="s">
        <v>496</v>
      </c>
      <c r="AI41" s="334" t="s">
        <v>562</v>
      </c>
      <c r="AJ41" s="290" t="s">
        <v>415</v>
      </c>
      <c r="AL41" s="59" t="s">
        <v>90</v>
      </c>
      <c r="AM41" s="337">
        <f t="shared" si="26"/>
        <v>0</v>
      </c>
      <c r="AN41" s="337">
        <f t="shared" si="25"/>
        <v>1</v>
      </c>
      <c r="AO41" s="337">
        <f t="shared" si="25"/>
        <v>1</v>
      </c>
      <c r="AP41" s="337">
        <f t="shared" si="25"/>
        <v>4</v>
      </c>
      <c r="AQ41" s="337">
        <f t="shared" si="25"/>
        <v>3</v>
      </c>
      <c r="AR41" s="59">
        <f t="shared" si="27"/>
        <v>9</v>
      </c>
    </row>
    <row r="42" spans="1:44" ht="14.25" customHeight="1" thickBot="1">
      <c r="A42" s="564"/>
      <c r="B42" s="94" t="s">
        <v>360</v>
      </c>
      <c r="C42" s="93" t="s">
        <v>55</v>
      </c>
      <c r="D42" s="105">
        <v>566.26</v>
      </c>
      <c r="E42" s="245">
        <f t="shared" si="5"/>
        <v>150</v>
      </c>
      <c r="F42" s="105">
        <v>424.66829999999999</v>
      </c>
      <c r="G42" s="82">
        <v>2.5</v>
      </c>
      <c r="H42" s="92">
        <f t="shared" si="6"/>
        <v>1061.67075</v>
      </c>
      <c r="I42" s="81">
        <f t="shared" si="7"/>
        <v>9</v>
      </c>
      <c r="J42" s="274">
        <f t="shared" si="18"/>
        <v>1350</v>
      </c>
      <c r="K42" s="81">
        <f t="shared" si="24"/>
        <v>288.32925</v>
      </c>
      <c r="L42" s="82">
        <f t="shared" si="8"/>
        <v>78.642277777777778</v>
      </c>
      <c r="M42" s="99" t="s">
        <v>359</v>
      </c>
      <c r="N42" s="104">
        <v>1033.6600000000001</v>
      </c>
      <c r="O42" s="168">
        <f t="shared" si="9"/>
        <v>150</v>
      </c>
      <c r="P42" s="80">
        <f t="shared" si="22"/>
        <v>424.66829999999999</v>
      </c>
      <c r="Q42" s="79">
        <v>2.5</v>
      </c>
      <c r="R42" s="252">
        <f t="shared" si="11"/>
        <v>1061.67075</v>
      </c>
      <c r="S42" s="80">
        <f t="shared" si="19"/>
        <v>1350</v>
      </c>
      <c r="T42" s="191">
        <f t="shared" si="20"/>
        <v>288.32925</v>
      </c>
      <c r="U42" s="204" t="str">
        <f t="shared" si="21"/>
        <v>No</v>
      </c>
      <c r="V42" s="621"/>
      <c r="W42" s="617"/>
      <c r="AD42" s="59" t="s">
        <v>84</v>
      </c>
      <c r="AE42" s="337">
        <v>0</v>
      </c>
      <c r="AF42" s="337">
        <f>12</f>
        <v>12</v>
      </c>
      <c r="AG42" s="487">
        <f>2+2</f>
        <v>4</v>
      </c>
      <c r="AH42" s="487">
        <f>2</f>
        <v>2</v>
      </c>
      <c r="AI42" s="337">
        <v>0</v>
      </c>
      <c r="AJ42" s="338">
        <f>SUM(AE42:AI42)</f>
        <v>18</v>
      </c>
      <c r="AL42" s="59" t="s">
        <v>91</v>
      </c>
      <c r="AM42" s="337">
        <f t="shared" si="26"/>
        <v>1</v>
      </c>
      <c r="AN42" s="337">
        <f t="shared" si="25"/>
        <v>28</v>
      </c>
      <c r="AO42" s="337">
        <f t="shared" si="25"/>
        <v>6</v>
      </c>
      <c r="AP42" s="337">
        <f t="shared" si="25"/>
        <v>2</v>
      </c>
      <c r="AQ42" s="337">
        <f t="shared" si="25"/>
        <v>0</v>
      </c>
      <c r="AR42" s="59">
        <f t="shared" si="27"/>
        <v>37</v>
      </c>
    </row>
    <row r="43" spans="1:44" ht="14.25" customHeight="1" thickBot="1">
      <c r="A43" s="564"/>
      <c r="B43" s="94" t="s">
        <v>358</v>
      </c>
      <c r="C43" s="93" t="s">
        <v>62</v>
      </c>
      <c r="D43" s="92">
        <v>174.54</v>
      </c>
      <c r="E43" s="244">
        <f t="shared" si="5"/>
        <v>250</v>
      </c>
      <c r="F43" s="92">
        <v>80.336669999999998</v>
      </c>
      <c r="G43" s="82">
        <v>2.5</v>
      </c>
      <c r="H43" s="72">
        <f t="shared" si="6"/>
        <v>200.84167500000001</v>
      </c>
      <c r="I43" s="81">
        <f t="shared" si="7"/>
        <v>1</v>
      </c>
      <c r="J43" s="272">
        <f t="shared" si="18"/>
        <v>250</v>
      </c>
      <c r="K43" s="81">
        <f t="shared" si="24"/>
        <v>49.158324999999991</v>
      </c>
      <c r="L43" s="82">
        <f t="shared" si="8"/>
        <v>80.336669999999998</v>
      </c>
      <c r="M43" s="88" t="s">
        <v>357</v>
      </c>
      <c r="N43" s="90">
        <v>811.21</v>
      </c>
      <c r="O43" s="168">
        <f t="shared" si="9"/>
        <v>150</v>
      </c>
      <c r="P43" s="80">
        <f t="shared" si="22"/>
        <v>80.336669999999998</v>
      </c>
      <c r="Q43" s="79">
        <v>2.5</v>
      </c>
      <c r="R43" s="253">
        <f t="shared" si="11"/>
        <v>200.84167500000001</v>
      </c>
      <c r="S43" s="80">
        <f t="shared" si="19"/>
        <v>150</v>
      </c>
      <c r="T43" s="191">
        <f t="shared" si="20"/>
        <v>-50.841675000000009</v>
      </c>
      <c r="U43" s="204" t="str">
        <f t="shared" si="21"/>
        <v>Yes</v>
      </c>
      <c r="V43" s="622"/>
      <c r="W43" s="619"/>
      <c r="AD43" s="59" t="s">
        <v>85</v>
      </c>
      <c r="AE43" s="337">
        <v>0</v>
      </c>
      <c r="AF43" s="337">
        <f>9+4+5</f>
        <v>18</v>
      </c>
      <c r="AG43" s="337">
        <f>7+3</f>
        <v>10</v>
      </c>
      <c r="AH43" s="337">
        <v>0</v>
      </c>
      <c r="AI43" s="337">
        <f>4+3</f>
        <v>7</v>
      </c>
      <c r="AJ43" s="59">
        <f t="shared" ref="AJ43:AJ53" si="28">SUM(AE43:AI43)</f>
        <v>35</v>
      </c>
      <c r="AL43" s="59" t="s">
        <v>92</v>
      </c>
      <c r="AM43" s="337">
        <f t="shared" si="26"/>
        <v>0</v>
      </c>
      <c r="AN43" s="337">
        <f t="shared" si="25"/>
        <v>10</v>
      </c>
      <c r="AO43" s="337">
        <f t="shared" si="25"/>
        <v>22</v>
      </c>
      <c r="AP43" s="337">
        <f t="shared" si="25"/>
        <v>0</v>
      </c>
      <c r="AQ43" s="337">
        <f t="shared" si="25"/>
        <v>0</v>
      </c>
      <c r="AR43" s="59">
        <f t="shared" si="27"/>
        <v>32</v>
      </c>
    </row>
    <row r="44" spans="1:44" ht="13.5" thickBot="1">
      <c r="A44" s="109" t="s">
        <v>355</v>
      </c>
      <c r="B44" s="84" t="s">
        <v>356</v>
      </c>
      <c r="C44" s="83" t="s">
        <v>355</v>
      </c>
      <c r="D44" s="82">
        <v>517.28</v>
      </c>
      <c r="E44" s="92">
        <f t="shared" si="5"/>
        <v>200</v>
      </c>
      <c r="F44" s="82">
        <v>67.241829999999993</v>
      </c>
      <c r="G44" s="82">
        <v>2.5</v>
      </c>
      <c r="H44" s="92">
        <f t="shared" si="6"/>
        <v>168.10457499999998</v>
      </c>
      <c r="I44" s="81">
        <f t="shared" si="7"/>
        <v>2</v>
      </c>
      <c r="J44" s="242">
        <f t="shared" si="18"/>
        <v>400</v>
      </c>
      <c r="K44" s="81">
        <f t="shared" si="24"/>
        <v>231.89542500000002</v>
      </c>
      <c r="L44" s="82">
        <f t="shared" si="8"/>
        <v>42.026143749999996</v>
      </c>
      <c r="M44" s="80" t="s">
        <v>354</v>
      </c>
      <c r="N44" s="80">
        <v>607.995</v>
      </c>
      <c r="O44" s="168">
        <f t="shared" si="9"/>
        <v>150</v>
      </c>
      <c r="P44" s="80">
        <f t="shared" si="22"/>
        <v>67.241829999999993</v>
      </c>
      <c r="Q44" s="79">
        <v>2.5</v>
      </c>
      <c r="R44" s="89">
        <f t="shared" si="11"/>
        <v>168.10457499999998</v>
      </c>
      <c r="S44" s="80">
        <f t="shared" si="19"/>
        <v>300</v>
      </c>
      <c r="T44" s="191">
        <f t="shared" si="20"/>
        <v>131.89542500000002</v>
      </c>
      <c r="U44" s="204" t="str">
        <f t="shared" si="21"/>
        <v>No</v>
      </c>
      <c r="V44" s="199"/>
      <c r="W44" s="198"/>
      <c r="AD44" s="59" t="s">
        <v>86</v>
      </c>
      <c r="AE44" s="337">
        <v>0</v>
      </c>
      <c r="AF44" s="337">
        <v>0</v>
      </c>
      <c r="AG44" s="335">
        <f>5+1</f>
        <v>6</v>
      </c>
      <c r="AH44" s="337">
        <v>0</v>
      </c>
      <c r="AI44" s="337">
        <f>4</f>
        <v>4</v>
      </c>
      <c r="AJ44" s="59">
        <f t="shared" si="28"/>
        <v>10</v>
      </c>
      <c r="AL44" s="59" t="s">
        <v>93</v>
      </c>
      <c r="AM44" s="337">
        <f t="shared" si="26"/>
        <v>1</v>
      </c>
      <c r="AN44" s="337">
        <f t="shared" si="25"/>
        <v>1</v>
      </c>
      <c r="AO44" s="337">
        <f t="shared" si="25"/>
        <v>8</v>
      </c>
      <c r="AP44" s="337">
        <f t="shared" si="25"/>
        <v>10</v>
      </c>
      <c r="AQ44" s="337">
        <f t="shared" si="25"/>
        <v>0</v>
      </c>
      <c r="AR44" s="59">
        <f t="shared" si="27"/>
        <v>20</v>
      </c>
    </row>
    <row r="45" spans="1:44" ht="13.5" thickBot="1">
      <c r="A45" s="562" t="s">
        <v>349</v>
      </c>
      <c r="B45" s="84" t="s">
        <v>353</v>
      </c>
      <c r="C45" s="83" t="s">
        <v>342</v>
      </c>
      <c r="D45" s="82">
        <v>592.98500000000001</v>
      </c>
      <c r="E45" s="243">
        <f t="shared" si="5"/>
        <v>150</v>
      </c>
      <c r="F45" s="82">
        <v>175.91919999999999</v>
      </c>
      <c r="G45" s="82">
        <v>2.5</v>
      </c>
      <c r="H45" s="82">
        <f t="shared" si="6"/>
        <v>439.798</v>
      </c>
      <c r="I45" s="81">
        <f t="shared" si="7"/>
        <v>4</v>
      </c>
      <c r="J45" s="270">
        <f t="shared" si="18"/>
        <v>600</v>
      </c>
      <c r="K45" s="81">
        <f t="shared" si="24"/>
        <v>160.202</v>
      </c>
      <c r="L45" s="82">
        <f t="shared" si="8"/>
        <v>73.299666666666667</v>
      </c>
      <c r="M45" s="98" t="s">
        <v>352</v>
      </c>
      <c r="N45" s="80">
        <v>1051.23</v>
      </c>
      <c r="O45" s="168">
        <f t="shared" si="9"/>
        <v>150</v>
      </c>
      <c r="P45" s="80">
        <f t="shared" si="22"/>
        <v>175.91919999999999</v>
      </c>
      <c r="Q45" s="79">
        <v>2.5</v>
      </c>
      <c r="R45" s="251">
        <f t="shared" si="11"/>
        <v>439.798</v>
      </c>
      <c r="S45" s="80">
        <f t="shared" si="19"/>
        <v>600</v>
      </c>
      <c r="T45" s="191">
        <f t="shared" si="20"/>
        <v>160.202</v>
      </c>
      <c r="U45" s="204" t="str">
        <f t="shared" si="21"/>
        <v>No</v>
      </c>
      <c r="V45" s="197"/>
      <c r="W45" s="103"/>
      <c r="AD45" s="59" t="s">
        <v>87</v>
      </c>
      <c r="AE45" s="337">
        <v>0</v>
      </c>
      <c r="AF45" s="488">
        <f>12+9+10</f>
        <v>31</v>
      </c>
      <c r="AG45" s="337">
        <f>7+5+10+18+4</f>
        <v>44</v>
      </c>
      <c r="AH45" s="337">
        <f>4+10+11</f>
        <v>25</v>
      </c>
      <c r="AI45" s="337">
        <v>0</v>
      </c>
      <c r="AJ45" s="59">
        <f t="shared" si="28"/>
        <v>100</v>
      </c>
      <c r="AL45" s="59" t="s">
        <v>94</v>
      </c>
      <c r="AM45" s="337">
        <f t="shared" si="26"/>
        <v>2</v>
      </c>
      <c r="AN45" s="337">
        <f t="shared" si="25"/>
        <v>6</v>
      </c>
      <c r="AO45" s="337">
        <f t="shared" si="25"/>
        <v>7</v>
      </c>
      <c r="AP45" s="337">
        <f t="shared" si="25"/>
        <v>11</v>
      </c>
      <c r="AQ45" s="337">
        <f t="shared" si="25"/>
        <v>0</v>
      </c>
      <c r="AR45" s="59">
        <f t="shared" si="27"/>
        <v>26</v>
      </c>
    </row>
    <row r="46" spans="1:44" ht="14.25" customHeight="1" thickBot="1">
      <c r="A46" s="564"/>
      <c r="B46" s="94" t="s">
        <v>350</v>
      </c>
      <c r="C46" s="93" t="s">
        <v>349</v>
      </c>
      <c r="D46" s="105">
        <v>374.84</v>
      </c>
      <c r="E46" s="245">
        <f t="shared" si="5"/>
        <v>200</v>
      </c>
      <c r="F46" s="105">
        <v>115.1143</v>
      </c>
      <c r="G46" s="82">
        <v>2.5</v>
      </c>
      <c r="H46" s="92">
        <f t="shared" si="6"/>
        <v>287.78575000000001</v>
      </c>
      <c r="I46" s="81">
        <f t="shared" si="7"/>
        <v>2</v>
      </c>
      <c r="J46" s="274">
        <f t="shared" si="18"/>
        <v>400</v>
      </c>
      <c r="K46" s="81">
        <f t="shared" si="24"/>
        <v>112.21424999999999</v>
      </c>
      <c r="L46" s="82">
        <f t="shared" si="8"/>
        <v>71.946437500000002</v>
      </c>
      <c r="M46" s="99" t="s">
        <v>348</v>
      </c>
      <c r="N46" s="104">
        <v>838.745</v>
      </c>
      <c r="O46" s="168">
        <f t="shared" si="9"/>
        <v>150</v>
      </c>
      <c r="P46" s="80">
        <f t="shared" si="22"/>
        <v>115.1143</v>
      </c>
      <c r="Q46" s="79">
        <v>2.5</v>
      </c>
      <c r="R46" s="252">
        <f t="shared" si="11"/>
        <v>287.78575000000001</v>
      </c>
      <c r="S46" s="80">
        <f t="shared" si="19"/>
        <v>300</v>
      </c>
      <c r="T46" s="191">
        <f t="shared" si="20"/>
        <v>12.214249999999993</v>
      </c>
      <c r="U46" s="204" t="str">
        <f t="shared" si="21"/>
        <v>No</v>
      </c>
      <c r="V46" s="196"/>
      <c r="W46" s="193"/>
      <c r="AD46" s="59" t="s">
        <v>88</v>
      </c>
      <c r="AE46" s="337">
        <v>0</v>
      </c>
      <c r="AF46" s="337">
        <v>0</v>
      </c>
      <c r="AG46" s="337">
        <f>2+3+1+10+1+2</f>
        <v>19</v>
      </c>
      <c r="AH46" s="337">
        <f>1</f>
        <v>1</v>
      </c>
      <c r="AI46" s="337">
        <v>0</v>
      </c>
      <c r="AJ46" s="59">
        <f t="shared" si="28"/>
        <v>20</v>
      </c>
      <c r="AL46" s="343" t="s">
        <v>492</v>
      </c>
      <c r="AM46" s="337">
        <f t="shared" si="26"/>
        <v>0</v>
      </c>
      <c r="AN46" s="337">
        <f t="shared" si="25"/>
        <v>1</v>
      </c>
      <c r="AO46" s="337">
        <f t="shared" si="25"/>
        <v>4</v>
      </c>
      <c r="AP46" s="337">
        <f t="shared" si="25"/>
        <v>0</v>
      </c>
      <c r="AQ46" s="337">
        <f t="shared" si="25"/>
        <v>0</v>
      </c>
      <c r="AR46" s="343">
        <f t="shared" si="27"/>
        <v>5</v>
      </c>
    </row>
    <row r="47" spans="1:44" ht="14.25" customHeight="1" thickBot="1">
      <c r="A47" s="564"/>
      <c r="B47" s="94" t="s">
        <v>347</v>
      </c>
      <c r="C47" s="93" t="s">
        <v>335</v>
      </c>
      <c r="D47" s="105">
        <v>675.17499999999995</v>
      </c>
      <c r="E47" s="245">
        <f t="shared" si="5"/>
        <v>150</v>
      </c>
      <c r="F47" s="105">
        <v>87.5685</v>
      </c>
      <c r="G47" s="82">
        <v>2.5</v>
      </c>
      <c r="H47" s="92">
        <f t="shared" si="6"/>
        <v>218.92124999999999</v>
      </c>
      <c r="I47" s="81">
        <f t="shared" si="7"/>
        <v>2</v>
      </c>
      <c r="J47" s="274">
        <f t="shared" si="18"/>
        <v>300</v>
      </c>
      <c r="K47" s="81">
        <f t="shared" si="24"/>
        <v>81.078750000000014</v>
      </c>
      <c r="L47" s="82">
        <f t="shared" si="8"/>
        <v>72.973749999999995</v>
      </c>
      <c r="M47" s="99" t="s">
        <v>346</v>
      </c>
      <c r="N47" s="104">
        <v>792.93499999999995</v>
      </c>
      <c r="O47" s="168">
        <f t="shared" si="9"/>
        <v>150</v>
      </c>
      <c r="P47" s="80">
        <f t="shared" si="22"/>
        <v>87.5685</v>
      </c>
      <c r="Q47" s="79">
        <v>2.5</v>
      </c>
      <c r="R47" s="252">
        <f t="shared" si="11"/>
        <v>218.92124999999999</v>
      </c>
      <c r="S47" s="80">
        <f t="shared" si="19"/>
        <v>300</v>
      </c>
      <c r="T47" s="191">
        <f t="shared" si="20"/>
        <v>81.078750000000014</v>
      </c>
      <c r="U47" s="204" t="str">
        <f t="shared" si="21"/>
        <v>No</v>
      </c>
      <c r="V47" s="196"/>
      <c r="W47" s="193"/>
      <c r="AD47" s="59" t="s">
        <v>89</v>
      </c>
      <c r="AE47" s="337">
        <v>0</v>
      </c>
      <c r="AF47" s="337">
        <f>9+9+3</f>
        <v>21</v>
      </c>
      <c r="AG47" s="337">
        <f>2</f>
        <v>2</v>
      </c>
      <c r="AH47" s="337">
        <f>1</f>
        <v>1</v>
      </c>
      <c r="AI47" s="337">
        <v>0</v>
      </c>
      <c r="AJ47" s="59">
        <f t="shared" si="28"/>
        <v>24</v>
      </c>
      <c r="AL47" s="290" t="s">
        <v>501</v>
      </c>
      <c r="AM47" s="345">
        <f t="shared" ref="AM47:AR47" si="29">SUM(AM35:AM46)</f>
        <v>12</v>
      </c>
      <c r="AN47" s="345">
        <f t="shared" si="29"/>
        <v>139</v>
      </c>
      <c r="AO47" s="345">
        <f t="shared" si="29"/>
        <v>137</v>
      </c>
      <c r="AP47" s="345">
        <f t="shared" si="29"/>
        <v>56</v>
      </c>
      <c r="AQ47" s="345">
        <f t="shared" si="29"/>
        <v>14</v>
      </c>
      <c r="AR47" s="346">
        <f t="shared" si="29"/>
        <v>358</v>
      </c>
    </row>
    <row r="48" spans="1:44" ht="14.25" customHeight="1" thickBot="1">
      <c r="A48" s="564"/>
      <c r="B48" s="94" t="s">
        <v>339</v>
      </c>
      <c r="C48" s="93" t="s">
        <v>338</v>
      </c>
      <c r="D48" s="92">
        <v>768.38499999999999</v>
      </c>
      <c r="E48" s="245">
        <f t="shared" si="5"/>
        <v>150</v>
      </c>
      <c r="F48" s="92">
        <v>46.164000000000001</v>
      </c>
      <c r="G48" s="82">
        <v>2.5</v>
      </c>
      <c r="H48" s="92">
        <f t="shared" si="6"/>
        <v>115.41</v>
      </c>
      <c r="I48" s="81">
        <f t="shared" si="7"/>
        <v>1</v>
      </c>
      <c r="J48" s="274">
        <f t="shared" si="18"/>
        <v>150</v>
      </c>
      <c r="K48" s="81">
        <f t="shared" si="24"/>
        <v>34.590000000000003</v>
      </c>
      <c r="L48" s="82">
        <f t="shared" si="8"/>
        <v>76.94</v>
      </c>
      <c r="M48" s="88" t="s">
        <v>345</v>
      </c>
      <c r="N48" s="90">
        <v>934.80499999999995</v>
      </c>
      <c r="O48" s="168">
        <f t="shared" si="9"/>
        <v>150</v>
      </c>
      <c r="P48" s="80">
        <f t="shared" si="22"/>
        <v>46.164000000000001</v>
      </c>
      <c r="Q48" s="79">
        <v>2.5</v>
      </c>
      <c r="R48" s="252">
        <f t="shared" si="11"/>
        <v>115.41</v>
      </c>
      <c r="S48" s="80">
        <f t="shared" si="19"/>
        <v>150</v>
      </c>
      <c r="T48" s="191">
        <f t="shared" si="20"/>
        <v>34.590000000000003</v>
      </c>
      <c r="U48" s="204" t="str">
        <f t="shared" si="21"/>
        <v>No</v>
      </c>
      <c r="V48" s="195"/>
      <c r="W48" s="102"/>
      <c r="AD48" s="59" t="s">
        <v>90</v>
      </c>
      <c r="AE48" s="337">
        <v>0</v>
      </c>
      <c r="AF48" s="335">
        <v>0</v>
      </c>
      <c r="AG48" s="335">
        <f>1</f>
        <v>1</v>
      </c>
      <c r="AH48" s="337">
        <f>4</f>
        <v>4</v>
      </c>
      <c r="AI48" s="337">
        <f>3</f>
        <v>3</v>
      </c>
      <c r="AJ48" s="59">
        <f t="shared" si="28"/>
        <v>8</v>
      </c>
      <c r="AL48" s="290" t="s">
        <v>500</v>
      </c>
      <c r="AM48" s="347">
        <f>PRODUCT(AM47*AN25)</f>
        <v>180</v>
      </c>
      <c r="AN48" s="489">
        <f>PRODUCT(AN47*AN26)</f>
        <v>2275.2770999999998</v>
      </c>
      <c r="AO48" s="489">
        <f>PRODUCT(AO47*AN27)</f>
        <v>2294.2979</v>
      </c>
      <c r="AP48" s="489">
        <f>PRODUCT(AP47*AN28)</f>
        <v>945.64960000000008</v>
      </c>
      <c r="AQ48" s="489">
        <f>PRODUCT(AQ47*AN29)</f>
        <v>238</v>
      </c>
      <c r="AR48" s="490">
        <f>SUM(AM48:AQ48)</f>
        <v>5933.2245999999996</v>
      </c>
    </row>
    <row r="49" spans="1:44" ht="13.5" thickBot="1">
      <c r="A49" s="562" t="s">
        <v>344</v>
      </c>
      <c r="B49" s="84" t="s">
        <v>343</v>
      </c>
      <c r="C49" s="83" t="s">
        <v>342</v>
      </c>
      <c r="D49" s="82">
        <v>592.98500000000001</v>
      </c>
      <c r="E49" s="243">
        <f t="shared" si="5"/>
        <v>150</v>
      </c>
      <c r="F49" s="82">
        <v>175.91919999999999</v>
      </c>
      <c r="G49" s="82">
        <v>2.5</v>
      </c>
      <c r="H49" s="82">
        <f t="shared" si="6"/>
        <v>439.798</v>
      </c>
      <c r="I49" s="81">
        <f t="shared" si="7"/>
        <v>4</v>
      </c>
      <c r="J49" s="270">
        <f t="shared" si="18"/>
        <v>600</v>
      </c>
      <c r="K49" s="81">
        <f t="shared" si="24"/>
        <v>160.202</v>
      </c>
      <c r="L49" s="82">
        <f t="shared" si="8"/>
        <v>73.299666666666667</v>
      </c>
      <c r="M49" s="98" t="s">
        <v>341</v>
      </c>
      <c r="N49" s="80">
        <v>992.44500000000005</v>
      </c>
      <c r="O49" s="168">
        <f t="shared" si="9"/>
        <v>150</v>
      </c>
      <c r="P49" s="80">
        <f t="shared" si="22"/>
        <v>175.91919999999999</v>
      </c>
      <c r="Q49" s="79">
        <v>2.5</v>
      </c>
      <c r="R49" s="251">
        <f t="shared" si="11"/>
        <v>439.798</v>
      </c>
      <c r="S49" s="80">
        <f t="shared" si="19"/>
        <v>600</v>
      </c>
      <c r="T49" s="191">
        <f t="shared" si="20"/>
        <v>160.202</v>
      </c>
      <c r="U49" s="204" t="str">
        <f t="shared" si="21"/>
        <v>No</v>
      </c>
      <c r="V49" s="189"/>
      <c r="W49" s="103"/>
      <c r="AD49" s="59" t="s">
        <v>91</v>
      </c>
      <c r="AE49" s="337">
        <v>0</v>
      </c>
      <c r="AF49" s="335">
        <f>4+10+3+4+2+1</f>
        <v>24</v>
      </c>
      <c r="AG49" s="337">
        <f>2+2</f>
        <v>4</v>
      </c>
      <c r="AH49" s="337">
        <f>2</f>
        <v>2</v>
      </c>
      <c r="AI49" s="337">
        <v>0</v>
      </c>
      <c r="AJ49" s="59">
        <f t="shared" si="28"/>
        <v>30</v>
      </c>
      <c r="AL49" s="290" t="s">
        <v>563</v>
      </c>
      <c r="AM49" s="347">
        <f>AM47*AM25</f>
        <v>1200</v>
      </c>
      <c r="AN49" s="347">
        <f>AN47*AM26</f>
        <v>20850</v>
      </c>
      <c r="AO49" s="347">
        <f>AO47*AM27</f>
        <v>27400</v>
      </c>
      <c r="AP49" s="347">
        <f>AP47*AM28</f>
        <v>14000</v>
      </c>
      <c r="AQ49" s="347">
        <f>AQ47*AM29</f>
        <v>4200</v>
      </c>
      <c r="AR49" s="290">
        <f>SUM(AM49:AQ49)</f>
        <v>67650</v>
      </c>
    </row>
    <row r="50" spans="1:44" ht="14.25" customHeight="1" thickBot="1">
      <c r="A50" s="564"/>
      <c r="B50" s="94" t="s">
        <v>339</v>
      </c>
      <c r="C50" s="93" t="s">
        <v>338</v>
      </c>
      <c r="D50" s="92">
        <v>768.38499999999999</v>
      </c>
      <c r="E50" s="245">
        <f t="shared" si="5"/>
        <v>150</v>
      </c>
      <c r="F50" s="92">
        <v>46.164000000000001</v>
      </c>
      <c r="G50" s="82">
        <v>2.5</v>
      </c>
      <c r="H50" s="92">
        <f t="shared" si="6"/>
        <v>115.41</v>
      </c>
      <c r="I50" s="81">
        <f t="shared" si="7"/>
        <v>1</v>
      </c>
      <c r="J50" s="274">
        <f t="shared" si="18"/>
        <v>150</v>
      </c>
      <c r="K50" s="81">
        <f t="shared" si="24"/>
        <v>34.590000000000003</v>
      </c>
      <c r="L50" s="82">
        <f t="shared" si="8"/>
        <v>76.94</v>
      </c>
      <c r="M50" s="88" t="s">
        <v>337</v>
      </c>
      <c r="N50" s="90">
        <v>817.04499999999996</v>
      </c>
      <c r="O50" s="168">
        <f t="shared" si="9"/>
        <v>150</v>
      </c>
      <c r="P50" s="80">
        <f t="shared" si="22"/>
        <v>46.164000000000001</v>
      </c>
      <c r="Q50" s="79">
        <v>2.5</v>
      </c>
      <c r="R50" s="252">
        <f t="shared" si="11"/>
        <v>115.41</v>
      </c>
      <c r="S50" s="80">
        <f t="shared" si="19"/>
        <v>150</v>
      </c>
      <c r="T50" s="191">
        <f t="shared" si="20"/>
        <v>34.590000000000003</v>
      </c>
      <c r="U50" s="204" t="str">
        <f t="shared" si="21"/>
        <v>No</v>
      </c>
      <c r="V50" s="194"/>
      <c r="W50" s="193"/>
      <c r="AD50" s="59" t="s">
        <v>92</v>
      </c>
      <c r="AE50" s="337">
        <v>0</v>
      </c>
      <c r="AF50" s="335">
        <f>5+4</f>
        <v>9</v>
      </c>
      <c r="AG50" s="337">
        <f>18+3</f>
        <v>21</v>
      </c>
      <c r="AH50" s="337">
        <v>0</v>
      </c>
      <c r="AI50" s="337">
        <v>0</v>
      </c>
      <c r="AJ50" s="59">
        <f t="shared" si="28"/>
        <v>30</v>
      </c>
      <c r="AM50" s="486"/>
      <c r="AN50" s="335"/>
      <c r="AO50" s="335"/>
      <c r="AP50" s="337"/>
      <c r="AQ50" s="337"/>
      <c r="AR50" s="337"/>
    </row>
    <row r="51" spans="1:44" ht="13.5" thickBot="1">
      <c r="A51" s="562" t="s">
        <v>340</v>
      </c>
      <c r="B51" s="84" t="s">
        <v>339</v>
      </c>
      <c r="C51" s="83" t="s">
        <v>338</v>
      </c>
      <c r="D51" s="82">
        <v>768.38499999999999</v>
      </c>
      <c r="E51" s="243">
        <f t="shared" si="5"/>
        <v>150</v>
      </c>
      <c r="F51" s="82">
        <v>46.164000000000001</v>
      </c>
      <c r="G51" s="82">
        <v>2.5</v>
      </c>
      <c r="H51" s="82">
        <f t="shared" si="6"/>
        <v>115.41</v>
      </c>
      <c r="I51" s="81">
        <f t="shared" si="7"/>
        <v>1</v>
      </c>
      <c r="J51" s="270">
        <f t="shared" si="18"/>
        <v>150</v>
      </c>
      <c r="K51" s="81">
        <f t="shared" si="24"/>
        <v>34.590000000000003</v>
      </c>
      <c r="L51" s="82">
        <f t="shared" si="8"/>
        <v>76.94</v>
      </c>
      <c r="M51" s="98" t="s">
        <v>337</v>
      </c>
      <c r="N51" s="80">
        <v>817.04499999999996</v>
      </c>
      <c r="O51" s="168">
        <f t="shared" si="9"/>
        <v>150</v>
      </c>
      <c r="P51" s="80">
        <f t="shared" si="22"/>
        <v>46.164000000000001</v>
      </c>
      <c r="Q51" s="79">
        <v>2.5</v>
      </c>
      <c r="R51" s="251">
        <f t="shared" si="11"/>
        <v>115.41</v>
      </c>
      <c r="S51" s="80">
        <f t="shared" si="19"/>
        <v>150</v>
      </c>
      <c r="T51" s="191">
        <f t="shared" si="20"/>
        <v>34.590000000000003</v>
      </c>
      <c r="U51" s="204" t="str">
        <f t="shared" si="21"/>
        <v>No</v>
      </c>
      <c r="V51" s="192"/>
      <c r="W51" s="75"/>
      <c r="AD51" s="59" t="s">
        <v>93</v>
      </c>
      <c r="AE51" s="337">
        <v>0</v>
      </c>
      <c r="AF51" s="335">
        <v>0</v>
      </c>
      <c r="AG51" s="337">
        <f>2+1</f>
        <v>3</v>
      </c>
      <c r="AH51" s="337">
        <f>10</f>
        <v>10</v>
      </c>
      <c r="AI51" s="337">
        <v>0</v>
      </c>
      <c r="AJ51" s="59">
        <f t="shared" si="28"/>
        <v>13</v>
      </c>
    </row>
    <row r="52" spans="1:44" ht="14.25" customHeight="1" thickBot="1">
      <c r="A52" s="564"/>
      <c r="B52" s="94" t="s">
        <v>30</v>
      </c>
      <c r="C52" s="93" t="s">
        <v>326</v>
      </c>
      <c r="D52" s="92">
        <v>317.27</v>
      </c>
      <c r="E52" s="245">
        <f t="shared" si="5"/>
        <v>200</v>
      </c>
      <c r="F52" s="92">
        <v>136.87530000000001</v>
      </c>
      <c r="G52" s="82">
        <v>2.5</v>
      </c>
      <c r="H52" s="92">
        <f t="shared" si="6"/>
        <v>342.18825000000004</v>
      </c>
      <c r="I52" s="81">
        <f t="shared" si="7"/>
        <v>3</v>
      </c>
      <c r="J52" s="274">
        <f t="shared" si="18"/>
        <v>600</v>
      </c>
      <c r="K52" s="81">
        <f t="shared" si="24"/>
        <v>257.81174999999996</v>
      </c>
      <c r="L52" s="82">
        <f t="shared" si="8"/>
        <v>57.031375000000004</v>
      </c>
      <c r="M52" s="88" t="s">
        <v>325</v>
      </c>
      <c r="N52" s="90">
        <v>518.48</v>
      </c>
      <c r="O52" s="168">
        <f t="shared" si="9"/>
        <v>200</v>
      </c>
      <c r="P52" s="80">
        <f t="shared" si="22"/>
        <v>136.87530000000001</v>
      </c>
      <c r="Q52" s="79">
        <v>2.5</v>
      </c>
      <c r="R52" s="252">
        <f t="shared" si="11"/>
        <v>342.18825000000004</v>
      </c>
      <c r="S52" s="80">
        <f t="shared" si="19"/>
        <v>600</v>
      </c>
      <c r="T52" s="191">
        <f t="shared" si="20"/>
        <v>257.81174999999996</v>
      </c>
      <c r="U52" s="204" t="str">
        <f t="shared" si="21"/>
        <v>No</v>
      </c>
      <c r="V52" s="190"/>
      <c r="W52" s="65"/>
      <c r="AD52" s="59" t="s">
        <v>94</v>
      </c>
      <c r="AE52" s="337">
        <v>0</v>
      </c>
      <c r="AF52" s="488">
        <f>2</f>
        <v>2</v>
      </c>
      <c r="AG52" s="337">
        <f>3+1</f>
        <v>4</v>
      </c>
      <c r="AH52" s="337">
        <f>11</f>
        <v>11</v>
      </c>
      <c r="AI52" s="337">
        <v>0</v>
      </c>
      <c r="AJ52" s="59">
        <f t="shared" si="28"/>
        <v>17</v>
      </c>
      <c r="AL52" s="435">
        <f>AJ34+AJ54</f>
        <v>358</v>
      </c>
    </row>
    <row r="53" spans="1:44" ht="15.75" thickBot="1">
      <c r="A53" s="562" t="s">
        <v>336</v>
      </c>
      <c r="B53" s="84" t="s">
        <v>28</v>
      </c>
      <c r="C53" s="83" t="s">
        <v>335</v>
      </c>
      <c r="D53" s="82">
        <v>675.17499999999995</v>
      </c>
      <c r="E53" s="243">
        <f t="shared" si="5"/>
        <v>150</v>
      </c>
      <c r="F53" s="82">
        <v>87.5685</v>
      </c>
      <c r="G53" s="82">
        <v>2.5</v>
      </c>
      <c r="H53" s="82">
        <f t="shared" si="6"/>
        <v>218.92124999999999</v>
      </c>
      <c r="I53" s="81">
        <f t="shared" si="7"/>
        <v>2</v>
      </c>
      <c r="J53" s="270">
        <f t="shared" si="18"/>
        <v>300</v>
      </c>
      <c r="K53" s="81">
        <f t="shared" si="24"/>
        <v>81.078750000000014</v>
      </c>
      <c r="L53" s="82">
        <f t="shared" si="8"/>
        <v>72.973749999999995</v>
      </c>
      <c r="M53" s="98" t="s">
        <v>334</v>
      </c>
      <c r="N53" s="80">
        <v>792.93499999999995</v>
      </c>
      <c r="O53" s="168">
        <f t="shared" si="9"/>
        <v>150</v>
      </c>
      <c r="P53" s="80">
        <f t="shared" si="22"/>
        <v>87.5685</v>
      </c>
      <c r="Q53" s="79">
        <v>2.5</v>
      </c>
      <c r="R53" s="251">
        <f t="shared" si="11"/>
        <v>218.92124999999999</v>
      </c>
      <c r="S53" s="80">
        <f t="shared" si="19"/>
        <v>300</v>
      </c>
      <c r="T53" s="191">
        <f t="shared" si="20"/>
        <v>81.078750000000014</v>
      </c>
      <c r="U53" s="204" t="str">
        <f t="shared" si="21"/>
        <v>No</v>
      </c>
      <c r="V53" s="59"/>
      <c r="W53" s="97"/>
      <c r="AD53" s="343" t="s">
        <v>492</v>
      </c>
      <c r="AE53" s="337">
        <v>0</v>
      </c>
      <c r="AF53" s="344">
        <f>1</f>
        <v>1</v>
      </c>
      <c r="AG53" s="344">
        <f>4</f>
        <v>4</v>
      </c>
      <c r="AH53" s="344">
        <v>0</v>
      </c>
      <c r="AI53" s="337">
        <v>0</v>
      </c>
      <c r="AJ53" s="343">
        <f t="shared" si="28"/>
        <v>5</v>
      </c>
      <c r="AL53" s="496">
        <f t="shared" ref="AL53:AL54" si="30">AJ35+AJ55</f>
        <v>5933.2245999999996</v>
      </c>
    </row>
    <row r="54" spans="1:44" ht="15.75" thickBot="1">
      <c r="A54" s="564"/>
      <c r="B54" s="94" t="s">
        <v>333</v>
      </c>
      <c r="C54" s="93" t="s">
        <v>332</v>
      </c>
      <c r="D54" s="92">
        <v>300.33499999999998</v>
      </c>
      <c r="E54" s="244">
        <f t="shared" si="5"/>
        <v>200</v>
      </c>
      <c r="F54" s="92">
        <v>33.29833</v>
      </c>
      <c r="G54" s="82">
        <v>2.5</v>
      </c>
      <c r="H54" s="92">
        <f t="shared" si="6"/>
        <v>83.245824999999996</v>
      </c>
      <c r="I54" s="81">
        <f t="shared" si="7"/>
        <v>1</v>
      </c>
      <c r="J54" s="272">
        <f t="shared" si="18"/>
        <v>200</v>
      </c>
      <c r="K54" s="81">
        <f t="shared" si="24"/>
        <v>116.754175</v>
      </c>
      <c r="L54" s="82">
        <f t="shared" si="8"/>
        <v>41.622912499999998</v>
      </c>
      <c r="M54" s="88" t="s">
        <v>331</v>
      </c>
      <c r="N54" s="90">
        <v>524.75</v>
      </c>
      <c r="O54" s="168">
        <f t="shared" si="9"/>
        <v>200</v>
      </c>
      <c r="P54" s="80">
        <f t="shared" si="22"/>
        <v>33.29833</v>
      </c>
      <c r="Q54" s="79">
        <v>2.5</v>
      </c>
      <c r="R54" s="252">
        <f t="shared" si="11"/>
        <v>83.245824999999996</v>
      </c>
      <c r="S54" s="80">
        <f t="shared" si="19"/>
        <v>200</v>
      </c>
      <c r="T54" s="191">
        <f t="shared" si="20"/>
        <v>116.754175</v>
      </c>
      <c r="U54" s="204" t="str">
        <f t="shared" si="21"/>
        <v>No</v>
      </c>
      <c r="V54" s="59"/>
      <c r="W54" s="97"/>
      <c r="AD54" s="290" t="s">
        <v>501</v>
      </c>
      <c r="AE54" s="345">
        <f t="shared" ref="AE54:AJ54" si="31">SUM(AE42:AE53)</f>
        <v>0</v>
      </c>
      <c r="AF54" s="345">
        <f t="shared" si="31"/>
        <v>118</v>
      </c>
      <c r="AG54" s="345">
        <f t="shared" si="31"/>
        <v>122</v>
      </c>
      <c r="AH54" s="345">
        <f t="shared" si="31"/>
        <v>56</v>
      </c>
      <c r="AI54" s="345">
        <f t="shared" si="31"/>
        <v>14</v>
      </c>
      <c r="AJ54" s="346">
        <f t="shared" si="31"/>
        <v>310</v>
      </c>
      <c r="AL54" s="435">
        <f t="shared" si="30"/>
        <v>67650</v>
      </c>
    </row>
    <row r="55" spans="1:44" ht="13.5" thickBot="1">
      <c r="A55" s="562" t="s">
        <v>330</v>
      </c>
      <c r="B55" s="84" t="s">
        <v>329</v>
      </c>
      <c r="C55" s="83" t="s">
        <v>61</v>
      </c>
      <c r="D55" s="82">
        <v>381.34</v>
      </c>
      <c r="E55" s="243">
        <f t="shared" si="5"/>
        <v>200</v>
      </c>
      <c r="F55" s="82">
        <v>233.80699999999999</v>
      </c>
      <c r="G55" s="82">
        <v>2.5</v>
      </c>
      <c r="H55" s="82">
        <f t="shared" si="6"/>
        <v>584.51749999999993</v>
      </c>
      <c r="I55" s="81">
        <f t="shared" si="7"/>
        <v>4</v>
      </c>
      <c r="J55" s="270">
        <f t="shared" si="18"/>
        <v>800</v>
      </c>
      <c r="K55" s="81">
        <f t="shared" si="24"/>
        <v>215.48250000000007</v>
      </c>
      <c r="L55" s="82">
        <f t="shared" si="8"/>
        <v>73.064687499999991</v>
      </c>
      <c r="M55" s="98" t="s">
        <v>328</v>
      </c>
      <c r="N55" s="80">
        <v>673.16499999999996</v>
      </c>
      <c r="O55" s="168">
        <f t="shared" si="9"/>
        <v>150</v>
      </c>
      <c r="P55" s="80">
        <f t="shared" si="22"/>
        <v>233.80699999999999</v>
      </c>
      <c r="Q55" s="79">
        <v>2.5</v>
      </c>
      <c r="R55" s="251">
        <f t="shared" si="11"/>
        <v>584.51749999999993</v>
      </c>
      <c r="S55" s="80">
        <f t="shared" si="19"/>
        <v>600</v>
      </c>
      <c r="T55" s="191">
        <f t="shared" si="20"/>
        <v>15.482500000000073</v>
      </c>
      <c r="U55" s="204" t="str">
        <f t="shared" si="21"/>
        <v>No</v>
      </c>
      <c r="V55" s="189"/>
      <c r="W55" s="103"/>
      <c r="AD55" s="290" t="s">
        <v>500</v>
      </c>
      <c r="AE55" s="489">
        <f>PRODUCT(AE54*AN25)</f>
        <v>0</v>
      </c>
      <c r="AF55" s="489">
        <f>PRODUCT(AF54*AN26)</f>
        <v>1931.5301999999999</v>
      </c>
      <c r="AG55" s="489">
        <f>PRODUCT(AG54*AN27)</f>
        <v>2043.0974000000001</v>
      </c>
      <c r="AH55" s="489">
        <f>PRODUCT(AH54*AN28)</f>
        <v>945.64960000000008</v>
      </c>
      <c r="AI55" s="489">
        <f>PRODUCT(AI54*AN29)</f>
        <v>238</v>
      </c>
      <c r="AJ55" s="490">
        <f>SUM(AE55:AI55)</f>
        <v>5158.2771999999995</v>
      </c>
    </row>
    <row r="56" spans="1:44" ht="14.25" customHeight="1" thickBot="1">
      <c r="A56" s="563"/>
      <c r="B56" s="74" t="s">
        <v>30</v>
      </c>
      <c r="C56" s="73" t="s">
        <v>326</v>
      </c>
      <c r="D56" s="72">
        <v>317.27</v>
      </c>
      <c r="E56" s="244">
        <f t="shared" si="5"/>
        <v>200</v>
      </c>
      <c r="F56" s="72">
        <v>136.87530000000001</v>
      </c>
      <c r="G56" s="82">
        <v>2.5</v>
      </c>
      <c r="H56" s="72">
        <f t="shared" si="6"/>
        <v>342.18825000000004</v>
      </c>
      <c r="I56" s="81">
        <f t="shared" si="7"/>
        <v>3</v>
      </c>
      <c r="J56" s="272">
        <f t="shared" si="18"/>
        <v>600</v>
      </c>
      <c r="K56" s="81">
        <f t="shared" si="24"/>
        <v>257.81174999999996</v>
      </c>
      <c r="L56" s="82">
        <f t="shared" si="8"/>
        <v>57.031375000000004</v>
      </c>
      <c r="M56" s="69" t="s">
        <v>325</v>
      </c>
      <c r="N56" s="70">
        <v>518.48</v>
      </c>
      <c r="O56" s="168">
        <f t="shared" si="9"/>
        <v>200</v>
      </c>
      <c r="P56" s="80">
        <f t="shared" si="22"/>
        <v>136.87530000000001</v>
      </c>
      <c r="Q56" s="79">
        <v>2.5</v>
      </c>
      <c r="R56" s="253">
        <f t="shared" si="11"/>
        <v>342.18825000000004</v>
      </c>
      <c r="S56" s="80">
        <f t="shared" si="19"/>
        <v>600</v>
      </c>
      <c r="T56" s="191">
        <f t="shared" si="20"/>
        <v>257.81174999999996</v>
      </c>
      <c r="U56" s="204" t="str">
        <f t="shared" si="21"/>
        <v>No</v>
      </c>
      <c r="V56" s="187"/>
      <c r="W56" s="186"/>
      <c r="AD56" s="290" t="s">
        <v>563</v>
      </c>
      <c r="AE56" s="347">
        <f>AE54*AM25</f>
        <v>0</v>
      </c>
      <c r="AF56" s="347">
        <f>AF54*AM26</f>
        <v>17700</v>
      </c>
      <c r="AG56" s="347">
        <f>AG54*AM27</f>
        <v>24400</v>
      </c>
      <c r="AH56" s="347">
        <f>AH54*AM28</f>
        <v>14000</v>
      </c>
      <c r="AI56" s="347">
        <f>AI54*AM29</f>
        <v>4200</v>
      </c>
      <c r="AJ56" s="290">
        <f>SUM(AE56:AI56)</f>
        <v>60300</v>
      </c>
    </row>
    <row r="57" spans="1:44">
      <c r="A57" s="20"/>
      <c r="B57" s="63"/>
      <c r="C57" s="20"/>
      <c r="D57" s="20"/>
      <c r="E57" s="266"/>
      <c r="F57" s="63"/>
      <c r="G57" s="63"/>
      <c r="H57" s="63"/>
      <c r="I57" s="266" t="s">
        <v>415</v>
      </c>
      <c r="J57" s="20">
        <f>SUM(J3:J56)</f>
        <v>46150</v>
      </c>
      <c r="K57" s="20"/>
      <c r="L57" s="266"/>
      <c r="M57" s="20"/>
      <c r="N57" s="20"/>
      <c r="O57" s="266"/>
      <c r="P57" s="20"/>
      <c r="Q57" s="20"/>
      <c r="R57" s="20"/>
      <c r="S57" s="266"/>
      <c r="U57" s="20" t="str">
        <f t="shared" si="21"/>
        <v>No</v>
      </c>
      <c r="V57" s="11"/>
      <c r="W57" s="20"/>
    </row>
    <row r="58" spans="1:44">
      <c r="A58" s="20"/>
      <c r="B58" s="63"/>
      <c r="C58" s="20"/>
      <c r="D58" s="20"/>
      <c r="E58" s="266"/>
      <c r="F58" s="63"/>
      <c r="G58" s="63"/>
      <c r="H58" s="63"/>
      <c r="I58" s="266"/>
      <c r="J58" s="20"/>
      <c r="K58" s="20"/>
      <c r="L58" s="266"/>
      <c r="M58" s="20"/>
      <c r="N58" s="20"/>
      <c r="O58" s="266"/>
      <c r="P58" s="20"/>
      <c r="Q58" s="20"/>
      <c r="R58" s="20"/>
      <c r="S58" s="266"/>
      <c r="U58" s="20"/>
      <c r="V58" s="11"/>
      <c r="W58" s="20"/>
    </row>
    <row r="59" spans="1:44">
      <c r="A59" s="20"/>
      <c r="B59" s="63"/>
      <c r="C59" s="20"/>
      <c r="D59" s="20"/>
      <c r="E59" s="266"/>
      <c r="F59" s="63"/>
      <c r="G59" s="63"/>
      <c r="H59" s="63"/>
      <c r="I59" s="266"/>
      <c r="J59" s="20"/>
      <c r="K59" s="20"/>
      <c r="L59" s="266"/>
      <c r="M59" s="20"/>
      <c r="N59" s="20"/>
      <c r="O59" s="266"/>
      <c r="P59" s="20"/>
      <c r="Q59" s="20"/>
      <c r="R59" s="20"/>
      <c r="S59" s="266"/>
      <c r="U59" s="20"/>
      <c r="V59" s="11"/>
      <c r="W59" s="20"/>
    </row>
    <row r="60" spans="1:44">
      <c r="A60" s="20"/>
      <c r="B60" s="63"/>
      <c r="C60" s="20"/>
      <c r="D60" s="20"/>
      <c r="E60" s="266"/>
      <c r="F60" s="63"/>
      <c r="G60" s="63"/>
      <c r="H60" s="63"/>
      <c r="I60" s="266"/>
      <c r="J60" s="20"/>
      <c r="K60" s="20"/>
      <c r="L60" s="266"/>
      <c r="M60" s="20"/>
      <c r="N60" s="20"/>
      <c r="O60" s="266"/>
      <c r="P60" s="20"/>
      <c r="Q60" s="20"/>
      <c r="R60" s="20"/>
      <c r="S60" s="266"/>
      <c r="U60" s="20"/>
      <c r="V60" s="11"/>
      <c r="W60" s="20"/>
    </row>
    <row r="61" spans="1:44">
      <c r="A61" s="20"/>
      <c r="B61" s="63"/>
      <c r="C61" s="20"/>
      <c r="D61" s="20"/>
      <c r="E61" s="266"/>
      <c r="F61" s="63"/>
      <c r="G61" s="63"/>
      <c r="H61" s="63"/>
      <c r="I61" s="266"/>
      <c r="J61" s="20"/>
      <c r="K61" s="20"/>
      <c r="L61" s="266"/>
      <c r="M61" s="20"/>
      <c r="N61" s="20"/>
      <c r="O61" s="266"/>
      <c r="P61" s="20"/>
      <c r="Q61" s="20"/>
      <c r="R61" s="20"/>
      <c r="S61" s="266"/>
      <c r="U61" s="20"/>
      <c r="V61" s="11"/>
      <c r="W61" s="20"/>
    </row>
    <row r="62" spans="1:44">
      <c r="A62" s="20"/>
      <c r="B62" s="64"/>
      <c r="C62" s="20"/>
      <c r="D62" s="20"/>
      <c r="E62" s="266"/>
      <c r="F62" s="63"/>
      <c r="G62" s="63"/>
      <c r="H62" s="63"/>
      <c r="I62" s="266"/>
      <c r="J62" s="20"/>
      <c r="K62" s="20"/>
      <c r="L62" s="266"/>
      <c r="M62" s="20"/>
      <c r="N62" s="20"/>
      <c r="O62" s="266"/>
      <c r="P62" s="20"/>
      <c r="Q62" s="20"/>
      <c r="R62" s="20"/>
      <c r="S62" s="266"/>
      <c r="U62" s="20"/>
      <c r="V62" s="11"/>
      <c r="W62" s="20"/>
    </row>
    <row r="63" spans="1:44">
      <c r="A63" s="20"/>
      <c r="B63" s="64"/>
      <c r="C63" s="20"/>
      <c r="D63" s="20"/>
      <c r="E63" s="266"/>
      <c r="F63" s="63"/>
      <c r="G63" s="63"/>
      <c r="H63" s="63"/>
      <c r="I63" s="266"/>
      <c r="J63" s="20"/>
      <c r="K63" s="20"/>
      <c r="L63" s="266"/>
      <c r="M63" s="20"/>
      <c r="N63" s="20"/>
      <c r="O63" s="266"/>
      <c r="P63" s="20"/>
      <c r="Q63" s="20"/>
      <c r="R63" s="20"/>
      <c r="S63" s="266"/>
      <c r="U63" s="20"/>
      <c r="V63" s="11"/>
      <c r="W63" s="20"/>
    </row>
    <row r="64" spans="1:44">
      <c r="A64" s="20"/>
      <c r="B64" s="64"/>
      <c r="C64" s="20"/>
      <c r="D64" s="20"/>
      <c r="E64" s="266"/>
      <c r="F64" s="63"/>
      <c r="G64" s="63"/>
      <c r="H64" s="63"/>
      <c r="I64" s="266"/>
      <c r="J64" s="20"/>
      <c r="K64" s="20"/>
      <c r="L64" s="266"/>
      <c r="M64" s="20"/>
      <c r="N64" s="20"/>
      <c r="O64" s="266"/>
      <c r="P64" s="20"/>
      <c r="Q64" s="20"/>
      <c r="R64" s="20"/>
      <c r="S64" s="266"/>
      <c r="U64" s="20"/>
      <c r="V64" s="11"/>
      <c r="W64" s="20"/>
    </row>
    <row r="65" spans="1:26">
      <c r="A65" s="20"/>
      <c r="B65" s="63"/>
      <c r="C65" s="20"/>
      <c r="D65" s="20"/>
      <c r="E65" s="266"/>
      <c r="I65" s="266"/>
      <c r="O65" s="266"/>
      <c r="P65" s="20"/>
      <c r="Q65" s="20"/>
      <c r="R65" s="20"/>
      <c r="S65" s="266"/>
      <c r="U65" s="20"/>
      <c r="V65" s="11"/>
      <c r="W65" s="20"/>
    </row>
    <row r="66" spans="1:26">
      <c r="A66" s="20"/>
      <c r="B66" s="63"/>
      <c r="C66" s="20"/>
      <c r="D66" s="20"/>
      <c r="E66" s="266"/>
      <c r="I66" s="266"/>
      <c r="O66" s="266"/>
      <c r="P66" s="20"/>
      <c r="Q66" s="20"/>
      <c r="R66" s="20"/>
      <c r="S66" s="266"/>
      <c r="U66" s="20"/>
      <c r="V66" s="11"/>
      <c r="W66" s="20"/>
    </row>
    <row r="67" spans="1:26">
      <c r="A67" s="20"/>
      <c r="B67" s="63"/>
      <c r="C67" s="20"/>
      <c r="D67" s="20"/>
      <c r="E67" s="266"/>
      <c r="I67" s="266"/>
      <c r="O67" s="266"/>
      <c r="P67" s="20"/>
      <c r="Q67" s="20"/>
      <c r="R67" s="20"/>
      <c r="S67" s="266"/>
      <c r="U67" s="20"/>
      <c r="V67" s="11"/>
      <c r="W67" s="20"/>
    </row>
    <row r="68" spans="1:26">
      <c r="A68" s="20"/>
      <c r="B68" s="63"/>
      <c r="C68" s="20"/>
      <c r="D68" s="20"/>
      <c r="E68" s="266"/>
      <c r="F68" s="63"/>
      <c r="G68" s="63"/>
      <c r="H68" s="63"/>
      <c r="I68" s="266"/>
      <c r="J68" s="20"/>
      <c r="K68" s="20"/>
      <c r="L68" s="266"/>
      <c r="M68" s="20"/>
      <c r="N68" s="20"/>
      <c r="O68" s="266"/>
      <c r="P68" s="20"/>
      <c r="Q68" s="20"/>
      <c r="R68" s="20"/>
      <c r="S68" s="266"/>
      <c r="U68" s="20"/>
      <c r="V68" s="11"/>
      <c r="W68" s="20"/>
    </row>
    <row r="69" spans="1:26">
      <c r="B69" s="63"/>
      <c r="C69" s="20"/>
      <c r="D69" s="20"/>
      <c r="E69" s="266"/>
      <c r="F69" s="63"/>
      <c r="G69" s="63"/>
      <c r="H69" s="63"/>
      <c r="I69" s="266"/>
      <c r="J69" s="20"/>
      <c r="K69" s="20"/>
      <c r="L69" s="266"/>
      <c r="M69" s="20"/>
      <c r="N69" s="20"/>
      <c r="O69" s="266"/>
      <c r="P69" s="20"/>
      <c r="Q69" s="20"/>
      <c r="R69" s="20"/>
      <c r="S69" s="266"/>
      <c r="U69" s="20"/>
      <c r="V69" s="11"/>
      <c r="W69" s="20"/>
      <c r="Y69" s="57"/>
      <c r="Z69" s="57"/>
    </row>
    <row r="70" spans="1:26">
      <c r="B70" s="63"/>
      <c r="C70" s="20"/>
      <c r="D70" s="20"/>
      <c r="E70" s="266"/>
      <c r="F70" s="63"/>
      <c r="G70" s="63"/>
      <c r="H70" s="63"/>
      <c r="I70" s="266"/>
      <c r="J70" s="20"/>
      <c r="K70" s="20"/>
      <c r="L70" s="266"/>
      <c r="M70" s="20"/>
      <c r="N70" s="20"/>
      <c r="O70" s="266"/>
      <c r="P70" s="20"/>
      <c r="Q70" s="20"/>
      <c r="R70" s="20"/>
      <c r="S70" s="266"/>
      <c r="U70" s="20"/>
      <c r="V70" s="11"/>
      <c r="W70" s="20"/>
      <c r="Y70" s="57"/>
      <c r="Z70" s="57"/>
    </row>
    <row r="71" spans="1:26">
      <c r="B71" s="63"/>
      <c r="C71" s="20"/>
      <c r="D71" s="20"/>
      <c r="E71" s="266"/>
      <c r="F71" s="63"/>
      <c r="G71" s="63"/>
      <c r="H71" s="63"/>
      <c r="I71" s="266"/>
      <c r="J71" s="20"/>
      <c r="K71" s="20"/>
      <c r="L71" s="266"/>
      <c r="M71" s="20"/>
      <c r="N71" s="20"/>
      <c r="O71" s="266"/>
      <c r="P71" s="20"/>
      <c r="Q71" s="20"/>
      <c r="R71" s="20"/>
      <c r="S71" s="266"/>
      <c r="U71" s="20"/>
      <c r="V71" s="11"/>
      <c r="W71" s="20"/>
      <c r="Y71" s="57"/>
      <c r="Z71" s="57"/>
    </row>
    <row r="72" spans="1:26">
      <c r="B72" s="63"/>
      <c r="C72" s="20"/>
      <c r="D72" s="20"/>
      <c r="E72" s="266"/>
      <c r="F72" s="63"/>
      <c r="G72" s="63"/>
      <c r="H72" s="63"/>
      <c r="I72" s="266"/>
      <c r="J72" s="20"/>
      <c r="K72" s="20"/>
      <c r="L72" s="266"/>
      <c r="M72" s="20"/>
      <c r="N72" s="20"/>
      <c r="O72" s="266"/>
      <c r="P72" s="20"/>
      <c r="Q72" s="20"/>
      <c r="R72" s="20"/>
      <c r="S72" s="266"/>
      <c r="U72" s="20"/>
      <c r="V72" s="11"/>
      <c r="W72" s="20"/>
      <c r="Y72" s="57"/>
      <c r="Z72" s="57"/>
    </row>
    <row r="73" spans="1:26">
      <c r="B73" s="63"/>
      <c r="C73" s="20"/>
      <c r="D73" s="20"/>
      <c r="E73" s="266"/>
      <c r="F73" s="63"/>
      <c r="G73" s="63"/>
      <c r="H73" s="63"/>
      <c r="I73" s="266"/>
      <c r="J73" s="20"/>
      <c r="K73" s="20"/>
      <c r="L73" s="266"/>
      <c r="M73" s="20"/>
      <c r="N73" s="20"/>
      <c r="O73" s="266"/>
      <c r="P73" s="20"/>
      <c r="Q73" s="20"/>
      <c r="R73" s="20"/>
      <c r="S73" s="266"/>
      <c r="U73" s="20"/>
      <c r="V73" s="11"/>
      <c r="W73" s="20"/>
      <c r="Y73" s="57"/>
    </row>
    <row r="74" spans="1:26">
      <c r="B74" s="63"/>
      <c r="C74" s="20"/>
      <c r="D74" s="20"/>
      <c r="E74" s="266"/>
      <c r="F74" s="63"/>
      <c r="G74" s="63"/>
      <c r="H74" s="63"/>
      <c r="I74" s="266"/>
      <c r="J74" s="20"/>
      <c r="K74" s="20"/>
      <c r="L74" s="266"/>
      <c r="M74" s="20"/>
      <c r="N74" s="20"/>
      <c r="O74" s="266"/>
      <c r="P74" s="20"/>
      <c r="Q74" s="20"/>
      <c r="R74" s="20"/>
      <c r="S74" s="266"/>
      <c r="U74" s="20"/>
      <c r="V74" s="11"/>
      <c r="W74" s="20"/>
      <c r="Y74" s="57"/>
    </row>
    <row r="75" spans="1:26">
      <c r="B75" s="63"/>
      <c r="C75" s="20"/>
      <c r="D75" s="20"/>
      <c r="E75" s="266"/>
      <c r="F75" s="63"/>
      <c r="G75" s="63"/>
      <c r="H75" s="63"/>
      <c r="I75" s="266"/>
      <c r="J75" s="20"/>
      <c r="K75" s="20"/>
      <c r="L75" s="266"/>
      <c r="M75" s="20"/>
      <c r="N75" s="20"/>
      <c r="O75" s="266"/>
      <c r="P75" s="20"/>
      <c r="Q75" s="20"/>
      <c r="R75" s="20"/>
      <c r="S75" s="266"/>
      <c r="U75" s="20"/>
      <c r="V75" s="11"/>
      <c r="W75" s="20"/>
    </row>
    <row r="76" spans="1:26">
      <c r="B76" s="63"/>
      <c r="C76" s="20"/>
      <c r="D76" s="20"/>
      <c r="E76" s="266"/>
      <c r="F76" s="63"/>
      <c r="G76" s="63"/>
      <c r="H76" s="63"/>
      <c r="I76" s="266"/>
      <c r="J76" s="20"/>
      <c r="K76" s="20"/>
      <c r="L76" s="266"/>
      <c r="M76" s="20"/>
      <c r="N76" s="20"/>
      <c r="O76" s="266"/>
      <c r="P76" s="20"/>
      <c r="Q76" s="20"/>
      <c r="R76" s="20"/>
      <c r="S76" s="266"/>
      <c r="U76" s="20"/>
      <c r="V76" s="11"/>
      <c r="W76" s="20"/>
    </row>
    <row r="77" spans="1:26">
      <c r="B77" s="63"/>
      <c r="C77" s="20"/>
      <c r="D77" s="20"/>
      <c r="E77" s="266"/>
      <c r="F77" s="63"/>
      <c r="G77" s="63"/>
      <c r="H77" s="63"/>
      <c r="I77" s="266"/>
      <c r="J77" s="20"/>
      <c r="K77" s="20"/>
      <c r="L77" s="266"/>
      <c r="M77" s="20"/>
      <c r="N77" s="20"/>
      <c r="O77" s="266"/>
      <c r="P77" s="20"/>
      <c r="Q77" s="20"/>
      <c r="R77" s="20"/>
      <c r="S77" s="266"/>
      <c r="U77" s="20"/>
      <c r="V77" s="11"/>
      <c r="W77" s="20"/>
    </row>
    <row r="78" spans="1:26">
      <c r="B78" s="63"/>
      <c r="C78" s="20"/>
      <c r="D78" s="20"/>
      <c r="E78" s="266"/>
      <c r="F78" s="63"/>
      <c r="G78" s="63"/>
      <c r="H78" s="63"/>
      <c r="I78" s="266"/>
      <c r="J78" s="20"/>
      <c r="K78" s="20"/>
      <c r="L78" s="266"/>
      <c r="M78" s="20"/>
      <c r="N78" s="20"/>
      <c r="O78" s="266"/>
      <c r="P78" s="20"/>
      <c r="Q78" s="20"/>
      <c r="R78" s="20"/>
      <c r="S78" s="266"/>
      <c r="U78" s="20"/>
      <c r="V78" s="11"/>
      <c r="W78" s="20"/>
    </row>
    <row r="79" spans="1:26">
      <c r="B79" s="63"/>
      <c r="C79" s="20"/>
      <c r="D79" s="20"/>
      <c r="E79" s="266"/>
      <c r="F79" s="63"/>
      <c r="G79" s="63"/>
      <c r="H79" s="63"/>
      <c r="I79" s="266"/>
      <c r="J79" s="20"/>
      <c r="K79" s="20"/>
      <c r="L79" s="266"/>
      <c r="M79" s="20"/>
      <c r="N79" s="20"/>
      <c r="O79" s="266"/>
      <c r="P79" s="20"/>
      <c r="Q79" s="20"/>
      <c r="R79" s="20"/>
      <c r="S79" s="266"/>
      <c r="U79" s="20"/>
      <c r="V79" s="11"/>
      <c r="W79" s="20"/>
    </row>
    <row r="80" spans="1:26">
      <c r="B80" s="63"/>
      <c r="C80" s="20"/>
      <c r="D80" s="20"/>
      <c r="E80" s="266"/>
      <c r="F80" s="63"/>
      <c r="G80" s="63"/>
      <c r="H80" s="63"/>
      <c r="I80" s="266"/>
      <c r="J80" s="20"/>
      <c r="K80" s="20"/>
      <c r="L80" s="266"/>
      <c r="M80" s="20"/>
      <c r="N80" s="20"/>
      <c r="O80" s="266"/>
      <c r="P80" s="20"/>
      <c r="Q80" s="20"/>
      <c r="R80" s="20"/>
      <c r="S80" s="266"/>
      <c r="U80" s="20"/>
      <c r="V80" s="11"/>
      <c r="W80" s="20"/>
    </row>
    <row r="81" spans="2:23">
      <c r="B81" s="63"/>
      <c r="C81" s="20"/>
      <c r="D81" s="20"/>
      <c r="E81" s="266"/>
      <c r="F81" s="63"/>
      <c r="G81" s="63"/>
      <c r="H81" s="63"/>
      <c r="I81" s="266"/>
      <c r="J81" s="20"/>
      <c r="K81" s="20"/>
      <c r="L81" s="266"/>
      <c r="M81" s="20"/>
      <c r="N81" s="20"/>
      <c r="O81" s="266"/>
      <c r="P81" s="20"/>
      <c r="Q81" s="20"/>
      <c r="R81" s="20"/>
      <c r="S81" s="266"/>
      <c r="U81" s="20"/>
      <c r="V81" s="11"/>
      <c r="W81" s="20"/>
    </row>
    <row r="82" spans="2:23">
      <c r="B82" s="63"/>
      <c r="C82" s="20"/>
      <c r="D82" s="20"/>
      <c r="E82" s="266"/>
      <c r="F82" s="63"/>
      <c r="G82" s="63"/>
      <c r="H82" s="63"/>
      <c r="I82" s="266"/>
      <c r="J82" s="20"/>
      <c r="K82" s="20"/>
      <c r="L82" s="266"/>
      <c r="M82" s="20"/>
      <c r="N82" s="20"/>
      <c r="O82" s="266"/>
      <c r="P82" s="20"/>
      <c r="Q82" s="20"/>
      <c r="R82" s="20"/>
      <c r="S82" s="266"/>
      <c r="U82" s="20"/>
      <c r="V82" s="11"/>
      <c r="W82" s="20"/>
    </row>
    <row r="83" spans="2:23">
      <c r="B83" s="63"/>
      <c r="C83" s="20"/>
      <c r="D83" s="20"/>
      <c r="E83" s="266"/>
      <c r="F83" s="63"/>
      <c r="G83" s="63"/>
      <c r="H83" s="63"/>
      <c r="I83" s="266"/>
      <c r="J83" s="20"/>
      <c r="K83" s="20"/>
      <c r="L83" s="266"/>
      <c r="M83" s="20"/>
      <c r="N83" s="20"/>
      <c r="O83" s="266"/>
      <c r="P83" s="20"/>
      <c r="Q83" s="20"/>
      <c r="R83" s="20"/>
      <c r="S83" s="266"/>
      <c r="U83" s="20"/>
      <c r="V83" s="11"/>
      <c r="W83" s="20"/>
    </row>
    <row r="84" spans="2:23">
      <c r="B84" s="63"/>
      <c r="C84" s="20"/>
      <c r="D84" s="20"/>
      <c r="E84" s="266"/>
      <c r="F84" s="63"/>
      <c r="G84" s="63"/>
      <c r="H84" s="63"/>
      <c r="I84" s="266"/>
      <c r="J84" s="20"/>
      <c r="K84" s="20"/>
      <c r="L84" s="266"/>
      <c r="M84" s="20"/>
      <c r="N84" s="20"/>
      <c r="O84" s="266"/>
      <c r="P84" s="20"/>
      <c r="Q84" s="20"/>
      <c r="R84" s="20"/>
      <c r="S84" s="266"/>
      <c r="U84" s="20"/>
      <c r="V84" s="11"/>
      <c r="W84" s="20"/>
    </row>
    <row r="85" spans="2:23">
      <c r="B85" s="63"/>
      <c r="C85" s="20"/>
      <c r="D85" s="20"/>
      <c r="E85" s="266"/>
      <c r="F85" s="63"/>
      <c r="G85" s="63"/>
      <c r="H85" s="63"/>
      <c r="I85" s="266"/>
      <c r="J85" s="20"/>
      <c r="K85" s="20"/>
      <c r="L85" s="266"/>
      <c r="M85" s="20"/>
      <c r="N85" s="20"/>
      <c r="O85" s="266"/>
      <c r="P85" s="20"/>
      <c r="Q85" s="20"/>
      <c r="R85" s="20"/>
      <c r="S85" s="266"/>
      <c r="U85" s="20"/>
      <c r="V85" s="11"/>
      <c r="W85" s="20"/>
    </row>
    <row r="86" spans="2:23">
      <c r="B86" s="63"/>
      <c r="C86" s="20"/>
      <c r="D86" s="20"/>
      <c r="E86" s="266"/>
      <c r="F86" s="63"/>
      <c r="G86" s="63"/>
      <c r="H86" s="63"/>
      <c r="I86" s="266"/>
      <c r="J86" s="20"/>
      <c r="K86" s="20"/>
      <c r="L86" s="266"/>
      <c r="M86" s="20"/>
      <c r="N86" s="20"/>
      <c r="O86" s="266"/>
      <c r="P86" s="20"/>
      <c r="Q86" s="20"/>
      <c r="R86" s="20"/>
      <c r="S86" s="266"/>
      <c r="U86" s="20"/>
      <c r="V86" s="11"/>
      <c r="W86" s="20"/>
    </row>
    <row r="87" spans="2:23">
      <c r="B87" s="63"/>
      <c r="C87" s="20"/>
      <c r="D87" s="20"/>
      <c r="E87" s="266"/>
      <c r="F87" s="63"/>
      <c r="G87" s="63"/>
      <c r="H87" s="63"/>
      <c r="I87" s="266"/>
      <c r="J87" s="20"/>
      <c r="K87" s="20"/>
      <c r="L87" s="266"/>
      <c r="M87" s="20"/>
      <c r="N87" s="20"/>
      <c r="O87" s="266"/>
      <c r="P87" s="20"/>
      <c r="Q87" s="20"/>
      <c r="R87" s="20"/>
      <c r="S87" s="266"/>
      <c r="U87" s="20"/>
      <c r="V87" s="11"/>
      <c r="W87" s="20"/>
    </row>
    <row r="88" spans="2:23">
      <c r="B88" s="63"/>
      <c r="C88" s="20"/>
      <c r="D88" s="20"/>
      <c r="E88" s="266"/>
      <c r="F88" s="63"/>
      <c r="G88" s="63"/>
      <c r="H88" s="63"/>
      <c r="I88" s="266"/>
      <c r="J88" s="20"/>
      <c r="K88" s="20"/>
      <c r="L88" s="266"/>
      <c r="M88" s="20"/>
      <c r="N88" s="20"/>
      <c r="O88" s="266"/>
      <c r="P88" s="20"/>
      <c r="Q88" s="20"/>
      <c r="R88" s="20"/>
      <c r="S88" s="266"/>
      <c r="U88" s="20"/>
      <c r="V88" s="11"/>
      <c r="W88" s="20"/>
    </row>
    <row r="89" spans="2:23">
      <c r="B89" s="63"/>
      <c r="C89" s="20"/>
      <c r="D89" s="20"/>
      <c r="E89" s="266"/>
      <c r="F89" s="63"/>
      <c r="G89" s="63"/>
      <c r="H89" s="63"/>
      <c r="I89" s="266"/>
      <c r="J89" s="20"/>
      <c r="K89" s="20"/>
      <c r="L89" s="266"/>
      <c r="M89" s="20"/>
      <c r="N89" s="20"/>
      <c r="O89" s="266"/>
      <c r="P89" s="20"/>
      <c r="Q89" s="20"/>
      <c r="R89" s="20"/>
      <c r="S89" s="266"/>
      <c r="U89" s="20"/>
      <c r="V89" s="11"/>
      <c r="W89" s="20"/>
    </row>
    <row r="90" spans="2:23">
      <c r="B90" s="63"/>
      <c r="C90" s="20"/>
      <c r="D90" s="20"/>
      <c r="E90" s="266"/>
      <c r="F90" s="63"/>
      <c r="G90" s="63"/>
      <c r="H90" s="63"/>
      <c r="I90" s="266"/>
      <c r="J90" s="20"/>
      <c r="K90" s="20"/>
      <c r="L90" s="266"/>
      <c r="M90" s="20"/>
      <c r="N90" s="20"/>
      <c r="O90" s="266"/>
      <c r="P90" s="20"/>
      <c r="Q90" s="20"/>
      <c r="R90" s="20"/>
      <c r="S90" s="266"/>
      <c r="U90" s="20"/>
      <c r="V90" s="11"/>
      <c r="W90" s="20"/>
    </row>
    <row r="91" spans="2:23">
      <c r="B91" s="63"/>
      <c r="C91" s="20"/>
      <c r="D91" s="20"/>
      <c r="E91" s="266"/>
      <c r="F91" s="63"/>
      <c r="G91" s="63"/>
      <c r="H91" s="63"/>
      <c r="I91" s="266"/>
      <c r="J91" s="20"/>
      <c r="K91" s="20"/>
      <c r="L91" s="266"/>
      <c r="M91" s="20"/>
      <c r="N91" s="20"/>
      <c r="O91" s="266"/>
      <c r="P91" s="20"/>
      <c r="Q91" s="20"/>
      <c r="R91" s="20"/>
      <c r="S91" s="266"/>
      <c r="U91" s="20"/>
      <c r="V91" s="11"/>
      <c r="W91" s="20"/>
    </row>
    <row r="92" spans="2:23">
      <c r="B92" s="63"/>
      <c r="C92" s="20"/>
      <c r="D92" s="20"/>
      <c r="E92" s="266"/>
      <c r="F92" s="63"/>
      <c r="G92" s="63"/>
      <c r="H92" s="63"/>
      <c r="I92" s="266"/>
      <c r="J92" s="20"/>
      <c r="K92" s="20"/>
      <c r="L92" s="266"/>
      <c r="M92" s="20"/>
      <c r="N92" s="20"/>
      <c r="O92" s="266"/>
      <c r="P92" s="20"/>
      <c r="Q92" s="20"/>
      <c r="R92" s="20"/>
      <c r="S92" s="266"/>
      <c r="U92" s="20"/>
      <c r="V92" s="11"/>
      <c r="W92" s="20"/>
    </row>
    <row r="93" spans="2:23">
      <c r="B93" s="63"/>
      <c r="C93" s="20"/>
      <c r="D93" s="20"/>
      <c r="E93" s="266"/>
      <c r="F93" s="63"/>
      <c r="G93" s="63"/>
      <c r="H93" s="63"/>
      <c r="I93" s="266"/>
      <c r="J93" s="20"/>
      <c r="K93" s="20"/>
      <c r="L93" s="266"/>
      <c r="M93" s="20"/>
      <c r="N93" s="20"/>
      <c r="O93" s="266"/>
      <c r="P93" s="20"/>
      <c r="Q93" s="20"/>
      <c r="R93" s="20"/>
      <c r="S93" s="266"/>
      <c r="U93" s="20"/>
      <c r="V93" s="11"/>
      <c r="W93" s="20"/>
    </row>
    <row r="94" spans="2:23">
      <c r="B94" s="63"/>
      <c r="C94" s="20"/>
      <c r="D94" s="20"/>
      <c r="E94" s="266"/>
      <c r="F94" s="63"/>
      <c r="G94" s="63"/>
      <c r="H94" s="63"/>
      <c r="I94" s="266"/>
      <c r="J94" s="20"/>
      <c r="K94" s="20"/>
      <c r="L94" s="266"/>
      <c r="M94" s="20"/>
      <c r="N94" s="20"/>
      <c r="O94" s="266"/>
      <c r="P94" s="20"/>
      <c r="Q94" s="20"/>
      <c r="R94" s="20"/>
      <c r="S94" s="266"/>
      <c r="U94" s="20"/>
      <c r="V94" s="11"/>
      <c r="W94" s="20"/>
    </row>
    <row r="95" spans="2:23">
      <c r="B95" s="63"/>
      <c r="C95" s="20"/>
      <c r="D95" s="20"/>
      <c r="E95" s="266"/>
      <c r="F95" s="63"/>
      <c r="G95" s="63"/>
      <c r="H95" s="63"/>
      <c r="I95" s="266"/>
      <c r="J95" s="20"/>
      <c r="K95" s="20"/>
      <c r="L95" s="266"/>
      <c r="M95" s="20"/>
      <c r="N95" s="20"/>
      <c r="O95" s="266"/>
      <c r="P95" s="20"/>
      <c r="Q95" s="20"/>
      <c r="R95" s="20"/>
      <c r="S95" s="266"/>
      <c r="U95" s="20"/>
      <c r="V95" s="11"/>
      <c r="W95" s="20"/>
    </row>
    <row r="96" spans="2:23">
      <c r="B96" s="63"/>
      <c r="C96" s="20"/>
      <c r="D96" s="20"/>
      <c r="E96" s="266"/>
      <c r="F96" s="63"/>
      <c r="G96" s="63"/>
      <c r="H96" s="63"/>
      <c r="I96" s="266"/>
      <c r="J96" s="20"/>
      <c r="K96" s="20"/>
      <c r="L96" s="266"/>
      <c r="M96" s="20"/>
      <c r="N96" s="20"/>
      <c r="O96" s="266"/>
      <c r="P96" s="20"/>
      <c r="Q96" s="20"/>
      <c r="R96" s="20"/>
      <c r="S96" s="266"/>
      <c r="U96" s="20"/>
      <c r="V96" s="11"/>
      <c r="W96" s="20"/>
    </row>
    <row r="97" spans="2:23">
      <c r="B97" s="63"/>
      <c r="C97" s="20"/>
      <c r="D97" s="20"/>
      <c r="E97" s="266"/>
      <c r="F97" s="63"/>
      <c r="G97" s="63"/>
      <c r="H97" s="63"/>
      <c r="I97" s="266"/>
      <c r="J97" s="20"/>
      <c r="K97" s="20"/>
      <c r="L97" s="266"/>
      <c r="M97" s="20"/>
      <c r="N97" s="20"/>
      <c r="O97" s="266"/>
      <c r="P97" s="20"/>
      <c r="Q97" s="20"/>
      <c r="R97" s="20"/>
      <c r="S97" s="266"/>
      <c r="U97" s="20"/>
      <c r="V97" s="11"/>
      <c r="W97" s="20"/>
    </row>
    <row r="98" spans="2:23">
      <c r="B98" s="63"/>
      <c r="C98" s="20"/>
      <c r="D98" s="20"/>
      <c r="E98" s="266"/>
      <c r="F98" s="63"/>
      <c r="G98" s="63"/>
      <c r="H98" s="63"/>
      <c r="I98" s="266"/>
      <c r="J98" s="20"/>
      <c r="K98" s="20"/>
      <c r="L98" s="266"/>
      <c r="M98" s="20"/>
      <c r="N98" s="20"/>
      <c r="O98" s="266"/>
      <c r="P98" s="20"/>
      <c r="Q98" s="20"/>
      <c r="R98" s="20"/>
      <c r="S98" s="266"/>
      <c r="U98" s="20"/>
      <c r="V98" s="11"/>
      <c r="W98" s="20"/>
    </row>
    <row r="99" spans="2:23">
      <c r="B99" s="63"/>
      <c r="C99" s="20"/>
      <c r="D99" s="20"/>
      <c r="E99" s="266"/>
      <c r="F99" s="63"/>
      <c r="G99" s="63"/>
      <c r="H99" s="63"/>
      <c r="I99" s="266"/>
      <c r="J99" s="20"/>
      <c r="K99" s="20"/>
      <c r="L99" s="266"/>
      <c r="M99" s="20"/>
      <c r="N99" s="20"/>
      <c r="O99" s="266"/>
      <c r="P99" s="20"/>
      <c r="Q99" s="20"/>
      <c r="R99" s="20"/>
      <c r="S99" s="266"/>
      <c r="U99" s="20"/>
      <c r="V99" s="11"/>
      <c r="W99" s="20"/>
    </row>
    <row r="100" spans="2:23">
      <c r="B100" s="63"/>
      <c r="C100" s="20"/>
      <c r="D100" s="20"/>
      <c r="E100" s="266"/>
      <c r="F100" s="63"/>
      <c r="G100" s="63"/>
      <c r="H100" s="63"/>
      <c r="I100" s="266"/>
      <c r="J100" s="20"/>
      <c r="K100" s="20"/>
      <c r="L100" s="266"/>
      <c r="M100" s="20"/>
      <c r="N100" s="20"/>
      <c r="O100" s="266"/>
      <c r="P100" s="20"/>
      <c r="Q100" s="20"/>
      <c r="R100" s="20"/>
      <c r="S100" s="266"/>
      <c r="U100" s="20"/>
      <c r="V100" s="11"/>
      <c r="W100" s="20"/>
    </row>
    <row r="101" spans="2:23">
      <c r="B101" s="63"/>
      <c r="C101" s="20"/>
      <c r="D101" s="20"/>
      <c r="E101" s="266"/>
      <c r="F101" s="63"/>
      <c r="G101" s="63"/>
      <c r="H101" s="63"/>
      <c r="I101" s="266"/>
      <c r="J101" s="20"/>
      <c r="K101" s="20"/>
      <c r="L101" s="266"/>
      <c r="M101" s="20"/>
      <c r="N101" s="20"/>
      <c r="O101" s="266"/>
      <c r="P101" s="20"/>
      <c r="Q101" s="20"/>
      <c r="R101" s="20"/>
      <c r="S101" s="266"/>
      <c r="U101" s="20"/>
      <c r="V101" s="11"/>
      <c r="W101" s="20"/>
    </row>
    <row r="102" spans="2:23">
      <c r="B102" s="63"/>
      <c r="C102" s="20"/>
      <c r="D102" s="20"/>
      <c r="E102" s="266"/>
      <c r="F102" s="63"/>
      <c r="G102" s="63"/>
      <c r="H102" s="63"/>
      <c r="I102" s="266"/>
      <c r="J102" s="20"/>
      <c r="K102" s="20"/>
      <c r="L102" s="266"/>
      <c r="M102" s="20"/>
      <c r="N102" s="20"/>
      <c r="O102" s="266"/>
      <c r="P102" s="20"/>
      <c r="Q102" s="20"/>
      <c r="R102" s="20"/>
      <c r="S102" s="266"/>
      <c r="U102" s="20"/>
      <c r="V102" s="11"/>
      <c r="W102" s="20"/>
    </row>
    <row r="103" spans="2:23">
      <c r="B103" s="63"/>
      <c r="C103" s="20"/>
      <c r="D103" s="20"/>
      <c r="E103" s="266"/>
      <c r="F103" s="63"/>
      <c r="G103" s="63"/>
      <c r="H103" s="63"/>
      <c r="I103" s="266"/>
      <c r="J103" s="20"/>
      <c r="K103" s="20"/>
      <c r="L103" s="266"/>
      <c r="M103" s="20"/>
      <c r="N103" s="20"/>
      <c r="O103" s="266"/>
      <c r="P103" s="20"/>
      <c r="Q103" s="20"/>
      <c r="R103" s="20"/>
      <c r="S103" s="266"/>
      <c r="U103" s="20"/>
      <c r="V103" s="11"/>
      <c r="W103" s="20"/>
    </row>
    <row r="104" spans="2:23">
      <c r="B104" s="63"/>
      <c r="C104" s="20"/>
      <c r="D104" s="20"/>
      <c r="E104" s="266"/>
      <c r="F104" s="63"/>
      <c r="G104" s="63"/>
      <c r="H104" s="63"/>
      <c r="I104" s="266"/>
      <c r="J104" s="20"/>
      <c r="K104" s="20"/>
      <c r="L104" s="266"/>
      <c r="M104" s="20"/>
      <c r="N104" s="20"/>
      <c r="O104" s="266"/>
      <c r="P104" s="20"/>
      <c r="Q104" s="20"/>
      <c r="R104" s="20"/>
      <c r="S104" s="266"/>
      <c r="U104" s="20"/>
      <c r="V104" s="11"/>
      <c r="W104" s="20"/>
    </row>
    <row r="105" spans="2:23">
      <c r="B105" s="63"/>
      <c r="C105" s="20"/>
      <c r="D105" s="20"/>
      <c r="E105" s="266"/>
      <c r="F105" s="63"/>
      <c r="G105" s="63"/>
      <c r="H105" s="63"/>
      <c r="I105" s="266"/>
      <c r="J105" s="20"/>
      <c r="K105" s="20"/>
      <c r="L105" s="266"/>
      <c r="M105" s="20"/>
      <c r="N105" s="20"/>
      <c r="O105" s="266"/>
      <c r="P105" s="20"/>
      <c r="Q105" s="20"/>
      <c r="R105" s="20"/>
      <c r="S105" s="266"/>
      <c r="U105" s="20"/>
      <c r="V105" s="11"/>
      <c r="W105" s="20"/>
    </row>
    <row r="106" spans="2:23">
      <c r="B106" s="63"/>
      <c r="C106" s="20"/>
      <c r="D106" s="20"/>
      <c r="E106" s="266"/>
      <c r="F106" s="63"/>
      <c r="G106" s="63"/>
      <c r="H106" s="63"/>
      <c r="I106" s="266"/>
      <c r="J106" s="20"/>
      <c r="K106" s="20"/>
      <c r="L106" s="266"/>
      <c r="M106" s="20"/>
      <c r="N106" s="20"/>
      <c r="O106" s="266"/>
      <c r="P106" s="20"/>
      <c r="Q106" s="20"/>
      <c r="R106" s="20"/>
      <c r="S106" s="266"/>
      <c r="U106" s="20"/>
      <c r="V106" s="11"/>
      <c r="W106" s="20"/>
    </row>
    <row r="107" spans="2:23">
      <c r="B107" s="63"/>
      <c r="C107" s="20"/>
      <c r="D107" s="20"/>
      <c r="E107" s="266"/>
      <c r="F107" s="63"/>
      <c r="G107" s="63"/>
      <c r="H107" s="63"/>
      <c r="I107" s="266"/>
      <c r="J107" s="20"/>
      <c r="K107" s="20"/>
      <c r="L107" s="266"/>
      <c r="M107" s="20"/>
      <c r="N107" s="20"/>
      <c r="O107" s="266"/>
      <c r="P107" s="20"/>
      <c r="Q107" s="20"/>
      <c r="R107" s="20"/>
      <c r="S107" s="266"/>
      <c r="U107" s="20"/>
      <c r="V107" s="11"/>
      <c r="W107" s="20"/>
    </row>
    <row r="108" spans="2:23">
      <c r="B108" s="63"/>
      <c r="C108" s="20"/>
      <c r="D108" s="20"/>
      <c r="E108" s="266"/>
      <c r="F108" s="63"/>
      <c r="G108" s="63"/>
      <c r="H108" s="63"/>
      <c r="I108" s="266"/>
      <c r="J108" s="20"/>
      <c r="K108" s="20"/>
      <c r="L108" s="266"/>
      <c r="M108" s="20"/>
      <c r="N108" s="20"/>
      <c r="O108" s="266"/>
      <c r="P108" s="20"/>
      <c r="Q108" s="20"/>
      <c r="R108" s="20"/>
      <c r="S108" s="266"/>
      <c r="U108" s="20"/>
      <c r="V108" s="11"/>
      <c r="W108" s="20"/>
    </row>
    <row r="109" spans="2:23">
      <c r="B109" s="63"/>
      <c r="C109" s="20"/>
      <c r="D109" s="20"/>
      <c r="E109" s="266"/>
      <c r="F109" s="63"/>
      <c r="G109" s="63"/>
      <c r="H109" s="63"/>
      <c r="I109" s="266"/>
      <c r="J109" s="20"/>
      <c r="K109" s="20"/>
      <c r="L109" s="266"/>
      <c r="M109" s="20"/>
      <c r="N109" s="20"/>
      <c r="O109" s="266"/>
      <c r="P109" s="20"/>
      <c r="Q109" s="20"/>
      <c r="R109" s="20"/>
      <c r="S109" s="266"/>
      <c r="U109" s="20"/>
      <c r="V109" s="11"/>
      <c r="W109" s="20"/>
    </row>
    <row r="110" spans="2:23">
      <c r="B110" s="63"/>
      <c r="C110" s="20"/>
      <c r="D110" s="20"/>
      <c r="E110" s="266"/>
      <c r="F110" s="63"/>
      <c r="G110" s="63"/>
      <c r="H110" s="63"/>
      <c r="I110" s="266"/>
      <c r="J110" s="20"/>
      <c r="K110" s="20"/>
      <c r="L110" s="266"/>
      <c r="M110" s="20"/>
      <c r="N110" s="20"/>
      <c r="O110" s="266"/>
      <c r="P110" s="20"/>
      <c r="Q110" s="20"/>
      <c r="R110" s="20"/>
      <c r="S110" s="266"/>
      <c r="U110" s="20"/>
      <c r="V110" s="11"/>
      <c r="W110" s="20"/>
    </row>
    <row r="111" spans="2:23">
      <c r="B111" s="63"/>
      <c r="C111" s="20"/>
      <c r="D111" s="20"/>
      <c r="E111" s="266"/>
      <c r="F111" s="63"/>
      <c r="G111" s="63"/>
      <c r="H111" s="63"/>
      <c r="I111" s="266"/>
      <c r="J111" s="20"/>
      <c r="K111" s="20"/>
      <c r="L111" s="266"/>
      <c r="M111" s="20"/>
      <c r="N111" s="20"/>
      <c r="O111" s="266"/>
      <c r="P111" s="20"/>
      <c r="Q111" s="20"/>
      <c r="R111" s="20"/>
      <c r="S111" s="266"/>
      <c r="U111" s="20"/>
      <c r="V111" s="11"/>
      <c r="W111" s="20"/>
    </row>
    <row r="112" spans="2:23">
      <c r="B112" s="63"/>
      <c r="C112" s="20"/>
      <c r="D112" s="20"/>
      <c r="E112" s="266"/>
      <c r="F112" s="63"/>
      <c r="G112" s="63"/>
      <c r="H112" s="63"/>
      <c r="I112" s="266"/>
      <c r="J112" s="20"/>
      <c r="K112" s="20"/>
      <c r="L112" s="266"/>
      <c r="M112" s="20"/>
      <c r="N112" s="20"/>
      <c r="O112" s="266"/>
      <c r="P112" s="20"/>
      <c r="Q112" s="20"/>
      <c r="R112" s="20"/>
      <c r="S112" s="266"/>
      <c r="U112" s="20"/>
      <c r="V112" s="11"/>
      <c r="W112" s="20"/>
    </row>
    <row r="113" spans="1:23">
      <c r="B113" s="63"/>
      <c r="C113" s="20"/>
      <c r="D113" s="20"/>
      <c r="E113" s="266"/>
      <c r="F113" s="63"/>
      <c r="G113" s="63"/>
      <c r="H113" s="63"/>
      <c r="I113" s="266"/>
      <c r="J113" s="20"/>
      <c r="K113" s="20"/>
      <c r="L113" s="266"/>
      <c r="M113" s="20"/>
      <c r="N113" s="20"/>
      <c r="O113" s="266"/>
      <c r="P113" s="20"/>
      <c r="Q113" s="20"/>
      <c r="R113" s="20"/>
      <c r="S113" s="266"/>
      <c r="U113" s="20"/>
      <c r="V113" s="11"/>
      <c r="W113" s="20"/>
    </row>
    <row r="114" spans="1:23">
      <c r="B114" s="63"/>
      <c r="C114" s="20"/>
      <c r="D114" s="20"/>
      <c r="E114" s="266"/>
      <c r="F114" s="63"/>
      <c r="G114" s="63"/>
      <c r="H114" s="63"/>
      <c r="I114" s="266"/>
      <c r="J114" s="20"/>
      <c r="K114" s="20"/>
      <c r="L114" s="266"/>
      <c r="M114" s="20"/>
      <c r="N114" s="20"/>
      <c r="O114" s="266"/>
      <c r="P114" s="20"/>
      <c r="Q114" s="20"/>
      <c r="R114" s="20"/>
      <c r="S114" s="266"/>
      <c r="U114" s="20"/>
      <c r="V114" s="11"/>
      <c r="W114" s="20"/>
    </row>
    <row r="115" spans="1:23">
      <c r="B115" s="63"/>
      <c r="C115" s="20"/>
      <c r="D115" s="20"/>
      <c r="E115" s="266"/>
      <c r="F115" s="63"/>
      <c r="G115" s="63"/>
      <c r="H115" s="63"/>
      <c r="I115" s="266"/>
      <c r="J115" s="20"/>
      <c r="K115" s="20"/>
      <c r="L115" s="266"/>
      <c r="M115" s="20"/>
      <c r="N115" s="20"/>
      <c r="O115" s="266"/>
      <c r="P115" s="20"/>
      <c r="Q115" s="20"/>
      <c r="R115" s="20"/>
      <c r="S115" s="266"/>
      <c r="U115" s="20"/>
      <c r="V115" s="11"/>
      <c r="W115" s="20"/>
    </row>
    <row r="116" spans="1:23">
      <c r="B116" s="63"/>
      <c r="C116" s="20"/>
      <c r="D116" s="20"/>
      <c r="E116" s="266"/>
      <c r="F116" s="63"/>
      <c r="G116" s="63"/>
      <c r="H116" s="63"/>
      <c r="I116" s="266"/>
      <c r="J116" s="20"/>
      <c r="K116" s="20"/>
      <c r="L116" s="266"/>
      <c r="M116" s="20"/>
      <c r="N116" s="20"/>
      <c r="O116" s="266"/>
      <c r="P116" s="20"/>
      <c r="Q116" s="20"/>
      <c r="R116" s="20"/>
      <c r="S116" s="266"/>
      <c r="U116" s="20"/>
      <c r="V116" s="11"/>
      <c r="W116" s="20"/>
    </row>
    <row r="117" spans="1:23">
      <c r="B117" s="63"/>
      <c r="C117" s="20"/>
      <c r="D117" s="20"/>
      <c r="E117" s="266"/>
      <c r="F117" s="63"/>
      <c r="G117" s="63"/>
      <c r="H117" s="63"/>
      <c r="I117" s="266"/>
      <c r="J117" s="20"/>
      <c r="K117" s="20"/>
      <c r="L117" s="266"/>
      <c r="M117" s="20"/>
      <c r="N117" s="20"/>
      <c r="O117" s="266"/>
      <c r="P117" s="20"/>
      <c r="Q117" s="20"/>
      <c r="R117" s="20"/>
      <c r="S117" s="266"/>
      <c r="U117" s="20"/>
      <c r="V117" s="11"/>
      <c r="W117" s="20"/>
    </row>
    <row r="118" spans="1:23">
      <c r="B118" s="63"/>
      <c r="C118" s="20"/>
      <c r="D118" s="20"/>
      <c r="E118" s="266"/>
      <c r="F118" s="63"/>
      <c r="G118" s="63"/>
      <c r="H118" s="63"/>
      <c r="I118" s="266"/>
      <c r="J118" s="20"/>
      <c r="K118" s="20"/>
      <c r="L118" s="266"/>
      <c r="M118" s="20"/>
      <c r="N118" s="20"/>
      <c r="O118" s="266"/>
      <c r="P118" s="20"/>
      <c r="Q118" s="20"/>
      <c r="R118" s="20"/>
      <c r="S118" s="266"/>
      <c r="U118" s="20"/>
      <c r="V118" s="11"/>
      <c r="W118" s="20"/>
    </row>
    <row r="119" spans="1:23">
      <c r="B119" s="63"/>
      <c r="C119" s="20"/>
      <c r="D119" s="20"/>
      <c r="E119" s="266"/>
      <c r="F119" s="63"/>
      <c r="G119" s="63"/>
      <c r="H119" s="63"/>
      <c r="I119" s="266"/>
      <c r="J119" s="20"/>
      <c r="K119" s="20"/>
      <c r="L119" s="266"/>
      <c r="M119" s="20"/>
      <c r="N119" s="20"/>
      <c r="O119" s="266"/>
      <c r="P119" s="20"/>
      <c r="Q119" s="20"/>
      <c r="R119" s="20"/>
      <c r="S119" s="266"/>
      <c r="U119" s="20"/>
      <c r="V119" s="11"/>
      <c r="W119" s="20"/>
    </row>
    <row r="120" spans="1:23">
      <c r="B120" s="63"/>
      <c r="C120" s="20"/>
      <c r="D120" s="20"/>
      <c r="E120" s="266"/>
      <c r="F120" s="63"/>
      <c r="G120" s="63"/>
      <c r="H120" s="63"/>
      <c r="I120" s="266"/>
      <c r="J120" s="20"/>
      <c r="K120" s="20"/>
      <c r="L120" s="266"/>
      <c r="M120" s="20"/>
      <c r="N120" s="20"/>
      <c r="O120" s="266"/>
      <c r="P120" s="20"/>
      <c r="Q120" s="20"/>
      <c r="R120" s="20"/>
      <c r="S120" s="266"/>
      <c r="U120" s="20"/>
      <c r="V120" s="11"/>
      <c r="W120" s="20"/>
    </row>
    <row r="121" spans="1:23">
      <c r="B121" s="63"/>
      <c r="C121" s="20"/>
      <c r="D121" s="20"/>
      <c r="E121" s="266"/>
      <c r="F121" s="63"/>
      <c r="G121" s="63"/>
      <c r="H121" s="63"/>
      <c r="I121" s="266"/>
      <c r="J121" s="20"/>
      <c r="K121" s="20"/>
      <c r="L121" s="266"/>
      <c r="M121" s="20"/>
      <c r="N121" s="20"/>
      <c r="O121" s="266"/>
      <c r="P121" s="20"/>
      <c r="Q121" s="20"/>
      <c r="R121" s="20"/>
      <c r="S121" s="266"/>
      <c r="U121" s="20"/>
      <c r="V121" s="11"/>
      <c r="W121" s="20"/>
    </row>
    <row r="122" spans="1:23">
      <c r="B122" s="63"/>
      <c r="C122" s="20"/>
      <c r="D122" s="20"/>
      <c r="E122" s="266"/>
      <c r="F122" s="63"/>
      <c r="G122" s="63"/>
      <c r="H122" s="63"/>
      <c r="I122" s="266"/>
      <c r="J122" s="20"/>
      <c r="K122" s="20"/>
      <c r="L122" s="266"/>
      <c r="M122" s="20"/>
      <c r="N122" s="20"/>
      <c r="O122" s="266"/>
      <c r="P122" s="20"/>
      <c r="Q122" s="20"/>
      <c r="R122" s="20"/>
      <c r="S122" s="266"/>
      <c r="U122" s="20"/>
      <c r="V122" s="11"/>
      <c r="W122" s="20"/>
    </row>
    <row r="123" spans="1:23">
      <c r="B123" s="63"/>
      <c r="C123" s="20"/>
      <c r="D123" s="20"/>
      <c r="E123" s="266"/>
      <c r="F123" s="63"/>
      <c r="G123" s="63"/>
      <c r="H123" s="63"/>
      <c r="I123" s="266"/>
      <c r="J123" s="20"/>
      <c r="K123" s="20"/>
      <c r="L123" s="266"/>
      <c r="M123" s="20"/>
      <c r="N123" s="20"/>
      <c r="O123" s="266"/>
      <c r="P123" s="20"/>
      <c r="Q123" s="20"/>
      <c r="R123" s="20"/>
      <c r="S123" s="266"/>
      <c r="U123" s="20"/>
      <c r="V123" s="11"/>
      <c r="W123" s="20"/>
    </row>
    <row r="124" spans="1:23">
      <c r="A124" s="20"/>
      <c r="B124" s="63"/>
      <c r="C124" s="20"/>
      <c r="D124" s="20"/>
      <c r="E124" s="266"/>
      <c r="F124" s="63"/>
      <c r="G124" s="63"/>
      <c r="H124" s="63"/>
      <c r="I124" s="266"/>
      <c r="J124" s="20"/>
      <c r="K124" s="20"/>
      <c r="L124" s="266"/>
      <c r="M124" s="20"/>
      <c r="N124" s="20"/>
      <c r="O124" s="266"/>
      <c r="P124" s="20"/>
      <c r="Q124" s="20"/>
      <c r="R124" s="20"/>
      <c r="S124" s="266"/>
      <c r="U124" s="20"/>
      <c r="V124" s="11"/>
      <c r="W124" s="20"/>
    </row>
    <row r="125" spans="1:23">
      <c r="A125" s="20"/>
      <c r="B125" s="63"/>
      <c r="C125" s="20"/>
      <c r="D125" s="20"/>
      <c r="E125" s="266"/>
      <c r="F125" s="63"/>
      <c r="G125" s="63"/>
      <c r="H125" s="63"/>
      <c r="I125" s="266"/>
      <c r="J125" s="20"/>
      <c r="K125" s="20"/>
      <c r="L125" s="266"/>
      <c r="M125" s="20"/>
      <c r="N125" s="20"/>
      <c r="O125" s="266"/>
      <c r="P125" s="20"/>
      <c r="Q125" s="20"/>
      <c r="R125" s="20"/>
      <c r="S125" s="266"/>
      <c r="U125" s="20"/>
      <c r="V125" s="11"/>
      <c r="W125" s="20"/>
    </row>
    <row r="126" spans="1:23">
      <c r="A126" s="20"/>
      <c r="B126" s="63"/>
      <c r="C126" s="20"/>
      <c r="D126" s="20"/>
      <c r="E126" s="266"/>
      <c r="F126" s="63"/>
      <c r="G126" s="63"/>
      <c r="H126" s="63"/>
      <c r="I126" s="266"/>
      <c r="J126" s="20"/>
      <c r="K126" s="20"/>
      <c r="L126" s="266"/>
      <c r="M126" s="20"/>
      <c r="N126" s="20"/>
      <c r="O126" s="266"/>
      <c r="P126" s="20"/>
      <c r="Q126" s="20"/>
      <c r="R126" s="20"/>
      <c r="S126" s="266"/>
      <c r="U126" s="20"/>
      <c r="V126" s="11"/>
      <c r="W126" s="20"/>
    </row>
    <row r="127" spans="1:23">
      <c r="A127" s="20"/>
      <c r="B127" s="63"/>
      <c r="C127" s="20"/>
      <c r="D127" s="20"/>
      <c r="E127" s="266"/>
      <c r="F127" s="63"/>
      <c r="G127" s="63"/>
      <c r="H127" s="63"/>
      <c r="I127" s="266"/>
      <c r="J127" s="20"/>
      <c r="K127" s="20"/>
      <c r="L127" s="266"/>
      <c r="M127" s="20"/>
      <c r="N127" s="20"/>
      <c r="O127" s="266"/>
      <c r="P127" s="20"/>
      <c r="Q127" s="20"/>
      <c r="R127" s="20"/>
      <c r="S127" s="266"/>
      <c r="U127" s="20"/>
      <c r="V127" s="11"/>
      <c r="W127" s="20"/>
    </row>
    <row r="128" spans="1:23">
      <c r="A128" s="20"/>
      <c r="B128" s="63"/>
      <c r="C128" s="20"/>
      <c r="D128" s="20"/>
      <c r="E128" s="266"/>
      <c r="F128" s="63"/>
      <c r="G128" s="63"/>
      <c r="H128" s="63"/>
      <c r="I128" s="266"/>
      <c r="J128" s="20"/>
      <c r="K128" s="20"/>
      <c r="L128" s="266"/>
      <c r="M128" s="20"/>
      <c r="N128" s="20"/>
      <c r="O128" s="266"/>
      <c r="P128" s="20"/>
      <c r="Q128" s="20"/>
      <c r="R128" s="20"/>
      <c r="S128" s="266"/>
      <c r="U128" s="20"/>
      <c r="V128" s="11"/>
      <c r="W128" s="20"/>
    </row>
    <row r="129" spans="1:23">
      <c r="A129" s="20"/>
      <c r="B129" s="63"/>
      <c r="C129" s="20"/>
      <c r="D129" s="20"/>
      <c r="E129" s="266"/>
      <c r="F129" s="63"/>
      <c r="G129" s="63"/>
      <c r="H129" s="63"/>
      <c r="I129" s="266"/>
      <c r="J129" s="20"/>
      <c r="K129" s="20"/>
      <c r="L129" s="266"/>
      <c r="M129" s="20"/>
      <c r="N129" s="20"/>
      <c r="O129" s="266"/>
      <c r="P129" s="20"/>
      <c r="Q129" s="20"/>
      <c r="R129" s="20"/>
      <c r="S129" s="266"/>
      <c r="U129" s="20"/>
      <c r="V129" s="11"/>
      <c r="W129" s="20"/>
    </row>
    <row r="130" spans="1:23">
      <c r="A130" s="20"/>
      <c r="B130" s="63"/>
      <c r="C130" s="20"/>
      <c r="D130" s="20"/>
      <c r="E130" s="266"/>
      <c r="F130" s="63"/>
      <c r="G130" s="63"/>
      <c r="H130" s="63"/>
      <c r="I130" s="266"/>
      <c r="J130" s="20"/>
      <c r="K130" s="20"/>
      <c r="L130" s="266"/>
      <c r="M130" s="20"/>
      <c r="N130" s="20"/>
      <c r="O130" s="266"/>
      <c r="P130" s="20"/>
      <c r="Q130" s="20"/>
      <c r="R130" s="20"/>
      <c r="S130" s="266"/>
      <c r="U130" s="20"/>
      <c r="V130" s="11"/>
      <c r="W130" s="20"/>
    </row>
    <row r="131" spans="1:23">
      <c r="A131" s="20"/>
      <c r="B131" s="63"/>
      <c r="C131" s="20"/>
      <c r="D131" s="20"/>
      <c r="E131" s="266"/>
      <c r="F131" s="63"/>
      <c r="G131" s="63"/>
      <c r="H131" s="63"/>
      <c r="I131" s="266"/>
      <c r="J131" s="20"/>
      <c r="K131" s="20"/>
      <c r="L131" s="266"/>
      <c r="M131" s="20"/>
      <c r="N131" s="20"/>
      <c r="O131" s="266"/>
      <c r="P131" s="20"/>
      <c r="Q131" s="20"/>
      <c r="R131" s="20"/>
      <c r="S131" s="266"/>
      <c r="U131" s="20"/>
      <c r="V131" s="11"/>
      <c r="W131" s="20"/>
    </row>
    <row r="132" spans="1:23">
      <c r="A132" s="20"/>
      <c r="B132" s="63"/>
      <c r="C132" s="20"/>
      <c r="D132" s="20"/>
      <c r="E132" s="266"/>
      <c r="F132" s="63"/>
      <c r="G132" s="63"/>
      <c r="H132" s="63"/>
      <c r="I132" s="266"/>
      <c r="J132" s="20"/>
      <c r="K132" s="20"/>
      <c r="L132" s="266"/>
      <c r="M132" s="20"/>
      <c r="N132" s="20"/>
      <c r="O132" s="266"/>
      <c r="P132" s="20"/>
      <c r="Q132" s="20"/>
      <c r="R132" s="20"/>
      <c r="S132" s="266"/>
      <c r="U132" s="20"/>
      <c r="V132" s="11"/>
      <c r="W132" s="20"/>
    </row>
    <row r="133" spans="1:23">
      <c r="A133" s="20"/>
      <c r="B133" s="63"/>
      <c r="C133" s="20"/>
      <c r="D133" s="20"/>
      <c r="E133" s="266"/>
      <c r="F133" s="63"/>
      <c r="G133" s="63"/>
      <c r="H133" s="63"/>
      <c r="I133" s="266"/>
      <c r="J133" s="20"/>
      <c r="K133" s="20"/>
      <c r="L133" s="266"/>
      <c r="M133" s="20"/>
      <c r="N133" s="20"/>
      <c r="O133" s="266"/>
      <c r="P133" s="20"/>
      <c r="Q133" s="20"/>
      <c r="R133" s="20"/>
      <c r="S133" s="266"/>
      <c r="U133" s="20"/>
      <c r="V133" s="11"/>
      <c r="W133" s="20"/>
    </row>
    <row r="134" spans="1:23">
      <c r="A134" s="20"/>
      <c r="B134" s="63"/>
      <c r="C134" s="20"/>
      <c r="D134" s="20"/>
      <c r="E134" s="266"/>
      <c r="F134" s="63"/>
      <c r="G134" s="63"/>
      <c r="H134" s="63"/>
      <c r="I134" s="266"/>
      <c r="J134" s="20"/>
      <c r="K134" s="20"/>
      <c r="L134" s="266"/>
      <c r="M134" s="20"/>
      <c r="N134" s="20"/>
      <c r="O134" s="266"/>
      <c r="P134" s="20"/>
      <c r="Q134" s="20"/>
      <c r="R134" s="20"/>
      <c r="S134" s="266"/>
      <c r="U134" s="20"/>
      <c r="V134" s="11"/>
      <c r="W134" s="20"/>
    </row>
    <row r="135" spans="1:23">
      <c r="A135" s="20"/>
      <c r="B135" s="63"/>
      <c r="C135" s="20"/>
      <c r="D135" s="20"/>
      <c r="E135" s="266"/>
      <c r="F135" s="63"/>
      <c r="G135" s="63"/>
      <c r="H135" s="63"/>
      <c r="I135" s="266"/>
      <c r="J135" s="20"/>
      <c r="K135" s="20"/>
      <c r="L135" s="266"/>
      <c r="M135" s="20"/>
      <c r="N135" s="20"/>
      <c r="O135" s="266"/>
      <c r="P135" s="20"/>
      <c r="Q135" s="20"/>
      <c r="R135" s="20"/>
      <c r="S135" s="266"/>
      <c r="U135" s="20"/>
      <c r="V135" s="11"/>
      <c r="W135" s="20"/>
    </row>
    <row r="136" spans="1:23">
      <c r="A136" s="20"/>
      <c r="B136" s="63"/>
      <c r="C136" s="20"/>
      <c r="D136" s="20"/>
      <c r="E136" s="266"/>
      <c r="F136" s="63"/>
      <c r="G136" s="63"/>
      <c r="H136" s="63"/>
      <c r="I136" s="266"/>
      <c r="J136" s="20"/>
      <c r="K136" s="20"/>
      <c r="L136" s="266"/>
      <c r="M136" s="20"/>
      <c r="N136" s="20"/>
      <c r="O136" s="266"/>
      <c r="P136" s="20"/>
      <c r="Q136" s="20"/>
      <c r="R136" s="20"/>
      <c r="S136" s="266"/>
      <c r="U136" s="20"/>
      <c r="V136" s="11"/>
      <c r="W136" s="20"/>
    </row>
    <row r="137" spans="1:23">
      <c r="A137" s="20"/>
      <c r="B137" s="63"/>
      <c r="C137" s="20"/>
      <c r="D137" s="20"/>
      <c r="E137" s="266"/>
      <c r="F137" s="63"/>
      <c r="G137" s="63"/>
      <c r="H137" s="63"/>
      <c r="I137" s="266"/>
      <c r="J137" s="20"/>
      <c r="K137" s="20"/>
      <c r="L137" s="266"/>
      <c r="M137" s="20"/>
      <c r="N137" s="20"/>
      <c r="O137" s="266"/>
      <c r="P137" s="20"/>
      <c r="Q137" s="20"/>
      <c r="R137" s="20"/>
      <c r="S137" s="266"/>
      <c r="U137" s="20"/>
      <c r="V137" s="11"/>
      <c r="W137" s="20"/>
    </row>
    <row r="138" spans="1:23">
      <c r="A138" s="20"/>
      <c r="B138" s="63"/>
      <c r="C138" s="20"/>
      <c r="D138" s="20"/>
      <c r="E138" s="266"/>
      <c r="F138" s="63"/>
      <c r="G138" s="63"/>
      <c r="H138" s="63"/>
      <c r="I138" s="266"/>
      <c r="J138" s="20"/>
      <c r="K138" s="20"/>
      <c r="L138" s="266"/>
      <c r="M138" s="20"/>
      <c r="N138" s="20"/>
      <c r="O138" s="266"/>
      <c r="P138" s="20"/>
      <c r="Q138" s="20"/>
      <c r="R138" s="20"/>
      <c r="S138" s="266"/>
      <c r="U138" s="20"/>
      <c r="V138" s="11"/>
      <c r="W138" s="20"/>
    </row>
    <row r="139" spans="1:23">
      <c r="A139" s="20"/>
      <c r="B139" s="63"/>
      <c r="C139" s="20"/>
      <c r="D139" s="20"/>
      <c r="E139" s="266"/>
      <c r="F139" s="63"/>
      <c r="G139" s="63"/>
      <c r="H139" s="63"/>
      <c r="I139" s="266"/>
      <c r="J139" s="20"/>
      <c r="K139" s="20"/>
      <c r="L139" s="266"/>
      <c r="M139" s="20"/>
      <c r="N139" s="20"/>
      <c r="O139" s="266"/>
      <c r="P139" s="20"/>
      <c r="Q139" s="20"/>
      <c r="R139" s="20"/>
      <c r="S139" s="266"/>
      <c r="U139" s="20"/>
      <c r="V139" s="11"/>
      <c r="W139" s="20"/>
    </row>
    <row r="140" spans="1:23">
      <c r="A140" s="20"/>
      <c r="B140" s="63"/>
      <c r="C140" s="20"/>
      <c r="D140" s="20"/>
      <c r="E140" s="266"/>
      <c r="F140" s="63"/>
      <c r="G140" s="63"/>
      <c r="H140" s="63"/>
      <c r="I140" s="266"/>
      <c r="J140" s="20"/>
      <c r="K140" s="20"/>
      <c r="L140" s="266"/>
      <c r="M140" s="20"/>
      <c r="N140" s="20"/>
      <c r="O140" s="266"/>
      <c r="P140" s="20"/>
      <c r="Q140" s="20"/>
      <c r="R140" s="20"/>
      <c r="S140" s="266"/>
      <c r="U140" s="20"/>
      <c r="V140" s="11"/>
      <c r="W140" s="20"/>
    </row>
    <row r="141" spans="1:23">
      <c r="A141" s="20"/>
      <c r="B141" s="63"/>
      <c r="C141" s="20"/>
      <c r="D141" s="20"/>
      <c r="E141" s="266"/>
      <c r="F141" s="63"/>
      <c r="G141" s="63"/>
      <c r="H141" s="63"/>
      <c r="I141" s="266"/>
      <c r="J141" s="20"/>
      <c r="K141" s="20"/>
      <c r="L141" s="266"/>
      <c r="M141" s="20"/>
      <c r="N141" s="20"/>
      <c r="O141" s="266"/>
      <c r="P141" s="20"/>
      <c r="Q141" s="20"/>
      <c r="R141" s="20"/>
      <c r="S141" s="266"/>
      <c r="U141" s="20"/>
      <c r="V141" s="11"/>
      <c r="W141" s="20"/>
    </row>
    <row r="142" spans="1:23">
      <c r="A142" s="20"/>
      <c r="B142" s="63"/>
      <c r="C142" s="20"/>
      <c r="D142" s="20"/>
      <c r="E142" s="266"/>
      <c r="F142" s="63"/>
      <c r="G142" s="63"/>
      <c r="H142" s="63"/>
      <c r="I142" s="266"/>
      <c r="J142" s="20"/>
      <c r="K142" s="20"/>
      <c r="L142" s="266"/>
      <c r="M142" s="20"/>
      <c r="N142" s="20"/>
      <c r="O142" s="266"/>
      <c r="P142" s="20"/>
      <c r="Q142" s="20"/>
      <c r="R142" s="20"/>
      <c r="S142" s="266"/>
      <c r="U142" s="20"/>
      <c r="V142" s="11"/>
      <c r="W142" s="20"/>
    </row>
    <row r="143" spans="1:23">
      <c r="A143" s="20"/>
      <c r="B143" s="63"/>
      <c r="C143" s="20"/>
      <c r="D143" s="20"/>
      <c r="E143" s="266"/>
      <c r="F143" s="63"/>
      <c r="G143" s="63"/>
      <c r="H143" s="63"/>
      <c r="I143" s="266"/>
      <c r="J143" s="20"/>
      <c r="K143" s="20"/>
      <c r="L143" s="266"/>
      <c r="M143" s="20"/>
      <c r="N143" s="20"/>
      <c r="O143" s="266"/>
      <c r="P143" s="20"/>
      <c r="Q143" s="20"/>
      <c r="R143" s="20"/>
      <c r="S143" s="266"/>
      <c r="U143" s="20"/>
      <c r="V143" s="11"/>
      <c r="W143" s="20"/>
    </row>
    <row r="144" spans="1:23">
      <c r="A144" s="20"/>
      <c r="B144" s="63"/>
      <c r="C144" s="20"/>
      <c r="D144" s="20"/>
      <c r="E144" s="266"/>
      <c r="F144" s="63"/>
      <c r="G144" s="63"/>
      <c r="H144" s="63"/>
      <c r="I144" s="266"/>
      <c r="J144" s="20"/>
      <c r="K144" s="20"/>
      <c r="L144" s="266"/>
      <c r="M144" s="20"/>
      <c r="N144" s="20"/>
      <c r="O144" s="266"/>
      <c r="P144" s="20"/>
      <c r="Q144" s="20"/>
      <c r="R144" s="20"/>
      <c r="S144" s="266"/>
      <c r="U144" s="20"/>
      <c r="V144" s="11"/>
      <c r="W144" s="20"/>
    </row>
    <row r="145" spans="1:23">
      <c r="A145" s="20"/>
      <c r="B145" s="63"/>
      <c r="C145" s="20"/>
      <c r="D145" s="20"/>
      <c r="E145" s="266"/>
      <c r="F145" s="63"/>
      <c r="G145" s="63"/>
      <c r="H145" s="63"/>
      <c r="I145" s="266"/>
      <c r="J145" s="20"/>
      <c r="K145" s="20"/>
      <c r="L145" s="266"/>
      <c r="M145" s="20"/>
      <c r="N145" s="20"/>
      <c r="O145" s="266"/>
      <c r="P145" s="20"/>
      <c r="Q145" s="20"/>
      <c r="R145" s="20"/>
      <c r="S145" s="266"/>
      <c r="U145" s="20"/>
      <c r="V145" s="11"/>
      <c r="W145" s="20"/>
    </row>
    <row r="146" spans="1:23">
      <c r="A146" s="20"/>
      <c r="B146" s="63"/>
      <c r="C146" s="20"/>
      <c r="D146" s="20"/>
      <c r="E146" s="266"/>
      <c r="F146" s="63"/>
      <c r="G146" s="63"/>
      <c r="H146" s="63"/>
      <c r="I146" s="266"/>
      <c r="J146" s="20"/>
      <c r="K146" s="20"/>
      <c r="L146" s="266"/>
      <c r="M146" s="20"/>
      <c r="N146" s="20"/>
      <c r="O146" s="266"/>
      <c r="P146" s="20"/>
      <c r="Q146" s="20"/>
      <c r="R146" s="20"/>
      <c r="S146" s="266"/>
      <c r="U146" s="20"/>
      <c r="V146" s="11"/>
      <c r="W146" s="20"/>
    </row>
    <row r="147" spans="1:23">
      <c r="A147" s="20"/>
      <c r="B147" s="63"/>
      <c r="C147" s="20"/>
      <c r="D147" s="20"/>
      <c r="E147" s="266"/>
      <c r="F147" s="63"/>
      <c r="G147" s="63"/>
      <c r="H147" s="63"/>
      <c r="I147" s="266"/>
      <c r="J147" s="20"/>
      <c r="K147" s="20"/>
      <c r="L147" s="266"/>
      <c r="M147" s="20"/>
      <c r="N147" s="20"/>
      <c r="O147" s="266"/>
      <c r="P147" s="20"/>
      <c r="Q147" s="20"/>
      <c r="R147" s="20"/>
      <c r="S147" s="266"/>
      <c r="U147" s="20"/>
      <c r="V147" s="11"/>
      <c r="W147" s="20"/>
    </row>
    <row r="148" spans="1:23">
      <c r="A148" s="20"/>
      <c r="B148" s="63"/>
      <c r="C148" s="20"/>
      <c r="D148" s="20"/>
      <c r="E148" s="266"/>
      <c r="F148" s="63"/>
      <c r="G148" s="63"/>
      <c r="H148" s="63"/>
      <c r="I148" s="266"/>
      <c r="J148" s="20"/>
      <c r="K148" s="20"/>
      <c r="L148" s="266"/>
      <c r="M148" s="20"/>
      <c r="N148" s="20"/>
      <c r="O148" s="266"/>
      <c r="P148" s="20"/>
      <c r="Q148" s="20"/>
      <c r="R148" s="20"/>
      <c r="S148" s="266"/>
      <c r="U148" s="20"/>
      <c r="V148" s="11"/>
      <c r="W148" s="20"/>
    </row>
    <row r="149" spans="1:23">
      <c r="A149" s="20"/>
      <c r="B149" s="63"/>
      <c r="C149" s="20"/>
      <c r="D149" s="20"/>
      <c r="E149" s="266"/>
      <c r="F149" s="63"/>
      <c r="G149" s="63"/>
      <c r="H149" s="63"/>
      <c r="I149" s="266"/>
      <c r="J149" s="20"/>
      <c r="K149" s="20"/>
      <c r="L149" s="266"/>
      <c r="M149" s="20"/>
      <c r="N149" s="20"/>
      <c r="O149" s="266"/>
      <c r="P149" s="20"/>
      <c r="Q149" s="20"/>
      <c r="R149" s="20"/>
      <c r="S149" s="266"/>
      <c r="U149" s="20"/>
      <c r="V149" s="11"/>
      <c r="W149" s="20"/>
    </row>
    <row r="150" spans="1:23">
      <c r="A150" s="20"/>
      <c r="B150" s="63"/>
      <c r="C150" s="20"/>
      <c r="D150" s="20"/>
      <c r="E150" s="266"/>
      <c r="F150" s="63"/>
      <c r="G150" s="63"/>
      <c r="H150" s="63"/>
      <c r="I150" s="266"/>
      <c r="J150" s="20"/>
      <c r="K150" s="20"/>
      <c r="L150" s="266"/>
      <c r="M150" s="20"/>
      <c r="N150" s="20"/>
      <c r="O150" s="266"/>
      <c r="P150" s="20"/>
      <c r="Q150" s="20"/>
      <c r="R150" s="20"/>
      <c r="S150" s="266"/>
      <c r="U150" s="20"/>
      <c r="V150" s="11"/>
      <c r="W150" s="20"/>
    </row>
    <row r="151" spans="1:23">
      <c r="A151" s="20"/>
      <c r="B151" s="63"/>
      <c r="C151" s="20"/>
      <c r="D151" s="20"/>
      <c r="E151" s="266"/>
      <c r="F151" s="63"/>
      <c r="G151" s="63"/>
      <c r="H151" s="63"/>
      <c r="I151" s="266"/>
      <c r="J151" s="20"/>
      <c r="K151" s="20"/>
      <c r="L151" s="266"/>
      <c r="M151" s="20"/>
      <c r="N151" s="20"/>
      <c r="O151" s="266"/>
      <c r="P151" s="20"/>
      <c r="Q151" s="20"/>
      <c r="R151" s="20"/>
      <c r="S151" s="266"/>
      <c r="U151" s="20"/>
      <c r="V151" s="11"/>
      <c r="W151" s="20"/>
    </row>
    <row r="152" spans="1:23">
      <c r="A152" s="20"/>
      <c r="B152" s="63"/>
      <c r="C152" s="20"/>
      <c r="D152" s="20"/>
      <c r="E152" s="266"/>
      <c r="F152" s="63"/>
      <c r="G152" s="63"/>
      <c r="H152" s="63"/>
      <c r="I152" s="266"/>
      <c r="J152" s="20"/>
      <c r="K152" s="20"/>
      <c r="L152" s="266"/>
      <c r="M152" s="20"/>
      <c r="N152" s="20"/>
      <c r="O152" s="266"/>
      <c r="P152" s="20"/>
      <c r="Q152" s="20"/>
      <c r="R152" s="20"/>
      <c r="S152" s="266"/>
      <c r="U152" s="20"/>
      <c r="V152" s="11"/>
      <c r="W152" s="20"/>
    </row>
    <row r="153" spans="1:23">
      <c r="A153" s="20"/>
      <c r="B153" s="63"/>
      <c r="C153" s="20"/>
      <c r="D153" s="20"/>
      <c r="E153" s="266"/>
      <c r="F153" s="63"/>
      <c r="G153" s="63"/>
      <c r="H153" s="63"/>
      <c r="I153" s="266"/>
      <c r="J153" s="20"/>
      <c r="K153" s="20"/>
      <c r="L153" s="266"/>
      <c r="M153" s="20"/>
      <c r="N153" s="20"/>
      <c r="O153" s="266"/>
      <c r="P153" s="20"/>
      <c r="Q153" s="20"/>
      <c r="R153" s="20"/>
      <c r="S153" s="266"/>
      <c r="U153" s="20"/>
      <c r="V153" s="11"/>
      <c r="W153" s="20"/>
    </row>
    <row r="154" spans="1:23">
      <c r="A154" s="20"/>
      <c r="B154" s="63"/>
      <c r="C154" s="20"/>
      <c r="D154" s="20"/>
      <c r="E154" s="266"/>
      <c r="F154" s="63"/>
      <c r="G154" s="63"/>
      <c r="H154" s="63"/>
      <c r="I154" s="266"/>
      <c r="J154" s="20"/>
      <c r="K154" s="20"/>
      <c r="L154" s="266"/>
      <c r="M154" s="20"/>
      <c r="N154" s="20"/>
      <c r="O154" s="266"/>
      <c r="P154" s="20"/>
      <c r="Q154" s="20"/>
      <c r="R154" s="20"/>
      <c r="S154" s="266"/>
      <c r="U154" s="20"/>
      <c r="V154" s="11"/>
      <c r="W154" s="20"/>
    </row>
    <row r="155" spans="1:23">
      <c r="A155" s="20"/>
      <c r="B155" s="63"/>
      <c r="C155" s="20"/>
      <c r="D155" s="20"/>
      <c r="E155" s="266"/>
      <c r="F155" s="63"/>
      <c r="G155" s="63"/>
      <c r="H155" s="63"/>
      <c r="I155" s="266"/>
      <c r="J155" s="20"/>
      <c r="K155" s="20"/>
      <c r="L155" s="266"/>
      <c r="M155" s="20"/>
      <c r="N155" s="20"/>
      <c r="O155" s="266"/>
      <c r="P155" s="20"/>
      <c r="Q155" s="20"/>
      <c r="R155" s="20"/>
      <c r="S155" s="266"/>
      <c r="U155" s="20"/>
      <c r="V155" s="11"/>
      <c r="W155" s="20"/>
    </row>
    <row r="156" spans="1:23">
      <c r="A156" s="20"/>
      <c r="B156" s="63"/>
      <c r="C156" s="20"/>
      <c r="D156" s="20"/>
      <c r="E156" s="266"/>
      <c r="F156" s="63"/>
      <c r="G156" s="63"/>
      <c r="H156" s="63"/>
      <c r="I156" s="266"/>
      <c r="J156" s="20"/>
      <c r="K156" s="20"/>
      <c r="L156" s="266"/>
      <c r="M156" s="20"/>
      <c r="N156" s="20"/>
      <c r="O156" s="266"/>
      <c r="P156" s="20"/>
      <c r="Q156" s="20"/>
      <c r="R156" s="20"/>
      <c r="S156" s="266"/>
      <c r="U156" s="20"/>
      <c r="V156" s="11"/>
      <c r="W156" s="20"/>
    </row>
    <row r="157" spans="1:23">
      <c r="A157" s="20"/>
      <c r="B157" s="63"/>
      <c r="C157" s="20"/>
      <c r="D157" s="20"/>
      <c r="E157" s="266"/>
      <c r="F157" s="63"/>
      <c r="G157" s="63"/>
      <c r="H157" s="63"/>
      <c r="I157" s="266"/>
      <c r="J157" s="20"/>
      <c r="K157" s="20"/>
      <c r="L157" s="266"/>
      <c r="M157" s="20"/>
      <c r="N157" s="20"/>
      <c r="O157" s="266"/>
      <c r="P157" s="20"/>
      <c r="Q157" s="20"/>
      <c r="R157" s="20"/>
      <c r="S157" s="266"/>
      <c r="U157" s="20"/>
      <c r="V157" s="11"/>
      <c r="W157" s="20"/>
    </row>
    <row r="158" spans="1:23">
      <c r="A158" s="20"/>
      <c r="B158" s="63"/>
      <c r="C158" s="20"/>
      <c r="D158" s="20"/>
      <c r="E158" s="266"/>
      <c r="F158" s="63"/>
      <c r="G158" s="63"/>
      <c r="H158" s="63"/>
      <c r="I158" s="266"/>
      <c r="J158" s="20"/>
      <c r="K158" s="20"/>
      <c r="L158" s="266"/>
      <c r="M158" s="20"/>
      <c r="N158" s="20"/>
      <c r="O158" s="266"/>
      <c r="P158" s="20"/>
      <c r="Q158" s="20"/>
      <c r="R158" s="20"/>
      <c r="S158" s="266"/>
      <c r="U158" s="20"/>
      <c r="V158" s="11"/>
      <c r="W158" s="20"/>
    </row>
    <row r="159" spans="1:23">
      <c r="A159" s="20"/>
      <c r="B159" s="63"/>
      <c r="C159" s="20"/>
      <c r="D159" s="20"/>
      <c r="E159" s="266"/>
      <c r="F159" s="63"/>
      <c r="G159" s="63"/>
      <c r="H159" s="63"/>
      <c r="I159" s="266"/>
      <c r="J159" s="20"/>
      <c r="K159" s="20"/>
      <c r="L159" s="266"/>
      <c r="M159" s="20"/>
      <c r="N159" s="20"/>
      <c r="O159" s="266"/>
      <c r="P159" s="20"/>
      <c r="Q159" s="20"/>
      <c r="R159" s="20"/>
      <c r="S159" s="266"/>
      <c r="U159" s="20"/>
      <c r="V159" s="11"/>
      <c r="W159" s="20"/>
    </row>
    <row r="160" spans="1:23">
      <c r="A160" s="20"/>
      <c r="B160" s="63"/>
      <c r="C160" s="20"/>
      <c r="D160" s="20"/>
      <c r="E160" s="266"/>
      <c r="F160" s="63"/>
      <c r="G160" s="63"/>
      <c r="H160" s="63"/>
      <c r="I160" s="266"/>
      <c r="J160" s="20"/>
      <c r="K160" s="20"/>
      <c r="L160" s="266"/>
      <c r="M160" s="20"/>
      <c r="N160" s="20"/>
      <c r="O160" s="266"/>
      <c r="P160" s="20"/>
      <c r="Q160" s="20"/>
      <c r="R160" s="20"/>
      <c r="S160" s="266"/>
      <c r="U160" s="20"/>
      <c r="V160" s="11"/>
      <c r="W160" s="20"/>
    </row>
    <row r="161" spans="1:23">
      <c r="A161" s="20"/>
      <c r="B161" s="63"/>
      <c r="C161" s="20"/>
      <c r="D161" s="20"/>
      <c r="E161" s="266"/>
      <c r="F161" s="63"/>
      <c r="G161" s="63"/>
      <c r="H161" s="63"/>
      <c r="I161" s="266"/>
      <c r="J161" s="20"/>
      <c r="K161" s="20"/>
      <c r="L161" s="266"/>
      <c r="M161" s="20"/>
      <c r="N161" s="20"/>
      <c r="O161" s="266"/>
      <c r="P161" s="20"/>
      <c r="Q161" s="20"/>
      <c r="R161" s="20"/>
      <c r="S161" s="266"/>
      <c r="U161" s="20"/>
      <c r="V161" s="11"/>
      <c r="W161" s="20"/>
    </row>
    <row r="162" spans="1:23">
      <c r="A162" s="20"/>
      <c r="B162" s="63"/>
      <c r="C162" s="20"/>
      <c r="D162" s="20"/>
      <c r="E162" s="266"/>
      <c r="F162" s="63"/>
      <c r="G162" s="63"/>
      <c r="H162" s="63"/>
      <c r="I162" s="266"/>
      <c r="J162" s="20"/>
      <c r="K162" s="20"/>
      <c r="L162" s="266"/>
      <c r="M162" s="20"/>
      <c r="N162" s="20"/>
      <c r="O162" s="266"/>
      <c r="P162" s="20"/>
      <c r="Q162" s="20"/>
      <c r="R162" s="20"/>
      <c r="S162" s="266"/>
      <c r="U162" s="20"/>
      <c r="V162" s="11"/>
      <c r="W162" s="20"/>
    </row>
    <row r="163" spans="1:23">
      <c r="A163" s="20"/>
      <c r="B163" s="63"/>
      <c r="C163" s="20"/>
      <c r="D163" s="20"/>
      <c r="E163" s="266"/>
      <c r="F163" s="63"/>
      <c r="G163" s="63"/>
      <c r="H163" s="63"/>
      <c r="I163" s="266"/>
      <c r="J163" s="20"/>
      <c r="K163" s="20"/>
      <c r="L163" s="266"/>
      <c r="M163" s="20"/>
      <c r="N163" s="20"/>
      <c r="O163" s="266"/>
      <c r="P163" s="20"/>
      <c r="Q163" s="20"/>
      <c r="R163" s="20"/>
      <c r="S163" s="266"/>
      <c r="U163" s="20"/>
      <c r="V163" s="11"/>
      <c r="W163" s="20"/>
    </row>
    <row r="164" spans="1:23">
      <c r="A164" s="20"/>
      <c r="B164" s="63"/>
      <c r="C164" s="20"/>
      <c r="D164" s="20"/>
      <c r="E164" s="266"/>
      <c r="F164" s="63"/>
      <c r="G164" s="63"/>
      <c r="H164" s="63"/>
      <c r="I164" s="266"/>
      <c r="J164" s="20"/>
      <c r="K164" s="20"/>
      <c r="L164" s="266"/>
      <c r="M164" s="20"/>
      <c r="N164" s="20"/>
      <c r="O164" s="266"/>
      <c r="P164" s="20"/>
      <c r="Q164" s="20"/>
      <c r="R164" s="20"/>
      <c r="S164" s="266"/>
      <c r="U164" s="20"/>
      <c r="V164" s="11"/>
      <c r="W164" s="20"/>
    </row>
    <row r="165" spans="1:23">
      <c r="A165" s="20"/>
      <c r="B165" s="63"/>
      <c r="C165" s="20"/>
      <c r="D165" s="20"/>
      <c r="E165" s="266"/>
      <c r="F165" s="63"/>
      <c r="G165" s="63"/>
      <c r="H165" s="63"/>
      <c r="I165" s="266"/>
      <c r="J165" s="20"/>
      <c r="K165" s="20"/>
      <c r="L165" s="266"/>
      <c r="M165" s="20"/>
      <c r="N165" s="20"/>
      <c r="O165" s="266"/>
      <c r="P165" s="20"/>
      <c r="Q165" s="20"/>
      <c r="R165" s="20"/>
      <c r="S165" s="266"/>
      <c r="U165" s="20"/>
      <c r="V165" s="11"/>
      <c r="W165" s="20"/>
    </row>
    <row r="166" spans="1:23">
      <c r="A166" s="20"/>
      <c r="B166" s="63"/>
      <c r="C166" s="20"/>
      <c r="D166" s="20"/>
      <c r="E166" s="266"/>
      <c r="F166" s="63"/>
      <c r="G166" s="63"/>
      <c r="H166" s="63"/>
      <c r="I166" s="266"/>
      <c r="J166" s="20"/>
      <c r="K166" s="20"/>
      <c r="L166" s="266"/>
      <c r="M166" s="20"/>
      <c r="N166" s="20"/>
      <c r="O166" s="266"/>
      <c r="P166" s="20"/>
      <c r="Q166" s="20"/>
      <c r="R166" s="20"/>
      <c r="S166" s="266"/>
      <c r="U166" s="20"/>
      <c r="V166" s="11"/>
      <c r="W166" s="20"/>
    </row>
    <row r="167" spans="1:23">
      <c r="A167" s="20"/>
      <c r="B167" s="63"/>
      <c r="C167" s="20"/>
      <c r="D167" s="20"/>
      <c r="E167" s="266"/>
      <c r="F167" s="63"/>
      <c r="G167" s="63"/>
      <c r="H167" s="63"/>
      <c r="I167" s="266"/>
      <c r="J167" s="20"/>
      <c r="K167" s="20"/>
      <c r="L167" s="266"/>
      <c r="M167" s="20"/>
      <c r="N167" s="20"/>
      <c r="O167" s="266"/>
      <c r="P167" s="20"/>
      <c r="Q167" s="20"/>
      <c r="R167" s="20"/>
      <c r="S167" s="266"/>
      <c r="U167" s="20"/>
      <c r="V167" s="11"/>
      <c r="W167" s="20"/>
    </row>
    <row r="168" spans="1:23">
      <c r="A168" s="20"/>
      <c r="B168" s="63"/>
      <c r="C168" s="20"/>
      <c r="D168" s="20"/>
      <c r="E168" s="266"/>
      <c r="F168" s="63"/>
      <c r="G168" s="63"/>
      <c r="H168" s="63"/>
      <c r="I168" s="266"/>
      <c r="J168" s="20"/>
      <c r="K168" s="20"/>
      <c r="L168" s="266"/>
      <c r="M168" s="20"/>
      <c r="N168" s="20"/>
      <c r="O168" s="266"/>
      <c r="P168" s="20"/>
      <c r="Q168" s="20"/>
      <c r="R168" s="20"/>
      <c r="S168" s="266"/>
      <c r="U168" s="20"/>
      <c r="V168" s="11"/>
      <c r="W168" s="20"/>
    </row>
    <row r="169" spans="1:23">
      <c r="A169" s="20"/>
      <c r="B169" s="63"/>
      <c r="C169" s="20"/>
      <c r="D169" s="20"/>
      <c r="E169" s="266"/>
      <c r="F169" s="63"/>
      <c r="G169" s="63"/>
      <c r="H169" s="63"/>
      <c r="I169" s="266"/>
      <c r="J169" s="20"/>
      <c r="K169" s="20"/>
      <c r="L169" s="266"/>
      <c r="M169" s="20"/>
      <c r="N169" s="20"/>
      <c r="O169" s="266"/>
      <c r="P169" s="20"/>
      <c r="Q169" s="20"/>
      <c r="R169" s="20"/>
      <c r="S169" s="266"/>
      <c r="U169" s="20"/>
      <c r="V169" s="11"/>
      <c r="W169" s="20"/>
    </row>
    <row r="170" spans="1:23">
      <c r="A170" s="20"/>
      <c r="B170" s="63"/>
      <c r="C170" s="20"/>
      <c r="D170" s="20"/>
      <c r="E170" s="266"/>
      <c r="F170" s="63"/>
      <c r="G170" s="63"/>
      <c r="H170" s="63"/>
      <c r="I170" s="266"/>
      <c r="J170" s="20"/>
      <c r="K170" s="20"/>
      <c r="L170" s="266"/>
      <c r="M170" s="20"/>
      <c r="N170" s="20"/>
      <c r="O170" s="266"/>
      <c r="P170" s="20"/>
      <c r="Q170" s="20"/>
      <c r="R170" s="20"/>
      <c r="S170" s="266"/>
      <c r="U170" s="20"/>
      <c r="V170" s="11"/>
      <c r="W170" s="20"/>
    </row>
    <row r="171" spans="1:23">
      <c r="A171" s="20"/>
      <c r="B171" s="63"/>
      <c r="C171" s="20"/>
      <c r="D171" s="20"/>
      <c r="E171" s="266"/>
      <c r="F171" s="63"/>
      <c r="G171" s="63"/>
      <c r="H171" s="63"/>
      <c r="I171" s="266"/>
      <c r="J171" s="20"/>
      <c r="K171" s="20"/>
      <c r="L171" s="266"/>
      <c r="M171" s="20"/>
      <c r="N171" s="20"/>
      <c r="O171" s="266"/>
      <c r="P171" s="20"/>
      <c r="Q171" s="20"/>
      <c r="R171" s="20"/>
      <c r="S171" s="266"/>
      <c r="U171" s="20"/>
      <c r="V171" s="11"/>
      <c r="W171" s="20"/>
    </row>
    <row r="172" spans="1:23">
      <c r="A172" s="20"/>
      <c r="B172" s="63"/>
      <c r="C172" s="20"/>
      <c r="D172" s="20"/>
      <c r="E172" s="266"/>
      <c r="F172" s="63"/>
      <c r="G172" s="63"/>
      <c r="H172" s="63"/>
      <c r="I172" s="266"/>
      <c r="J172" s="20"/>
      <c r="K172" s="20"/>
      <c r="L172" s="266"/>
      <c r="M172" s="20"/>
      <c r="N172" s="20"/>
      <c r="O172" s="266"/>
      <c r="P172" s="20"/>
      <c r="Q172" s="20"/>
      <c r="R172" s="20"/>
      <c r="S172" s="266"/>
      <c r="U172" s="20"/>
      <c r="V172" s="11"/>
      <c r="W172" s="20"/>
    </row>
    <row r="173" spans="1:23">
      <c r="A173" s="20"/>
      <c r="B173" s="63"/>
      <c r="C173" s="20"/>
      <c r="D173" s="20"/>
      <c r="E173" s="266"/>
      <c r="F173" s="63"/>
      <c r="G173" s="63"/>
      <c r="H173" s="63"/>
      <c r="I173" s="266"/>
      <c r="J173" s="20"/>
      <c r="K173" s="20"/>
      <c r="L173" s="266"/>
      <c r="M173" s="20"/>
      <c r="N173" s="20"/>
      <c r="O173" s="266"/>
      <c r="P173" s="20"/>
      <c r="Q173" s="20"/>
      <c r="R173" s="20"/>
      <c r="S173" s="266"/>
      <c r="U173" s="20"/>
      <c r="V173" s="11"/>
      <c r="W173" s="20"/>
    </row>
    <row r="174" spans="1:23">
      <c r="A174" s="20"/>
      <c r="B174" s="63"/>
      <c r="C174" s="20"/>
      <c r="D174" s="20"/>
      <c r="E174" s="266"/>
      <c r="F174" s="63"/>
      <c r="G174" s="63"/>
      <c r="H174" s="63"/>
      <c r="I174" s="266"/>
      <c r="J174" s="20"/>
      <c r="K174" s="20"/>
      <c r="L174" s="266"/>
      <c r="M174" s="20"/>
      <c r="N174" s="20"/>
      <c r="O174" s="266"/>
      <c r="P174" s="20"/>
      <c r="Q174" s="20"/>
      <c r="R174" s="20"/>
      <c r="S174" s="266"/>
      <c r="U174" s="20"/>
      <c r="V174" s="11"/>
      <c r="W174" s="20"/>
    </row>
    <row r="175" spans="1:23">
      <c r="A175" s="20"/>
      <c r="B175" s="63"/>
      <c r="C175" s="20"/>
      <c r="D175" s="20"/>
      <c r="E175" s="266"/>
      <c r="F175" s="63"/>
      <c r="G175" s="63"/>
      <c r="H175" s="63"/>
      <c r="I175" s="266"/>
      <c r="J175" s="20"/>
      <c r="K175" s="20"/>
      <c r="L175" s="266"/>
      <c r="M175" s="20"/>
      <c r="N175" s="20"/>
      <c r="O175" s="266"/>
      <c r="P175" s="20"/>
      <c r="Q175" s="20"/>
      <c r="R175" s="20"/>
      <c r="S175" s="266"/>
      <c r="U175" s="20"/>
      <c r="V175" s="11"/>
      <c r="W175" s="20"/>
    </row>
    <row r="176" spans="1:23">
      <c r="A176" s="20"/>
      <c r="B176" s="63"/>
      <c r="C176" s="20"/>
      <c r="D176" s="20"/>
      <c r="E176" s="266"/>
      <c r="F176" s="63"/>
      <c r="G176" s="63"/>
      <c r="H176" s="63"/>
      <c r="I176" s="266"/>
      <c r="J176" s="20"/>
      <c r="K176" s="20"/>
      <c r="L176" s="266"/>
      <c r="M176" s="20"/>
      <c r="N176" s="20"/>
      <c r="O176" s="266"/>
      <c r="P176" s="20"/>
      <c r="Q176" s="20"/>
      <c r="R176" s="20"/>
      <c r="S176" s="266"/>
      <c r="U176" s="20"/>
      <c r="V176" s="11"/>
      <c r="W176" s="20"/>
    </row>
    <row r="177" spans="1:23">
      <c r="A177" s="20"/>
      <c r="B177" s="63"/>
      <c r="C177" s="20"/>
      <c r="D177" s="20"/>
      <c r="E177" s="266"/>
      <c r="F177" s="63"/>
      <c r="G177" s="63"/>
      <c r="H177" s="63"/>
      <c r="I177" s="266"/>
      <c r="J177" s="20"/>
      <c r="K177" s="20"/>
      <c r="L177" s="266"/>
      <c r="M177" s="20"/>
      <c r="N177" s="20"/>
      <c r="O177" s="266"/>
      <c r="P177" s="20"/>
      <c r="Q177" s="20"/>
      <c r="R177" s="20"/>
      <c r="S177" s="266"/>
      <c r="U177" s="20"/>
      <c r="V177" s="11"/>
      <c r="W177" s="20"/>
    </row>
    <row r="178" spans="1:23">
      <c r="A178" s="20"/>
      <c r="B178" s="63"/>
      <c r="C178" s="20"/>
      <c r="D178" s="20"/>
      <c r="E178" s="266"/>
      <c r="F178" s="63"/>
      <c r="G178" s="63"/>
      <c r="H178" s="63"/>
      <c r="I178" s="266"/>
      <c r="J178" s="20"/>
      <c r="K178" s="20"/>
      <c r="L178" s="266"/>
      <c r="M178" s="20"/>
      <c r="N178" s="20"/>
      <c r="O178" s="266"/>
      <c r="P178" s="20"/>
      <c r="Q178" s="20"/>
      <c r="R178" s="20"/>
      <c r="S178" s="266"/>
      <c r="U178" s="20"/>
      <c r="V178" s="11"/>
      <c r="W178" s="20"/>
    </row>
    <row r="179" spans="1:23">
      <c r="A179" s="20"/>
      <c r="B179" s="63"/>
      <c r="C179" s="20"/>
      <c r="D179" s="20"/>
      <c r="E179" s="266"/>
      <c r="F179" s="63"/>
      <c r="G179" s="63"/>
      <c r="H179" s="63"/>
      <c r="I179" s="266"/>
      <c r="J179" s="20"/>
      <c r="K179" s="20"/>
      <c r="L179" s="266"/>
      <c r="M179" s="20"/>
      <c r="N179" s="20"/>
      <c r="O179" s="266"/>
      <c r="P179" s="20"/>
      <c r="Q179" s="20"/>
      <c r="R179" s="20"/>
      <c r="S179" s="266"/>
      <c r="U179" s="20"/>
      <c r="V179" s="11"/>
      <c r="W179" s="20"/>
    </row>
  </sheetData>
  <dataConsolidate/>
  <mergeCells count="23">
    <mergeCell ref="V6:W8"/>
    <mergeCell ref="V41:W43"/>
    <mergeCell ref="M1:U1"/>
    <mergeCell ref="A28:A32"/>
    <mergeCell ref="A49:A50"/>
    <mergeCell ref="C1:K1"/>
    <mergeCell ref="A15:A20"/>
    <mergeCell ref="A21:A24"/>
    <mergeCell ref="A26:A27"/>
    <mergeCell ref="A4:A5"/>
    <mergeCell ref="A6:A8"/>
    <mergeCell ref="A9:A13"/>
    <mergeCell ref="AD20:AI20"/>
    <mergeCell ref="A51:A52"/>
    <mergeCell ref="A53:A54"/>
    <mergeCell ref="A33:A35"/>
    <mergeCell ref="A45:A48"/>
    <mergeCell ref="AL33:AQ33"/>
    <mergeCell ref="AD40:AI40"/>
    <mergeCell ref="A55:A56"/>
    <mergeCell ref="A36:A37"/>
    <mergeCell ref="A39:A40"/>
    <mergeCell ref="A41:A43"/>
  </mergeCells>
  <conditionalFormatting sqref="T3:T56">
    <cfRule type="cellIs" dxfId="97" priority="9" operator="lessThan">
      <formula>0</formula>
    </cfRule>
  </conditionalFormatting>
  <conditionalFormatting sqref="U3:U56">
    <cfRule type="containsText" dxfId="96" priority="8" operator="containsText" text="Yes">
      <formula>NOT(ISERROR(SEARCH("Yes",U3)))</formula>
    </cfRule>
  </conditionalFormatting>
  <conditionalFormatting sqref="S3:S56">
    <cfRule type="expression" dxfId="95" priority="7">
      <formula>(S3&lt;O3)</formula>
    </cfRule>
  </conditionalFormatting>
  <conditionalFormatting sqref="AE22:AJ33">
    <cfRule type="cellIs" dxfId="94" priority="6" operator="greaterThan">
      <formula>0</formula>
    </cfRule>
  </conditionalFormatting>
  <conditionalFormatting sqref="AN50:AR50">
    <cfRule type="cellIs" dxfId="93" priority="5" operator="greaterThan">
      <formula>0</formula>
    </cfRule>
  </conditionalFormatting>
  <conditionalFormatting sqref="AM35:AR46">
    <cfRule type="cellIs" dxfId="92" priority="4" operator="greaterThan">
      <formula>0</formula>
    </cfRule>
  </conditionalFormatting>
  <conditionalFormatting sqref="AJ42:AJ53">
    <cfRule type="cellIs" dxfId="91" priority="3" operator="greaterThan">
      <formula>0</formula>
    </cfRule>
  </conditionalFormatting>
  <conditionalFormatting sqref="AF42:AI53">
    <cfRule type="cellIs" dxfId="90" priority="2" operator="greaterThan">
      <formula>0</formula>
    </cfRule>
  </conditionalFormatting>
  <conditionalFormatting sqref="AE42:AE53">
    <cfRule type="cellIs" dxfId="89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9"/>
  <sheetViews>
    <sheetView topLeftCell="W36" zoomScaleNormal="100" workbookViewId="0">
      <selection activeCell="X62" sqref="X62:AD79"/>
    </sheetView>
  </sheetViews>
  <sheetFormatPr defaultColWidth="9" defaultRowHeight="12.75"/>
  <cols>
    <col min="1" max="1" width="13.42578125" style="5" customWidth="1"/>
    <col min="2" max="2" width="22.7109375" style="62" customWidth="1"/>
    <col min="3" max="3" width="26.7109375" style="58" customWidth="1"/>
    <col min="4" max="4" width="16.85546875" style="58" customWidth="1"/>
    <col min="5" max="5" width="19.42578125" style="58" customWidth="1"/>
    <col min="6" max="6" width="16.7109375" style="61" customWidth="1"/>
    <col min="7" max="9" width="23.7109375" style="60" customWidth="1"/>
    <col min="10" max="11" width="16.140625" style="58" customWidth="1"/>
    <col min="12" max="12" width="28.85546875" style="58" customWidth="1"/>
    <col min="13" max="13" width="17.7109375" style="58" customWidth="1"/>
    <col min="14" max="14" width="16.140625" style="58" customWidth="1"/>
    <col min="15" max="16" width="17.7109375" style="58" customWidth="1"/>
    <col min="17" max="17" width="21.28515625" style="58" customWidth="1"/>
    <col min="18" max="18" width="23.28515625" style="58" customWidth="1"/>
    <col min="19" max="19" width="17.5703125" style="61" customWidth="1"/>
    <col min="20" max="20" width="33.85546875" style="10" customWidth="1"/>
    <col min="21" max="21" width="27" style="58" customWidth="1"/>
    <col min="22" max="22" width="23" style="57" customWidth="1"/>
    <col min="23" max="23" width="22.85546875" style="5" customWidth="1"/>
    <col min="24" max="24" width="23.7109375" style="5" customWidth="1"/>
    <col min="25" max="25" width="21.5703125" style="5" customWidth="1"/>
    <col min="26" max="26" width="26" style="5" customWidth="1"/>
    <col min="27" max="27" width="16.42578125" style="5" customWidth="1"/>
    <col min="28" max="16384" width="9" style="5"/>
  </cols>
  <sheetData>
    <row r="1" spans="1:34" ht="14.25" customHeight="1">
      <c r="A1" s="184"/>
      <c r="B1" s="185"/>
      <c r="C1" s="572" t="s">
        <v>450</v>
      </c>
      <c r="D1" s="573"/>
      <c r="E1" s="573"/>
      <c r="F1" s="573"/>
      <c r="G1" s="573"/>
      <c r="H1" s="573"/>
      <c r="I1" s="573"/>
      <c r="J1" s="573"/>
      <c r="K1" s="574"/>
      <c r="L1" s="293"/>
      <c r="M1" s="570" t="s">
        <v>449</v>
      </c>
      <c r="N1" s="571"/>
      <c r="O1" s="571"/>
      <c r="P1" s="571"/>
      <c r="Q1" s="571"/>
      <c r="R1" s="571"/>
      <c r="S1" s="571"/>
      <c r="T1" s="571"/>
      <c r="U1" s="623"/>
    </row>
    <row r="2" spans="1:34" ht="13.5" thickBot="1">
      <c r="A2" s="184" t="s">
        <v>448</v>
      </c>
      <c r="B2" s="183" t="s">
        <v>447</v>
      </c>
      <c r="C2" s="182" t="s">
        <v>446</v>
      </c>
      <c r="D2" s="181" t="s">
        <v>34</v>
      </c>
      <c r="E2" s="181" t="s">
        <v>463</v>
      </c>
      <c r="F2" s="181" t="s">
        <v>445</v>
      </c>
      <c r="G2" s="181" t="s">
        <v>456</v>
      </c>
      <c r="H2" s="181" t="s">
        <v>457</v>
      </c>
      <c r="I2" s="181" t="s">
        <v>464</v>
      </c>
      <c r="J2" s="181" t="s">
        <v>33</v>
      </c>
      <c r="K2" s="180" t="s">
        <v>442</v>
      </c>
      <c r="L2" s="231" t="s">
        <v>455</v>
      </c>
      <c r="M2" s="179" t="s">
        <v>444</v>
      </c>
      <c r="N2" s="179" t="s">
        <v>34</v>
      </c>
      <c r="O2" s="179" t="s">
        <v>41</v>
      </c>
      <c r="P2" s="178" t="s">
        <v>443</v>
      </c>
      <c r="Q2" s="177" t="s">
        <v>456</v>
      </c>
      <c r="R2" s="250" t="s">
        <v>458</v>
      </c>
      <c r="S2" s="177" t="s">
        <v>33</v>
      </c>
      <c r="T2" s="179" t="s">
        <v>442</v>
      </c>
      <c r="U2" s="222" t="s">
        <v>454</v>
      </c>
      <c r="V2" s="330" t="s">
        <v>438</v>
      </c>
      <c r="W2" s="330" t="s">
        <v>453</v>
      </c>
    </row>
    <row r="3" spans="1:34" ht="13.5" thickBot="1">
      <c r="A3" s="151" t="s">
        <v>436</v>
      </c>
      <c r="B3" s="172" t="s">
        <v>435</v>
      </c>
      <c r="C3" s="171" t="s">
        <v>434</v>
      </c>
      <c r="D3" s="170">
        <v>386.9</v>
      </c>
      <c r="E3" s="82">
        <f>IF(D3&lt;135,300, IF(AND(D3&gt;135,D3&lt;288),250, IF(AND(D3&gt;288,D3&lt;537),200,IF(AND(D3&gt;537,D3&lt;1096),150,100))))</f>
        <v>200</v>
      </c>
      <c r="F3" s="170">
        <v>131.95400000000001</v>
      </c>
      <c r="G3" s="82">
        <v>2.5</v>
      </c>
      <c r="H3" s="82">
        <f>G3*F3</f>
        <v>329.88499999999999</v>
      </c>
      <c r="I3" s="81">
        <f>CEILING(H3/(0.84*E3),1)</f>
        <v>2</v>
      </c>
      <c r="J3" s="269">
        <f t="shared" ref="J3:J13" si="0">E3*I3</f>
        <v>400</v>
      </c>
      <c r="K3" s="81">
        <f t="shared" ref="K3:K56" si="1">J3-H3</f>
        <v>70.115000000000009</v>
      </c>
      <c r="L3" s="82">
        <f>H3/J3 * 100</f>
        <v>82.471249999999998</v>
      </c>
      <c r="M3" s="168" t="s">
        <v>433</v>
      </c>
      <c r="N3" s="168">
        <v>598.85</v>
      </c>
      <c r="O3" s="168">
        <f>IF(N3&lt;135,300, IF(AND(N3&gt;135,N3&lt;288),250, IF(AND(N3&gt;288,N3&lt;537),200,IF(AND(N3&gt;537,N3&lt;1096),150,100))))</f>
        <v>150</v>
      </c>
      <c r="P3" s="168">
        <f>F3</f>
        <v>131.95400000000001</v>
      </c>
      <c r="Q3" s="79">
        <v>2.5</v>
      </c>
      <c r="R3" s="80">
        <f>P3*Q3</f>
        <v>329.88499999999999</v>
      </c>
      <c r="S3" s="417">
        <f t="shared" ref="S3:S13" si="2">O3*I3</f>
        <v>300</v>
      </c>
      <c r="T3" s="426">
        <f t="shared" ref="T3:T13" si="3">S3-R3</f>
        <v>-29.884999999999991</v>
      </c>
      <c r="U3" s="413" t="str">
        <f t="shared" ref="U3:U13" si="4">IF(T3&gt;=0,"No","Yes")</f>
        <v>Yes</v>
      </c>
      <c r="V3" s="630" t="s">
        <v>351</v>
      </c>
      <c r="W3" s="631"/>
    </row>
    <row r="4" spans="1:34" ht="13.5" thickBot="1">
      <c r="A4" s="575" t="s">
        <v>44</v>
      </c>
      <c r="B4" s="165" t="s">
        <v>3</v>
      </c>
      <c r="C4" s="164" t="s">
        <v>44</v>
      </c>
      <c r="D4" s="163">
        <v>424.31</v>
      </c>
      <c r="E4" s="243">
        <f t="shared" ref="E4:E56" si="5">IF(D4&lt;135,300, IF(AND(D4&gt;135,D4&lt;288),250, IF(AND(D4&gt;288,D4&lt;537),200,IF(AND(D4&gt;537,D4&lt;1096),150,100))))</f>
        <v>200</v>
      </c>
      <c r="F4" s="163">
        <v>79.758499999999998</v>
      </c>
      <c r="G4" s="82">
        <v>2.5</v>
      </c>
      <c r="H4" s="82">
        <f t="shared" ref="H4:H56" si="6">G4*F4</f>
        <v>199.39625000000001</v>
      </c>
      <c r="I4" s="81">
        <f t="shared" ref="I4:I56" si="7">CEILING(H4/(0.84*E4),1)</f>
        <v>2</v>
      </c>
      <c r="J4" s="270">
        <f t="shared" si="0"/>
        <v>400</v>
      </c>
      <c r="K4" s="81">
        <f t="shared" si="1"/>
        <v>200.60374999999999</v>
      </c>
      <c r="L4" s="82">
        <f t="shared" ref="L4:L56" si="8">H4/J4 * 100</f>
        <v>49.849062500000002</v>
      </c>
      <c r="M4" s="161" t="s">
        <v>432</v>
      </c>
      <c r="N4" s="162">
        <v>561.44000000000005</v>
      </c>
      <c r="O4" s="168">
        <f t="shared" ref="O4:O56" si="9">IF(N4&lt;135,300, IF(AND(N4&gt;135,N4&lt;288),250, IF(AND(N4&gt;288,N4&lt;537),200,IF(AND(N4&gt;537,N4&lt;1096),150,100))))</f>
        <v>150</v>
      </c>
      <c r="P4" s="168">
        <f t="shared" ref="P4:P13" si="10">F4</f>
        <v>79.758499999999998</v>
      </c>
      <c r="Q4" s="79">
        <v>2.5</v>
      </c>
      <c r="R4" s="80">
        <f t="shared" ref="R4:R56" si="11">P4*Q4</f>
        <v>199.39625000000001</v>
      </c>
      <c r="S4" s="248">
        <f t="shared" si="2"/>
        <v>300</v>
      </c>
      <c r="T4" s="426">
        <f t="shared" si="3"/>
        <v>100.60374999999999</v>
      </c>
      <c r="U4" s="415" t="str">
        <f t="shared" si="4"/>
        <v>No</v>
      </c>
    </row>
    <row r="5" spans="1:34" ht="14.25" customHeight="1" thickBot="1">
      <c r="A5" s="564"/>
      <c r="B5" s="62" t="s">
        <v>25</v>
      </c>
      <c r="C5" s="111" t="s">
        <v>65</v>
      </c>
      <c r="D5" s="92">
        <v>645.40499999999997</v>
      </c>
      <c r="E5" s="245">
        <f t="shared" si="5"/>
        <v>150</v>
      </c>
      <c r="F5" s="92">
        <v>101.52370000000001</v>
      </c>
      <c r="G5" s="82">
        <v>2.5</v>
      </c>
      <c r="H5" s="92">
        <f t="shared" si="6"/>
        <v>253.80925000000002</v>
      </c>
      <c r="I5" s="81">
        <f t="shared" si="7"/>
        <v>3</v>
      </c>
      <c r="J5" s="274">
        <f t="shared" si="0"/>
        <v>450</v>
      </c>
      <c r="K5" s="81">
        <f t="shared" si="1"/>
        <v>196.19074999999998</v>
      </c>
      <c r="L5" s="82">
        <f t="shared" si="8"/>
        <v>56.402055555555563</v>
      </c>
      <c r="M5" s="88" t="s">
        <v>427</v>
      </c>
      <c r="N5" s="90">
        <v>691.82</v>
      </c>
      <c r="O5" s="168">
        <f t="shared" si="9"/>
        <v>150</v>
      </c>
      <c r="P5" s="168">
        <f t="shared" si="10"/>
        <v>101.52370000000001</v>
      </c>
      <c r="Q5" s="79">
        <v>2.5</v>
      </c>
      <c r="R5" s="90">
        <f t="shared" si="11"/>
        <v>253.80925000000002</v>
      </c>
      <c r="S5" s="248">
        <f t="shared" si="2"/>
        <v>450</v>
      </c>
      <c r="T5" s="427">
        <f t="shared" si="3"/>
        <v>196.19074999999998</v>
      </c>
      <c r="U5" s="415" t="str">
        <f t="shared" si="4"/>
        <v>No</v>
      </c>
    </row>
    <row r="6" spans="1:34" ht="13.5" thickBot="1">
      <c r="A6" s="562" t="s">
        <v>431</v>
      </c>
      <c r="B6" s="84" t="s">
        <v>430</v>
      </c>
      <c r="C6" s="83" t="s">
        <v>390</v>
      </c>
      <c r="D6" s="82">
        <v>774.56</v>
      </c>
      <c r="E6" s="243">
        <f t="shared" si="5"/>
        <v>150</v>
      </c>
      <c r="F6" s="82">
        <v>593.39</v>
      </c>
      <c r="G6" s="82">
        <v>2.5</v>
      </c>
      <c r="H6" s="82">
        <f t="shared" si="6"/>
        <v>1483.4749999999999</v>
      </c>
      <c r="I6" s="81">
        <f t="shared" si="7"/>
        <v>12</v>
      </c>
      <c r="J6" s="270">
        <f t="shared" si="0"/>
        <v>1800</v>
      </c>
      <c r="K6" s="81">
        <f t="shared" si="1"/>
        <v>316.52500000000009</v>
      </c>
      <c r="L6" s="82">
        <f t="shared" si="8"/>
        <v>82.415277777777774</v>
      </c>
      <c r="M6" s="98" t="s">
        <v>429</v>
      </c>
      <c r="N6" s="80">
        <v>778.62</v>
      </c>
      <c r="O6" s="168">
        <f t="shared" si="9"/>
        <v>150</v>
      </c>
      <c r="P6" s="168">
        <f t="shared" si="10"/>
        <v>593.39</v>
      </c>
      <c r="Q6" s="79">
        <v>2.5</v>
      </c>
      <c r="R6" s="80">
        <f t="shared" si="11"/>
        <v>1483.4749999999999</v>
      </c>
      <c r="S6" s="247">
        <f t="shared" si="2"/>
        <v>1800</v>
      </c>
      <c r="T6" s="428">
        <f t="shared" si="3"/>
        <v>316.52500000000009</v>
      </c>
      <c r="U6" s="414" t="str">
        <f t="shared" si="4"/>
        <v>No</v>
      </c>
    </row>
    <row r="7" spans="1:34" ht="14.25" customHeight="1" thickBot="1">
      <c r="A7" s="564"/>
      <c r="B7" s="94" t="s">
        <v>4</v>
      </c>
      <c r="C7" s="93" t="s">
        <v>45</v>
      </c>
      <c r="D7" s="105">
        <v>221.095</v>
      </c>
      <c r="E7" s="245">
        <f t="shared" si="5"/>
        <v>250</v>
      </c>
      <c r="F7" s="105">
        <v>165.54</v>
      </c>
      <c r="G7" s="82">
        <v>2.5</v>
      </c>
      <c r="H7" s="92">
        <f t="shared" si="6"/>
        <v>413.84999999999997</v>
      </c>
      <c r="I7" s="81">
        <f t="shared" si="7"/>
        <v>2</v>
      </c>
      <c r="J7" s="274">
        <f t="shared" si="0"/>
        <v>500</v>
      </c>
      <c r="K7" s="81">
        <f t="shared" si="1"/>
        <v>86.150000000000034</v>
      </c>
      <c r="L7" s="82">
        <f t="shared" si="8"/>
        <v>82.769999999999982</v>
      </c>
      <c r="M7" s="99" t="s">
        <v>428</v>
      </c>
      <c r="N7" s="104">
        <v>904.18</v>
      </c>
      <c r="O7" s="168">
        <f t="shared" si="9"/>
        <v>150</v>
      </c>
      <c r="P7" s="168">
        <f t="shared" si="10"/>
        <v>165.54</v>
      </c>
      <c r="Q7" s="79">
        <v>2.5</v>
      </c>
      <c r="R7" s="90">
        <f t="shared" si="11"/>
        <v>413.84999999999997</v>
      </c>
      <c r="S7" s="248">
        <f t="shared" si="2"/>
        <v>300</v>
      </c>
      <c r="T7" s="428">
        <f t="shared" si="3"/>
        <v>-113.84999999999997</v>
      </c>
      <c r="U7" s="415" t="str">
        <f t="shared" si="4"/>
        <v>Yes</v>
      </c>
      <c r="V7" s="630" t="s">
        <v>351</v>
      </c>
      <c r="W7" s="631"/>
    </row>
    <row r="8" spans="1:34" ht="14.25" customHeight="1" thickBot="1">
      <c r="A8" s="564"/>
      <c r="B8" s="94" t="s">
        <v>25</v>
      </c>
      <c r="C8" s="93" t="s">
        <v>65</v>
      </c>
      <c r="D8" s="92">
        <v>645.40499999999997</v>
      </c>
      <c r="E8" s="245">
        <f t="shared" si="5"/>
        <v>150</v>
      </c>
      <c r="F8" s="92">
        <v>101.52370000000001</v>
      </c>
      <c r="G8" s="82">
        <v>2.5</v>
      </c>
      <c r="H8" s="92">
        <f t="shared" si="6"/>
        <v>253.80925000000002</v>
      </c>
      <c r="I8" s="81">
        <f t="shared" si="7"/>
        <v>3</v>
      </c>
      <c r="J8" s="274">
        <f t="shared" si="0"/>
        <v>450</v>
      </c>
      <c r="K8" s="81">
        <f t="shared" si="1"/>
        <v>196.19074999999998</v>
      </c>
      <c r="L8" s="82">
        <f t="shared" si="8"/>
        <v>56.402055555555563</v>
      </c>
      <c r="M8" s="88" t="s">
        <v>427</v>
      </c>
      <c r="N8" s="90">
        <v>691.82</v>
      </c>
      <c r="O8" s="168">
        <f t="shared" si="9"/>
        <v>150</v>
      </c>
      <c r="P8" s="168">
        <f t="shared" si="10"/>
        <v>101.52370000000001</v>
      </c>
      <c r="Q8" s="79">
        <v>2.5</v>
      </c>
      <c r="R8" s="90">
        <f t="shared" si="11"/>
        <v>253.80925000000002</v>
      </c>
      <c r="S8" s="249">
        <f t="shared" si="2"/>
        <v>450</v>
      </c>
      <c r="T8" s="428">
        <f t="shared" si="3"/>
        <v>196.19074999999998</v>
      </c>
      <c r="U8" s="416" t="str">
        <f t="shared" si="4"/>
        <v>No</v>
      </c>
    </row>
    <row r="9" spans="1:34" ht="15" customHeight="1" thickBot="1">
      <c r="A9" s="562" t="s">
        <v>46</v>
      </c>
      <c r="B9" s="84" t="s">
        <v>5</v>
      </c>
      <c r="C9" s="83" t="s">
        <v>46</v>
      </c>
      <c r="D9" s="82">
        <v>87.444999999999993</v>
      </c>
      <c r="E9" s="243">
        <f t="shared" si="5"/>
        <v>300</v>
      </c>
      <c r="F9" s="82">
        <v>330.03719999999998</v>
      </c>
      <c r="G9" s="82">
        <v>2.5</v>
      </c>
      <c r="H9" s="82">
        <f t="shared" si="6"/>
        <v>825.09299999999996</v>
      </c>
      <c r="I9" s="81">
        <f t="shared" si="7"/>
        <v>4</v>
      </c>
      <c r="J9" s="270">
        <f t="shared" si="0"/>
        <v>1200</v>
      </c>
      <c r="K9" s="81">
        <f t="shared" si="1"/>
        <v>374.90700000000004</v>
      </c>
      <c r="L9" s="82">
        <f t="shared" si="8"/>
        <v>68.757750000000001</v>
      </c>
      <c r="M9" s="98" t="s">
        <v>426</v>
      </c>
      <c r="N9" s="80">
        <v>243.73500000000001</v>
      </c>
      <c r="O9" s="168">
        <f t="shared" si="9"/>
        <v>250</v>
      </c>
      <c r="P9" s="168">
        <f t="shared" si="10"/>
        <v>330.03719999999998</v>
      </c>
      <c r="Q9" s="79">
        <v>2.5</v>
      </c>
      <c r="R9" s="80">
        <f t="shared" si="11"/>
        <v>825.09299999999996</v>
      </c>
      <c r="S9" s="248">
        <f t="shared" si="2"/>
        <v>1000</v>
      </c>
      <c r="T9" s="426">
        <f t="shared" si="3"/>
        <v>174.90700000000004</v>
      </c>
      <c r="U9" s="415" t="str">
        <f t="shared" si="4"/>
        <v>No</v>
      </c>
      <c r="V9" s="632" t="s">
        <v>351</v>
      </c>
      <c r="W9" s="633"/>
    </row>
    <row r="10" spans="1:34" ht="14.25" customHeight="1" thickBot="1">
      <c r="A10" s="564"/>
      <c r="B10" s="94" t="s">
        <v>7</v>
      </c>
      <c r="C10" s="93" t="s">
        <v>48</v>
      </c>
      <c r="D10" s="105">
        <v>457.755</v>
      </c>
      <c r="E10" s="245">
        <f t="shared" si="5"/>
        <v>200</v>
      </c>
      <c r="F10" s="105">
        <v>200.11</v>
      </c>
      <c r="G10" s="82">
        <v>2.5</v>
      </c>
      <c r="H10" s="92">
        <f t="shared" si="6"/>
        <v>500.27500000000003</v>
      </c>
      <c r="I10" s="81">
        <f t="shared" si="7"/>
        <v>3</v>
      </c>
      <c r="J10" s="274">
        <f t="shared" si="0"/>
        <v>600</v>
      </c>
      <c r="K10" s="81">
        <f t="shared" si="1"/>
        <v>99.724999999999966</v>
      </c>
      <c r="L10" s="82">
        <f t="shared" si="8"/>
        <v>83.379166666666677</v>
      </c>
      <c r="M10" s="99" t="s">
        <v>425</v>
      </c>
      <c r="N10" s="104">
        <v>614.06500000000005</v>
      </c>
      <c r="O10" s="168">
        <f t="shared" si="9"/>
        <v>150</v>
      </c>
      <c r="P10" s="168">
        <f t="shared" si="10"/>
        <v>200.11</v>
      </c>
      <c r="Q10" s="79">
        <v>2.5</v>
      </c>
      <c r="R10" s="90">
        <f t="shared" si="11"/>
        <v>500.27500000000003</v>
      </c>
      <c r="S10" s="248">
        <f t="shared" si="2"/>
        <v>450</v>
      </c>
      <c r="T10" s="428">
        <f t="shared" si="3"/>
        <v>-50.275000000000034</v>
      </c>
      <c r="U10" s="415" t="str">
        <f t="shared" si="4"/>
        <v>Yes</v>
      </c>
      <c r="V10" s="634"/>
      <c r="W10" s="635"/>
    </row>
    <row r="11" spans="1:34" ht="14.25" customHeight="1" thickBot="1">
      <c r="A11" s="564"/>
      <c r="B11" s="94" t="s">
        <v>8</v>
      </c>
      <c r="C11" s="93" t="s">
        <v>74</v>
      </c>
      <c r="D11" s="105">
        <v>632.29</v>
      </c>
      <c r="E11" s="245">
        <f t="shared" si="5"/>
        <v>150</v>
      </c>
      <c r="F11" s="105">
        <v>416.14780000000002</v>
      </c>
      <c r="G11" s="82">
        <v>2.5</v>
      </c>
      <c r="H11" s="92">
        <f t="shared" si="6"/>
        <v>1040.3695</v>
      </c>
      <c r="I11" s="81">
        <f t="shared" si="7"/>
        <v>9</v>
      </c>
      <c r="J11" s="274">
        <f t="shared" si="0"/>
        <v>1350</v>
      </c>
      <c r="K11" s="81">
        <f t="shared" si="1"/>
        <v>309.63049999999998</v>
      </c>
      <c r="L11" s="82">
        <f t="shared" si="8"/>
        <v>77.064407407407415</v>
      </c>
      <c r="M11" s="99" t="s">
        <v>424</v>
      </c>
      <c r="N11" s="104">
        <v>692.19500000000005</v>
      </c>
      <c r="O11" s="168">
        <f t="shared" si="9"/>
        <v>150</v>
      </c>
      <c r="P11" s="168">
        <f t="shared" si="10"/>
        <v>416.14780000000002</v>
      </c>
      <c r="Q11" s="79">
        <v>2.5</v>
      </c>
      <c r="R11" s="90">
        <f t="shared" si="11"/>
        <v>1040.3695</v>
      </c>
      <c r="S11" s="248">
        <f t="shared" si="2"/>
        <v>1350</v>
      </c>
      <c r="T11" s="428">
        <f t="shared" si="3"/>
        <v>309.63049999999998</v>
      </c>
      <c r="U11" s="415" t="str">
        <f t="shared" si="4"/>
        <v>No</v>
      </c>
      <c r="V11" s="634"/>
      <c r="W11" s="635"/>
      <c r="AG11" s="16" t="s">
        <v>438</v>
      </c>
      <c r="AH11" s="16" t="s">
        <v>453</v>
      </c>
    </row>
    <row r="12" spans="1:34" ht="14.25" customHeight="1" thickBot="1">
      <c r="A12" s="564"/>
      <c r="B12" s="94" t="s">
        <v>12</v>
      </c>
      <c r="C12" s="93" t="s">
        <v>52</v>
      </c>
      <c r="D12" s="105">
        <v>428.91</v>
      </c>
      <c r="E12" s="245">
        <f t="shared" si="5"/>
        <v>200</v>
      </c>
      <c r="F12" s="105">
        <v>320.77999999999997</v>
      </c>
      <c r="G12" s="82">
        <v>2.5</v>
      </c>
      <c r="H12" s="92">
        <f t="shared" si="6"/>
        <v>801.94999999999993</v>
      </c>
      <c r="I12" s="81">
        <f t="shared" si="7"/>
        <v>5</v>
      </c>
      <c r="J12" s="274">
        <f t="shared" si="0"/>
        <v>1000</v>
      </c>
      <c r="K12" s="81">
        <f t="shared" si="1"/>
        <v>198.05000000000007</v>
      </c>
      <c r="L12" s="82">
        <f t="shared" si="8"/>
        <v>80.194999999999993</v>
      </c>
      <c r="M12" s="99" t="s">
        <v>418</v>
      </c>
      <c r="N12" s="104">
        <v>440.09</v>
      </c>
      <c r="O12" s="168">
        <f t="shared" si="9"/>
        <v>200</v>
      </c>
      <c r="P12" s="168">
        <f t="shared" si="10"/>
        <v>320.77999999999997</v>
      </c>
      <c r="Q12" s="79">
        <v>2.5</v>
      </c>
      <c r="R12" s="90">
        <f t="shared" si="11"/>
        <v>801.94999999999993</v>
      </c>
      <c r="S12" s="248">
        <f t="shared" si="2"/>
        <v>1000</v>
      </c>
      <c r="T12" s="428">
        <f t="shared" si="3"/>
        <v>198.05000000000007</v>
      </c>
      <c r="U12" s="415" t="str">
        <f t="shared" si="4"/>
        <v>No</v>
      </c>
      <c r="V12" s="634"/>
      <c r="W12" s="635"/>
      <c r="AG12" s="203"/>
      <c r="AH12" s="202"/>
    </row>
    <row r="13" spans="1:34" ht="14.25" customHeight="1" thickBot="1">
      <c r="A13" s="564"/>
      <c r="B13" s="94" t="s">
        <v>394</v>
      </c>
      <c r="C13" s="93" t="s">
        <v>63</v>
      </c>
      <c r="D13" s="92">
        <v>530.30999999999995</v>
      </c>
      <c r="E13" s="244">
        <f t="shared" si="5"/>
        <v>200</v>
      </c>
      <c r="F13" s="92">
        <v>22.35</v>
      </c>
      <c r="G13" s="82">
        <v>2.5</v>
      </c>
      <c r="H13" s="72">
        <f t="shared" si="6"/>
        <v>55.875</v>
      </c>
      <c r="I13" s="81">
        <f t="shared" si="7"/>
        <v>1</v>
      </c>
      <c r="J13" s="272">
        <f t="shared" si="0"/>
        <v>200</v>
      </c>
      <c r="K13" s="81">
        <f t="shared" si="1"/>
        <v>144.125</v>
      </c>
      <c r="L13" s="82">
        <f t="shared" si="8"/>
        <v>27.9375</v>
      </c>
      <c r="M13" s="88" t="s">
        <v>416</v>
      </c>
      <c r="N13" s="90">
        <v>541.49</v>
      </c>
      <c r="O13" s="168">
        <f t="shared" si="9"/>
        <v>150</v>
      </c>
      <c r="P13" s="168">
        <f t="shared" si="10"/>
        <v>22.35</v>
      </c>
      <c r="Q13" s="79">
        <v>2.5</v>
      </c>
      <c r="R13" s="70">
        <f t="shared" si="11"/>
        <v>55.875</v>
      </c>
      <c r="S13" s="248">
        <f t="shared" si="2"/>
        <v>150</v>
      </c>
      <c r="T13" s="427">
        <f t="shared" si="3"/>
        <v>94.125</v>
      </c>
      <c r="U13" s="415" t="str">
        <f t="shared" si="4"/>
        <v>No</v>
      </c>
      <c r="V13" s="636"/>
      <c r="W13" s="637"/>
      <c r="AG13" s="230" t="s">
        <v>351</v>
      </c>
      <c r="AH13" s="217" t="s">
        <v>351</v>
      </c>
    </row>
    <row r="14" spans="1:34" ht="13.5" thickBot="1">
      <c r="A14" s="292" t="s">
        <v>424</v>
      </c>
      <c r="B14" s="84" t="s">
        <v>351</v>
      </c>
      <c r="C14" s="150"/>
      <c r="D14" s="82"/>
      <c r="E14" s="92">
        <f t="shared" si="5"/>
        <v>300</v>
      </c>
      <c r="F14" s="82"/>
      <c r="G14" s="82">
        <v>2.5</v>
      </c>
      <c r="H14" s="92">
        <f t="shared" si="6"/>
        <v>0</v>
      </c>
      <c r="I14" s="81">
        <f t="shared" si="7"/>
        <v>0</v>
      </c>
      <c r="J14" s="268"/>
      <c r="K14" s="81">
        <f t="shared" si="1"/>
        <v>0</v>
      </c>
      <c r="L14" s="82"/>
      <c r="M14" s="80"/>
      <c r="N14" s="80"/>
      <c r="O14" s="168">
        <f t="shared" si="9"/>
        <v>300</v>
      </c>
      <c r="P14" s="80"/>
      <c r="Q14" s="79">
        <v>2.5</v>
      </c>
      <c r="R14" s="90">
        <f t="shared" si="11"/>
        <v>0</v>
      </c>
      <c r="S14" s="417"/>
      <c r="T14" s="428"/>
      <c r="U14" s="413"/>
      <c r="V14" s="223"/>
      <c r="AG14" s="229"/>
      <c r="AH14" s="217"/>
    </row>
    <row r="15" spans="1:34" ht="13.5" thickBot="1">
      <c r="A15" s="562" t="s">
        <v>49</v>
      </c>
      <c r="B15" s="84" t="s">
        <v>423</v>
      </c>
      <c r="C15" s="83" t="s">
        <v>47</v>
      </c>
      <c r="D15" s="82">
        <v>341.36500000000001</v>
      </c>
      <c r="E15" s="243">
        <f t="shared" si="5"/>
        <v>200</v>
      </c>
      <c r="F15" s="82">
        <v>414.50749999999999</v>
      </c>
      <c r="G15" s="82">
        <v>2.5</v>
      </c>
      <c r="H15" s="82">
        <f t="shared" si="6"/>
        <v>1036.26875</v>
      </c>
      <c r="I15" s="81">
        <f t="shared" si="7"/>
        <v>7</v>
      </c>
      <c r="J15" s="270">
        <f t="shared" ref="J15:J24" si="12">I15*E15</f>
        <v>1400</v>
      </c>
      <c r="K15" s="81">
        <f t="shared" si="1"/>
        <v>363.73125000000005</v>
      </c>
      <c r="L15" s="82">
        <f t="shared" si="8"/>
        <v>74.019196428571419</v>
      </c>
      <c r="M15" s="98" t="s">
        <v>422</v>
      </c>
      <c r="N15" s="80">
        <v>527.53499999999997</v>
      </c>
      <c r="O15" s="168">
        <f t="shared" si="9"/>
        <v>200</v>
      </c>
      <c r="P15" s="80">
        <f>F15</f>
        <v>414.50749999999999</v>
      </c>
      <c r="Q15" s="79">
        <v>2.5</v>
      </c>
      <c r="R15" s="80">
        <f t="shared" si="11"/>
        <v>1036.26875</v>
      </c>
      <c r="S15" s="248">
        <f t="shared" ref="S15:S24" si="13">O15*I15</f>
        <v>1400</v>
      </c>
      <c r="T15" s="426">
        <f t="shared" ref="T15:T24" si="14">S15-R15</f>
        <v>363.73125000000005</v>
      </c>
      <c r="U15" s="415" t="str">
        <f t="shared" ref="U15:U24" si="15">IF(T15&gt;=0,"No","Yes")</f>
        <v>No</v>
      </c>
      <c r="V15" s="223"/>
      <c r="AG15" s="213"/>
      <c r="AH15" s="213"/>
    </row>
    <row r="16" spans="1:34" ht="14.25" customHeight="1" thickBot="1">
      <c r="A16" s="564"/>
      <c r="B16" s="94" t="s">
        <v>9</v>
      </c>
      <c r="C16" s="93" t="s">
        <v>421</v>
      </c>
      <c r="D16" s="105">
        <v>72.555000000000007</v>
      </c>
      <c r="E16" s="245">
        <f t="shared" si="5"/>
        <v>300</v>
      </c>
      <c r="F16" s="105">
        <v>249.06020000000001</v>
      </c>
      <c r="G16" s="82">
        <v>2.5</v>
      </c>
      <c r="H16" s="92">
        <f t="shared" si="6"/>
        <v>622.65049999999997</v>
      </c>
      <c r="I16" s="81">
        <f t="shared" si="7"/>
        <v>3</v>
      </c>
      <c r="J16" s="274">
        <f t="shared" si="12"/>
        <v>900</v>
      </c>
      <c r="K16" s="81">
        <f t="shared" si="1"/>
        <v>277.34950000000003</v>
      </c>
      <c r="L16" s="82">
        <f t="shared" si="8"/>
        <v>69.183388888888885</v>
      </c>
      <c r="M16" s="99" t="s">
        <v>420</v>
      </c>
      <c r="N16" s="104">
        <v>258.625</v>
      </c>
      <c r="O16" s="168">
        <f t="shared" si="9"/>
        <v>250</v>
      </c>
      <c r="P16" s="80">
        <f t="shared" ref="P16:P24" si="16">F16</f>
        <v>249.06020000000001</v>
      </c>
      <c r="Q16" s="79">
        <v>2.5</v>
      </c>
      <c r="R16" s="90">
        <f t="shared" si="11"/>
        <v>622.65049999999997</v>
      </c>
      <c r="S16" s="248">
        <f t="shared" si="13"/>
        <v>750</v>
      </c>
      <c r="T16" s="428">
        <f t="shared" si="14"/>
        <v>127.34950000000003</v>
      </c>
      <c r="U16" s="415" t="str">
        <f t="shared" si="15"/>
        <v>No</v>
      </c>
      <c r="V16" s="223"/>
      <c r="AG16" s="11"/>
      <c r="AH16" s="11"/>
    </row>
    <row r="17" spans="1:34" ht="14.25" customHeight="1" thickBot="1">
      <c r="A17" s="564"/>
      <c r="B17" s="94" t="s">
        <v>10</v>
      </c>
      <c r="C17" s="93" t="s">
        <v>384</v>
      </c>
      <c r="D17" s="105">
        <v>894.93</v>
      </c>
      <c r="E17" s="245">
        <f t="shared" si="5"/>
        <v>150</v>
      </c>
      <c r="F17" s="105">
        <v>185.4342</v>
      </c>
      <c r="G17" s="82">
        <v>2.5</v>
      </c>
      <c r="H17" s="92">
        <f t="shared" si="6"/>
        <v>463.58550000000002</v>
      </c>
      <c r="I17" s="81">
        <f t="shared" si="7"/>
        <v>4</v>
      </c>
      <c r="J17" s="274">
        <f t="shared" si="12"/>
        <v>600</v>
      </c>
      <c r="K17" s="81">
        <f t="shared" si="1"/>
        <v>136.41449999999998</v>
      </c>
      <c r="L17" s="82">
        <f t="shared" si="8"/>
        <v>77.264250000000004</v>
      </c>
      <c r="M17" s="99" t="s">
        <v>383</v>
      </c>
      <c r="N17" s="104">
        <v>975.03499999999997</v>
      </c>
      <c r="O17" s="168">
        <f t="shared" si="9"/>
        <v>150</v>
      </c>
      <c r="P17" s="80">
        <f t="shared" si="16"/>
        <v>185.4342</v>
      </c>
      <c r="Q17" s="79">
        <v>2.5</v>
      </c>
      <c r="R17" s="90">
        <f t="shared" si="11"/>
        <v>463.58550000000002</v>
      </c>
      <c r="S17" s="248">
        <f t="shared" si="13"/>
        <v>600</v>
      </c>
      <c r="T17" s="428">
        <f t="shared" si="14"/>
        <v>136.41449999999998</v>
      </c>
      <c r="U17" s="415" t="str">
        <f t="shared" si="15"/>
        <v>No</v>
      </c>
      <c r="V17" s="223"/>
      <c r="AG17" s="11"/>
      <c r="AH17" s="11"/>
    </row>
    <row r="18" spans="1:34" ht="14.25" customHeight="1" thickBot="1">
      <c r="A18" s="564"/>
      <c r="B18" s="94" t="s">
        <v>11</v>
      </c>
      <c r="C18" s="93" t="s">
        <v>377</v>
      </c>
      <c r="D18" s="105">
        <v>839.23</v>
      </c>
      <c r="E18" s="245">
        <f t="shared" si="5"/>
        <v>150</v>
      </c>
      <c r="F18" s="105">
        <v>213.84829999999999</v>
      </c>
      <c r="G18" s="82">
        <v>2.5</v>
      </c>
      <c r="H18" s="92">
        <f t="shared" si="6"/>
        <v>534.62075000000004</v>
      </c>
      <c r="I18" s="81">
        <f t="shared" si="7"/>
        <v>5</v>
      </c>
      <c r="J18" s="274">
        <f t="shared" si="12"/>
        <v>750</v>
      </c>
      <c r="K18" s="81">
        <f t="shared" si="1"/>
        <v>215.37924999999996</v>
      </c>
      <c r="L18" s="82">
        <f t="shared" si="8"/>
        <v>71.282766666666674</v>
      </c>
      <c r="M18" s="99" t="s">
        <v>419</v>
      </c>
      <c r="N18" s="104">
        <v>1025.3</v>
      </c>
      <c r="O18" s="168">
        <f t="shared" si="9"/>
        <v>150</v>
      </c>
      <c r="P18" s="80">
        <f t="shared" si="16"/>
        <v>213.84829999999999</v>
      </c>
      <c r="Q18" s="79">
        <v>2.5</v>
      </c>
      <c r="R18" s="90">
        <f t="shared" si="11"/>
        <v>534.62075000000004</v>
      </c>
      <c r="S18" s="248">
        <f t="shared" si="13"/>
        <v>750</v>
      </c>
      <c r="T18" s="428">
        <f t="shared" si="14"/>
        <v>215.37924999999996</v>
      </c>
      <c r="U18" s="415" t="str">
        <f t="shared" si="15"/>
        <v>No</v>
      </c>
      <c r="V18" s="223"/>
      <c r="AG18" s="11"/>
      <c r="AH18" s="11"/>
    </row>
    <row r="19" spans="1:34" ht="14.25" customHeight="1" thickBot="1">
      <c r="A19" s="564"/>
      <c r="B19" s="94" t="s">
        <v>12</v>
      </c>
      <c r="C19" s="93" t="s">
        <v>52</v>
      </c>
      <c r="D19" s="105">
        <v>428.91</v>
      </c>
      <c r="E19" s="245">
        <f t="shared" si="5"/>
        <v>200</v>
      </c>
      <c r="F19" s="105">
        <v>320.7817</v>
      </c>
      <c r="G19" s="82">
        <v>2.5</v>
      </c>
      <c r="H19" s="92">
        <f t="shared" si="6"/>
        <v>801.95425</v>
      </c>
      <c r="I19" s="81">
        <f t="shared" si="7"/>
        <v>5</v>
      </c>
      <c r="J19" s="274">
        <f t="shared" si="12"/>
        <v>1000</v>
      </c>
      <c r="K19" s="81">
        <f t="shared" si="1"/>
        <v>198.04575</v>
      </c>
      <c r="L19" s="82">
        <f t="shared" si="8"/>
        <v>80.195425</v>
      </c>
      <c r="M19" s="99" t="s">
        <v>418</v>
      </c>
      <c r="N19" s="104">
        <v>440.09</v>
      </c>
      <c r="O19" s="168">
        <f t="shared" si="9"/>
        <v>200</v>
      </c>
      <c r="P19" s="80">
        <f t="shared" si="16"/>
        <v>320.7817</v>
      </c>
      <c r="Q19" s="79">
        <v>2.5</v>
      </c>
      <c r="R19" s="90">
        <f t="shared" si="11"/>
        <v>801.95425</v>
      </c>
      <c r="S19" s="248">
        <f t="shared" si="13"/>
        <v>1000</v>
      </c>
      <c r="T19" s="428">
        <f t="shared" si="14"/>
        <v>198.04575</v>
      </c>
      <c r="U19" s="415" t="str">
        <f t="shared" si="15"/>
        <v>No</v>
      </c>
      <c r="V19" s="223"/>
      <c r="AG19" s="11"/>
      <c r="AH19" s="11"/>
    </row>
    <row r="20" spans="1:34" ht="14.25" customHeight="1" thickBot="1">
      <c r="A20" s="564"/>
      <c r="B20" s="94" t="s">
        <v>417</v>
      </c>
      <c r="C20" s="93" t="s">
        <v>409</v>
      </c>
      <c r="D20" s="92">
        <v>530.30999999999995</v>
      </c>
      <c r="E20" s="245">
        <f t="shared" si="5"/>
        <v>200</v>
      </c>
      <c r="F20" s="92">
        <v>22.35</v>
      </c>
      <c r="G20" s="82">
        <v>2.5</v>
      </c>
      <c r="H20" s="92">
        <f t="shared" si="6"/>
        <v>55.875</v>
      </c>
      <c r="I20" s="81">
        <f t="shared" si="7"/>
        <v>1</v>
      </c>
      <c r="J20" s="274">
        <f t="shared" si="12"/>
        <v>200</v>
      </c>
      <c r="K20" s="81">
        <f t="shared" si="1"/>
        <v>144.125</v>
      </c>
      <c r="L20" s="82">
        <f t="shared" si="8"/>
        <v>27.9375</v>
      </c>
      <c r="M20" s="88" t="s">
        <v>416</v>
      </c>
      <c r="N20" s="90">
        <v>541.49</v>
      </c>
      <c r="O20" s="168">
        <f t="shared" si="9"/>
        <v>150</v>
      </c>
      <c r="P20" s="80">
        <f t="shared" si="16"/>
        <v>22.35</v>
      </c>
      <c r="Q20" s="79">
        <v>2.5</v>
      </c>
      <c r="R20" s="90">
        <f t="shared" si="11"/>
        <v>55.875</v>
      </c>
      <c r="S20" s="248">
        <f t="shared" si="13"/>
        <v>150</v>
      </c>
      <c r="T20" s="427">
        <f t="shared" si="14"/>
        <v>94.125</v>
      </c>
      <c r="U20" s="415" t="str">
        <f t="shared" si="15"/>
        <v>No</v>
      </c>
      <c r="V20" s="223"/>
      <c r="AG20" s="11"/>
      <c r="AH20" s="11"/>
    </row>
    <row r="21" spans="1:34" ht="13.5" thickBot="1">
      <c r="A21" s="562" t="s">
        <v>411</v>
      </c>
      <c r="B21" s="84" t="s">
        <v>7</v>
      </c>
      <c r="C21" s="83" t="s">
        <v>48</v>
      </c>
      <c r="D21" s="82">
        <v>457.755</v>
      </c>
      <c r="E21" s="243">
        <f t="shared" si="5"/>
        <v>200</v>
      </c>
      <c r="F21" s="82">
        <v>200.1122</v>
      </c>
      <c r="G21" s="82">
        <v>2.5</v>
      </c>
      <c r="H21" s="82">
        <f t="shared" si="6"/>
        <v>500.28050000000002</v>
      </c>
      <c r="I21" s="81">
        <f t="shared" si="7"/>
        <v>3</v>
      </c>
      <c r="J21" s="270">
        <f t="shared" si="12"/>
        <v>600</v>
      </c>
      <c r="K21" s="81">
        <f t="shared" si="1"/>
        <v>99.719499999999982</v>
      </c>
      <c r="L21" s="82">
        <f t="shared" si="8"/>
        <v>83.380083333333332</v>
      </c>
      <c r="M21" s="98" t="s">
        <v>414</v>
      </c>
      <c r="N21" s="80">
        <v>733.18499999999995</v>
      </c>
      <c r="O21" s="168">
        <f t="shared" si="9"/>
        <v>150</v>
      </c>
      <c r="P21" s="80">
        <f t="shared" si="16"/>
        <v>200.1122</v>
      </c>
      <c r="Q21" s="79">
        <v>2.5</v>
      </c>
      <c r="R21" s="80">
        <f t="shared" si="11"/>
        <v>500.28050000000002</v>
      </c>
      <c r="S21" s="247">
        <f t="shared" si="13"/>
        <v>450</v>
      </c>
      <c r="T21" s="428">
        <f t="shared" si="14"/>
        <v>-50.280500000000018</v>
      </c>
      <c r="U21" s="414" t="str">
        <f t="shared" si="15"/>
        <v>Yes</v>
      </c>
      <c r="V21" s="640" t="s">
        <v>351</v>
      </c>
      <c r="W21" s="615"/>
      <c r="AG21" s="11"/>
      <c r="AH21" s="11"/>
    </row>
    <row r="22" spans="1:34" ht="14.25" customHeight="1" thickBot="1">
      <c r="A22" s="564"/>
      <c r="B22" s="94" t="s">
        <v>413</v>
      </c>
      <c r="C22" s="93" t="s">
        <v>74</v>
      </c>
      <c r="D22" s="105">
        <v>632.29</v>
      </c>
      <c r="E22" s="245">
        <f t="shared" si="5"/>
        <v>150</v>
      </c>
      <c r="F22" s="105">
        <v>416.14780000000002</v>
      </c>
      <c r="G22" s="82">
        <v>2.5</v>
      </c>
      <c r="H22" s="92">
        <f t="shared" si="6"/>
        <v>1040.3695</v>
      </c>
      <c r="I22" s="81">
        <f t="shared" si="7"/>
        <v>9</v>
      </c>
      <c r="J22" s="274">
        <f t="shared" si="12"/>
        <v>1350</v>
      </c>
      <c r="K22" s="81">
        <f t="shared" si="1"/>
        <v>309.63049999999998</v>
      </c>
      <c r="L22" s="82">
        <f t="shared" si="8"/>
        <v>77.064407407407415</v>
      </c>
      <c r="M22" s="99" t="s">
        <v>361</v>
      </c>
      <c r="N22" s="104">
        <v>692.19500000000005</v>
      </c>
      <c r="O22" s="168">
        <f t="shared" si="9"/>
        <v>150</v>
      </c>
      <c r="P22" s="80">
        <f t="shared" si="16"/>
        <v>416.14780000000002</v>
      </c>
      <c r="Q22" s="79">
        <v>2.5</v>
      </c>
      <c r="R22" s="90">
        <f t="shared" si="11"/>
        <v>1040.3695</v>
      </c>
      <c r="S22" s="248">
        <f t="shared" si="13"/>
        <v>1350</v>
      </c>
      <c r="T22" s="428">
        <f t="shared" si="14"/>
        <v>309.63049999999998</v>
      </c>
      <c r="U22" s="415" t="str">
        <f t="shared" si="15"/>
        <v>No</v>
      </c>
      <c r="V22" s="641"/>
      <c r="W22" s="617"/>
      <c r="AG22" s="11"/>
      <c r="AH22" s="11"/>
    </row>
    <row r="23" spans="1:34" ht="14.25" customHeight="1" thickBot="1">
      <c r="A23" s="564"/>
      <c r="B23" s="94" t="s">
        <v>412</v>
      </c>
      <c r="C23" s="93" t="s">
        <v>411</v>
      </c>
      <c r="D23" s="105">
        <v>370.31</v>
      </c>
      <c r="E23" s="245">
        <f t="shared" si="5"/>
        <v>200</v>
      </c>
      <c r="F23" s="105">
        <v>24.103000000000002</v>
      </c>
      <c r="G23" s="82">
        <v>2.5</v>
      </c>
      <c r="H23" s="92">
        <f t="shared" si="6"/>
        <v>60.257500000000007</v>
      </c>
      <c r="I23" s="81">
        <f t="shared" si="7"/>
        <v>1</v>
      </c>
      <c r="J23" s="274">
        <f t="shared" si="12"/>
        <v>200</v>
      </c>
      <c r="K23" s="81">
        <f t="shared" si="1"/>
        <v>139.74250000000001</v>
      </c>
      <c r="L23" s="82">
        <f t="shared" si="8"/>
        <v>30.128750000000004</v>
      </c>
      <c r="M23" s="99" t="s">
        <v>410</v>
      </c>
      <c r="N23" s="104">
        <v>820.63</v>
      </c>
      <c r="O23" s="168">
        <f t="shared" si="9"/>
        <v>150</v>
      </c>
      <c r="P23" s="80">
        <f t="shared" si="16"/>
        <v>24.103000000000002</v>
      </c>
      <c r="Q23" s="79">
        <v>2.5</v>
      </c>
      <c r="R23" s="90">
        <f t="shared" si="11"/>
        <v>60.257500000000007</v>
      </c>
      <c r="S23" s="248">
        <f t="shared" si="13"/>
        <v>150</v>
      </c>
      <c r="T23" s="428">
        <f t="shared" si="14"/>
        <v>89.742499999999993</v>
      </c>
      <c r="U23" s="415" t="str">
        <f t="shared" si="15"/>
        <v>No</v>
      </c>
      <c r="V23" s="641"/>
      <c r="W23" s="617"/>
      <c r="AG23" s="11"/>
      <c r="AH23" s="11"/>
    </row>
    <row r="24" spans="1:34" ht="14.25" customHeight="1" thickBot="1">
      <c r="A24" s="564"/>
      <c r="B24" s="94" t="s">
        <v>394</v>
      </c>
      <c r="C24" s="93" t="s">
        <v>409</v>
      </c>
      <c r="D24" s="92">
        <v>530.30999999999995</v>
      </c>
      <c r="E24" s="244">
        <f t="shared" si="5"/>
        <v>200</v>
      </c>
      <c r="F24" s="92">
        <v>22.35</v>
      </c>
      <c r="G24" s="82">
        <v>2.5</v>
      </c>
      <c r="H24" s="72">
        <f t="shared" si="6"/>
        <v>55.875</v>
      </c>
      <c r="I24" s="81">
        <f t="shared" si="7"/>
        <v>1</v>
      </c>
      <c r="J24" s="272">
        <f t="shared" si="12"/>
        <v>200</v>
      </c>
      <c r="K24" s="81">
        <f t="shared" si="1"/>
        <v>144.125</v>
      </c>
      <c r="L24" s="82">
        <f t="shared" si="8"/>
        <v>27.9375</v>
      </c>
      <c r="M24" s="88" t="s">
        <v>408</v>
      </c>
      <c r="N24" s="90">
        <v>660.63</v>
      </c>
      <c r="O24" s="168">
        <f t="shared" si="9"/>
        <v>150</v>
      </c>
      <c r="P24" s="80">
        <f t="shared" si="16"/>
        <v>22.35</v>
      </c>
      <c r="Q24" s="79">
        <v>2.5</v>
      </c>
      <c r="R24" s="70">
        <f t="shared" si="11"/>
        <v>55.875</v>
      </c>
      <c r="S24" s="249">
        <f t="shared" si="13"/>
        <v>150</v>
      </c>
      <c r="T24" s="428">
        <f t="shared" si="14"/>
        <v>94.125</v>
      </c>
      <c r="U24" s="416" t="str">
        <f t="shared" si="15"/>
        <v>No</v>
      </c>
      <c r="V24" s="642"/>
      <c r="W24" s="619"/>
      <c r="AG24" s="11"/>
      <c r="AH24" s="11"/>
    </row>
    <row r="25" spans="1:34" ht="13.5" thickBot="1">
      <c r="A25" s="151" t="s">
        <v>407</v>
      </c>
      <c r="B25" s="84" t="s">
        <v>406</v>
      </c>
      <c r="C25" s="150"/>
      <c r="D25" s="82"/>
      <c r="E25" s="92">
        <f t="shared" si="5"/>
        <v>300</v>
      </c>
      <c r="F25" s="82"/>
      <c r="G25" s="82">
        <v>2.5</v>
      </c>
      <c r="H25" s="92">
        <f t="shared" si="6"/>
        <v>0</v>
      </c>
      <c r="I25" s="81">
        <f t="shared" si="7"/>
        <v>0</v>
      </c>
      <c r="J25" s="268"/>
      <c r="K25" s="81">
        <f t="shared" si="1"/>
        <v>0</v>
      </c>
      <c r="L25" s="82"/>
      <c r="M25" s="80"/>
      <c r="N25" s="80"/>
      <c r="O25" s="168">
        <f t="shared" si="9"/>
        <v>300</v>
      </c>
      <c r="P25" s="80"/>
      <c r="Q25" s="79">
        <v>2.5</v>
      </c>
      <c r="R25" s="90">
        <f t="shared" si="11"/>
        <v>0</v>
      </c>
      <c r="S25" s="248"/>
      <c r="T25" s="429"/>
      <c r="U25" s="415"/>
      <c r="V25" s="240"/>
      <c r="W25" s="240"/>
      <c r="AG25" s="11"/>
      <c r="AH25" s="11"/>
    </row>
    <row r="26" spans="1:34" ht="15" customHeight="1" thickBot="1">
      <c r="A26" s="575" t="s">
        <v>405</v>
      </c>
      <c r="B26" s="148" t="s">
        <v>14</v>
      </c>
      <c r="C26" s="83" t="s">
        <v>404</v>
      </c>
      <c r="D26" s="82">
        <v>391.72</v>
      </c>
      <c r="E26" s="243">
        <f t="shared" si="5"/>
        <v>200</v>
      </c>
      <c r="F26" s="82">
        <v>664.51419999999996</v>
      </c>
      <c r="G26" s="82">
        <v>2.5</v>
      </c>
      <c r="H26" s="82">
        <f t="shared" si="6"/>
        <v>1661.2855</v>
      </c>
      <c r="I26" s="81">
        <f t="shared" si="7"/>
        <v>10</v>
      </c>
      <c r="J26" s="270">
        <f t="shared" ref="J26:J56" si="17">I26*E26</f>
        <v>2000</v>
      </c>
      <c r="K26" s="81">
        <f t="shared" si="1"/>
        <v>338.71450000000004</v>
      </c>
      <c r="L26" s="82">
        <f t="shared" si="8"/>
        <v>83.064274999999995</v>
      </c>
      <c r="M26" s="98" t="s">
        <v>403</v>
      </c>
      <c r="N26" s="80">
        <v>799.22</v>
      </c>
      <c r="O26" s="168">
        <f t="shared" si="9"/>
        <v>150</v>
      </c>
      <c r="P26" s="80">
        <f>F26</f>
        <v>664.51419999999996</v>
      </c>
      <c r="Q26" s="79">
        <v>2.5</v>
      </c>
      <c r="R26" s="80">
        <f t="shared" si="11"/>
        <v>1661.2855</v>
      </c>
      <c r="S26" s="247">
        <f t="shared" ref="S26:S56" si="18">O26*I26</f>
        <v>1500</v>
      </c>
      <c r="T26" s="428">
        <f t="shared" ref="T26:T56" si="19">S26-R26</f>
        <v>-161.28549999999996</v>
      </c>
      <c r="U26" s="422" t="str">
        <f t="shared" ref="U26:U57" si="20">IF(T26&gt;=0,"No","Yes")</f>
        <v>Yes</v>
      </c>
      <c r="V26" s="624" t="s">
        <v>351</v>
      </c>
      <c r="W26" s="638" t="s">
        <v>351</v>
      </c>
      <c r="Y26" s="294" t="s">
        <v>452</v>
      </c>
      <c r="Z26" s="295"/>
      <c r="AA26" s="241"/>
      <c r="AG26" s="11"/>
      <c r="AH26" s="11"/>
    </row>
    <row r="27" spans="1:34" ht="14.25" customHeight="1" thickBot="1">
      <c r="A27" s="576"/>
      <c r="B27" s="74" t="s">
        <v>360</v>
      </c>
      <c r="C27" s="73" t="s">
        <v>55</v>
      </c>
      <c r="D27" s="146">
        <v>566.26</v>
      </c>
      <c r="E27" s="245">
        <f t="shared" si="5"/>
        <v>150</v>
      </c>
      <c r="F27" s="146">
        <v>424.66829999999999</v>
      </c>
      <c r="G27" s="82">
        <v>2.5</v>
      </c>
      <c r="H27" s="92">
        <f t="shared" si="6"/>
        <v>1061.67075</v>
      </c>
      <c r="I27" s="81">
        <f t="shared" si="7"/>
        <v>9</v>
      </c>
      <c r="J27" s="274">
        <f t="shared" si="17"/>
        <v>1350</v>
      </c>
      <c r="K27" s="81">
        <f t="shared" si="1"/>
        <v>288.32925</v>
      </c>
      <c r="L27" s="82">
        <f t="shared" si="8"/>
        <v>78.642277777777778</v>
      </c>
      <c r="M27" s="246" t="s">
        <v>402</v>
      </c>
      <c r="N27" s="145">
        <v>973.76</v>
      </c>
      <c r="O27" s="168">
        <f t="shared" si="9"/>
        <v>150</v>
      </c>
      <c r="P27" s="80">
        <f t="shared" ref="P27:P56" si="21">F27</f>
        <v>424.66829999999999</v>
      </c>
      <c r="Q27" s="79">
        <v>2.5</v>
      </c>
      <c r="R27" s="90">
        <f t="shared" si="11"/>
        <v>1061.67075</v>
      </c>
      <c r="S27" s="249">
        <f t="shared" si="18"/>
        <v>1350</v>
      </c>
      <c r="T27" s="428">
        <f t="shared" si="19"/>
        <v>288.32925</v>
      </c>
      <c r="U27" s="423" t="str">
        <f t="shared" si="20"/>
        <v>No</v>
      </c>
      <c r="V27" s="626"/>
      <c r="W27" s="639"/>
      <c r="Y27" s="87"/>
      <c r="Z27" s="266"/>
      <c r="AA27" s="97"/>
      <c r="AG27" s="11"/>
      <c r="AH27" s="11"/>
    </row>
    <row r="28" spans="1:34" ht="15" customHeight="1" thickBot="1">
      <c r="A28" s="564" t="s">
        <v>401</v>
      </c>
      <c r="B28" s="62" t="s">
        <v>6</v>
      </c>
      <c r="C28" s="111" t="s">
        <v>47</v>
      </c>
      <c r="D28" s="92">
        <v>341.46499999999997</v>
      </c>
      <c r="E28" s="243">
        <f t="shared" si="5"/>
        <v>200</v>
      </c>
      <c r="F28" s="92">
        <v>414.50749999999999</v>
      </c>
      <c r="G28" s="82">
        <v>2.5</v>
      </c>
      <c r="H28" s="82">
        <f t="shared" si="6"/>
        <v>1036.26875</v>
      </c>
      <c r="I28" s="81">
        <f t="shared" si="7"/>
        <v>7</v>
      </c>
      <c r="J28" s="270">
        <f t="shared" si="17"/>
        <v>1400</v>
      </c>
      <c r="K28" s="81">
        <f t="shared" si="1"/>
        <v>363.73125000000005</v>
      </c>
      <c r="L28" s="82">
        <f t="shared" si="8"/>
        <v>74.019196428571419</v>
      </c>
      <c r="M28" s="88" t="s">
        <v>400</v>
      </c>
      <c r="N28" s="90">
        <v>849.47500000000002</v>
      </c>
      <c r="O28" s="168">
        <f t="shared" si="9"/>
        <v>150</v>
      </c>
      <c r="P28" s="80">
        <f t="shared" si="21"/>
        <v>414.50749999999999</v>
      </c>
      <c r="Q28" s="79">
        <v>2.5</v>
      </c>
      <c r="R28" s="80">
        <f t="shared" si="11"/>
        <v>1036.26875</v>
      </c>
      <c r="S28" s="248">
        <f t="shared" si="18"/>
        <v>1050</v>
      </c>
      <c r="T28" s="426">
        <f t="shared" si="19"/>
        <v>13.731250000000045</v>
      </c>
      <c r="U28" s="422" t="str">
        <f t="shared" si="20"/>
        <v>No</v>
      </c>
      <c r="V28" s="624" t="s">
        <v>6</v>
      </c>
      <c r="W28" s="627">
        <v>25</v>
      </c>
      <c r="Y28" s="256" t="s">
        <v>388</v>
      </c>
      <c r="Z28" s="184" t="s">
        <v>387</v>
      </c>
      <c r="AA28" s="257" t="s">
        <v>386</v>
      </c>
      <c r="AG28" s="11"/>
      <c r="AH28" s="11"/>
    </row>
    <row r="29" spans="1:34" ht="14.25" customHeight="1" thickBot="1">
      <c r="A29" s="564"/>
      <c r="B29" s="62" t="s">
        <v>399</v>
      </c>
      <c r="C29" s="111" t="s">
        <v>384</v>
      </c>
      <c r="D29" s="92">
        <v>894.93</v>
      </c>
      <c r="E29" s="245">
        <f t="shared" si="5"/>
        <v>150</v>
      </c>
      <c r="F29" s="92">
        <v>185.4342</v>
      </c>
      <c r="G29" s="82">
        <v>2.5</v>
      </c>
      <c r="H29" s="92">
        <f t="shared" si="6"/>
        <v>463.58550000000002</v>
      </c>
      <c r="I29" s="81">
        <f t="shared" si="7"/>
        <v>4</v>
      </c>
      <c r="J29" s="274">
        <f t="shared" si="17"/>
        <v>600</v>
      </c>
      <c r="K29" s="81">
        <f t="shared" si="1"/>
        <v>136.41449999999998</v>
      </c>
      <c r="L29" s="82">
        <f t="shared" si="8"/>
        <v>77.264250000000004</v>
      </c>
      <c r="M29" s="88" t="s">
        <v>383</v>
      </c>
      <c r="N29" s="90">
        <v>975.03499999999997</v>
      </c>
      <c r="O29" s="168">
        <f t="shared" si="9"/>
        <v>150</v>
      </c>
      <c r="P29" s="80">
        <f t="shared" si="21"/>
        <v>185.4342</v>
      </c>
      <c r="Q29" s="79">
        <v>2.5</v>
      </c>
      <c r="R29" s="90">
        <f t="shared" si="11"/>
        <v>463.58550000000002</v>
      </c>
      <c r="S29" s="248">
        <f t="shared" si="18"/>
        <v>600</v>
      </c>
      <c r="T29" s="428">
        <f t="shared" si="19"/>
        <v>136.41449999999998</v>
      </c>
      <c r="U29" s="424" t="str">
        <f t="shared" si="20"/>
        <v>No</v>
      </c>
      <c r="V29" s="625"/>
      <c r="W29" s="628"/>
      <c r="Y29" s="126" t="s">
        <v>6</v>
      </c>
      <c r="Z29" s="125">
        <v>25</v>
      </c>
      <c r="AA29" s="97"/>
      <c r="AG29" s="11"/>
      <c r="AH29" s="11"/>
    </row>
    <row r="30" spans="1:34" ht="14.25" customHeight="1" thickBot="1">
      <c r="A30" s="564"/>
      <c r="B30" s="94" t="s">
        <v>398</v>
      </c>
      <c r="C30" s="93" t="s">
        <v>377</v>
      </c>
      <c r="D30" s="105">
        <v>839.23</v>
      </c>
      <c r="E30" s="245">
        <f t="shared" si="5"/>
        <v>150</v>
      </c>
      <c r="F30" s="105">
        <v>213.84829999999999</v>
      </c>
      <c r="G30" s="82">
        <v>2.5</v>
      </c>
      <c r="H30" s="92">
        <f t="shared" si="6"/>
        <v>534.62075000000004</v>
      </c>
      <c r="I30" s="81">
        <f t="shared" si="7"/>
        <v>5</v>
      </c>
      <c r="J30" s="274">
        <f t="shared" si="17"/>
        <v>750</v>
      </c>
      <c r="K30" s="81">
        <f t="shared" si="1"/>
        <v>215.37924999999996</v>
      </c>
      <c r="L30" s="82">
        <f t="shared" si="8"/>
        <v>71.282766666666674</v>
      </c>
      <c r="M30" s="99" t="s">
        <v>397</v>
      </c>
      <c r="N30" s="104">
        <v>1347.24</v>
      </c>
      <c r="O30" s="168">
        <f t="shared" si="9"/>
        <v>100</v>
      </c>
      <c r="P30" s="80">
        <f t="shared" si="21"/>
        <v>213.84829999999999</v>
      </c>
      <c r="Q30" s="79">
        <v>2.5</v>
      </c>
      <c r="R30" s="90">
        <f t="shared" si="11"/>
        <v>534.62075000000004</v>
      </c>
      <c r="S30" s="248">
        <f t="shared" si="18"/>
        <v>500</v>
      </c>
      <c r="T30" s="428">
        <f t="shared" si="19"/>
        <v>-34.620750000000044</v>
      </c>
      <c r="U30" s="424" t="str">
        <f t="shared" si="20"/>
        <v>Yes</v>
      </c>
      <c r="V30" s="625"/>
      <c r="W30" s="628"/>
      <c r="Y30" s="126" t="s">
        <v>27</v>
      </c>
      <c r="Z30" s="125">
        <v>235</v>
      </c>
      <c r="AA30" s="97"/>
      <c r="AG30" s="11"/>
      <c r="AH30" s="11"/>
    </row>
    <row r="31" spans="1:34" ht="14.25" customHeight="1" thickBot="1">
      <c r="A31" s="564"/>
      <c r="B31" s="94" t="s">
        <v>396</v>
      </c>
      <c r="C31" s="93" t="s">
        <v>52</v>
      </c>
      <c r="D31" s="92">
        <v>428.91</v>
      </c>
      <c r="E31" s="245">
        <f t="shared" si="5"/>
        <v>200</v>
      </c>
      <c r="F31" s="92">
        <v>320.7817</v>
      </c>
      <c r="G31" s="82">
        <v>2.5</v>
      </c>
      <c r="H31" s="92">
        <f t="shared" si="6"/>
        <v>801.95425</v>
      </c>
      <c r="I31" s="81">
        <f t="shared" si="7"/>
        <v>5</v>
      </c>
      <c r="J31" s="274">
        <f t="shared" si="17"/>
        <v>1000</v>
      </c>
      <c r="K31" s="81">
        <f t="shared" si="1"/>
        <v>198.04575</v>
      </c>
      <c r="L31" s="82">
        <f t="shared" si="8"/>
        <v>80.195425</v>
      </c>
      <c r="M31" s="88" t="s">
        <v>395</v>
      </c>
      <c r="N31" s="90">
        <v>762.03</v>
      </c>
      <c r="O31" s="168">
        <f t="shared" si="9"/>
        <v>150</v>
      </c>
      <c r="P31" s="80">
        <f t="shared" si="21"/>
        <v>320.7817</v>
      </c>
      <c r="Q31" s="79">
        <v>2.5</v>
      </c>
      <c r="R31" s="90">
        <f t="shared" si="11"/>
        <v>801.95425</v>
      </c>
      <c r="S31" s="248">
        <f t="shared" si="18"/>
        <v>750</v>
      </c>
      <c r="T31" s="428">
        <f t="shared" si="19"/>
        <v>-51.954250000000002</v>
      </c>
      <c r="U31" s="424" t="str">
        <f t="shared" si="20"/>
        <v>Yes</v>
      </c>
      <c r="V31" s="625"/>
      <c r="W31" s="628"/>
      <c r="Y31" s="126" t="s">
        <v>17</v>
      </c>
      <c r="Z31" s="125">
        <v>411</v>
      </c>
      <c r="AA31" s="97"/>
    </row>
    <row r="32" spans="1:34" ht="14.25" customHeight="1" thickBot="1">
      <c r="A32" s="564"/>
      <c r="B32" s="94" t="s">
        <v>393</v>
      </c>
      <c r="C32" s="93" t="s">
        <v>56</v>
      </c>
      <c r="D32" s="92">
        <v>268.91000000000003</v>
      </c>
      <c r="E32" s="245">
        <f t="shared" si="5"/>
        <v>250</v>
      </c>
      <c r="F32" s="92">
        <v>277.57420000000002</v>
      </c>
      <c r="G32" s="82">
        <v>2.5</v>
      </c>
      <c r="H32" s="92">
        <f t="shared" si="6"/>
        <v>693.93550000000005</v>
      </c>
      <c r="I32" s="81">
        <f t="shared" si="7"/>
        <v>4</v>
      </c>
      <c r="J32" s="274">
        <f t="shared" si="17"/>
        <v>1000</v>
      </c>
      <c r="K32" s="81">
        <f t="shared" si="1"/>
        <v>306.06449999999995</v>
      </c>
      <c r="L32" s="82">
        <f t="shared" si="8"/>
        <v>69.393550000000005</v>
      </c>
      <c r="M32" s="88" t="s">
        <v>392</v>
      </c>
      <c r="N32" s="90">
        <v>922.03</v>
      </c>
      <c r="O32" s="168">
        <f t="shared" si="9"/>
        <v>150</v>
      </c>
      <c r="P32" s="80">
        <f t="shared" si="21"/>
        <v>277.57420000000002</v>
      </c>
      <c r="Q32" s="79">
        <v>2.5</v>
      </c>
      <c r="R32" s="90">
        <f t="shared" si="11"/>
        <v>693.93550000000005</v>
      </c>
      <c r="S32" s="248">
        <f t="shared" si="18"/>
        <v>600</v>
      </c>
      <c r="T32" s="427">
        <f t="shared" si="19"/>
        <v>-93.935500000000047</v>
      </c>
      <c r="U32" s="423" t="str">
        <f t="shared" si="20"/>
        <v>Yes</v>
      </c>
      <c r="V32" s="626"/>
      <c r="W32" s="629"/>
      <c r="Y32" s="87" t="s">
        <v>19</v>
      </c>
      <c r="Z32" s="20">
        <v>132</v>
      </c>
      <c r="AA32" s="97"/>
    </row>
    <row r="33" spans="1:38" ht="13.5" thickBot="1">
      <c r="A33" s="562" t="s">
        <v>380</v>
      </c>
      <c r="B33" s="84" t="s">
        <v>391</v>
      </c>
      <c r="C33" s="83" t="s">
        <v>390</v>
      </c>
      <c r="D33" s="82">
        <v>774.56</v>
      </c>
      <c r="E33" s="243">
        <f t="shared" si="5"/>
        <v>150</v>
      </c>
      <c r="F33" s="82">
        <v>593.39</v>
      </c>
      <c r="G33" s="82">
        <v>2.5</v>
      </c>
      <c r="H33" s="82">
        <f t="shared" si="6"/>
        <v>1483.4749999999999</v>
      </c>
      <c r="I33" s="81">
        <f t="shared" si="7"/>
        <v>12</v>
      </c>
      <c r="J33" s="270">
        <f t="shared" si="17"/>
        <v>1800</v>
      </c>
      <c r="K33" s="81">
        <f t="shared" si="1"/>
        <v>316.52500000000009</v>
      </c>
      <c r="L33" s="82">
        <f t="shared" si="8"/>
        <v>82.415277777777774</v>
      </c>
      <c r="M33" s="98" t="s">
        <v>389</v>
      </c>
      <c r="N33" s="80">
        <v>778.62</v>
      </c>
      <c r="O33" s="168">
        <f t="shared" si="9"/>
        <v>150</v>
      </c>
      <c r="P33" s="80">
        <f t="shared" si="21"/>
        <v>593.39</v>
      </c>
      <c r="Q33" s="79">
        <v>2.5</v>
      </c>
      <c r="R33" s="80">
        <f t="shared" si="11"/>
        <v>1483.4749999999999</v>
      </c>
      <c r="S33" s="247">
        <f t="shared" si="18"/>
        <v>1800</v>
      </c>
      <c r="T33" s="428">
        <f t="shared" si="19"/>
        <v>316.52500000000009</v>
      </c>
      <c r="U33" s="424" t="str">
        <f t="shared" si="20"/>
        <v>No</v>
      </c>
      <c r="V33" s="213"/>
      <c r="W33" s="213"/>
      <c r="Y33" s="258" t="s">
        <v>28</v>
      </c>
      <c r="Z33" s="214">
        <v>731</v>
      </c>
      <c r="AA33" s="86"/>
    </row>
    <row r="34" spans="1:38" ht="14.25" customHeight="1" thickBot="1">
      <c r="A34" s="564"/>
      <c r="B34" s="94" t="s">
        <v>385</v>
      </c>
      <c r="C34" s="93" t="s">
        <v>384</v>
      </c>
      <c r="D34" s="105">
        <v>894.93</v>
      </c>
      <c r="E34" s="245">
        <f t="shared" si="5"/>
        <v>150</v>
      </c>
      <c r="F34" s="105">
        <v>185.4342</v>
      </c>
      <c r="G34" s="82">
        <v>2.5</v>
      </c>
      <c r="H34" s="92">
        <f t="shared" si="6"/>
        <v>463.58550000000002</v>
      </c>
      <c r="I34" s="81">
        <f t="shared" si="7"/>
        <v>4</v>
      </c>
      <c r="J34" s="274">
        <f t="shared" si="17"/>
        <v>600</v>
      </c>
      <c r="K34" s="81">
        <f t="shared" si="1"/>
        <v>136.41449999999998</v>
      </c>
      <c r="L34" s="82">
        <f t="shared" si="8"/>
        <v>77.264250000000004</v>
      </c>
      <c r="M34" s="99" t="s">
        <v>383</v>
      </c>
      <c r="N34" s="104">
        <v>975.03499999999997</v>
      </c>
      <c r="O34" s="168">
        <f t="shared" si="9"/>
        <v>150</v>
      </c>
      <c r="P34" s="80">
        <f t="shared" si="21"/>
        <v>185.4342</v>
      </c>
      <c r="Q34" s="79">
        <v>2.5</v>
      </c>
      <c r="R34" s="90">
        <f t="shared" si="11"/>
        <v>463.58550000000002</v>
      </c>
      <c r="S34" s="248">
        <f t="shared" si="18"/>
        <v>600</v>
      </c>
      <c r="T34" s="428">
        <f t="shared" si="19"/>
        <v>136.41449999999998</v>
      </c>
      <c r="U34" s="424" t="str">
        <f t="shared" si="20"/>
        <v>No</v>
      </c>
      <c r="V34" s="11"/>
      <c r="W34" s="11"/>
      <c r="Y34" s="5" t="s">
        <v>30</v>
      </c>
      <c r="Z34" s="5">
        <v>462</v>
      </c>
      <c r="AB34" s="57"/>
    </row>
    <row r="35" spans="1:38" ht="14.25" customHeight="1" thickBot="1">
      <c r="A35" s="564"/>
      <c r="B35" s="94" t="s">
        <v>381</v>
      </c>
      <c r="C35" s="93" t="s">
        <v>380</v>
      </c>
      <c r="D35" s="92">
        <v>553.46500000000003</v>
      </c>
      <c r="E35" s="245">
        <f t="shared" si="5"/>
        <v>150</v>
      </c>
      <c r="F35" s="92">
        <v>491.47570000000002</v>
      </c>
      <c r="G35" s="82">
        <v>2.5</v>
      </c>
      <c r="H35" s="92">
        <f t="shared" si="6"/>
        <v>1228.6892500000001</v>
      </c>
      <c r="I35" s="81">
        <f t="shared" si="7"/>
        <v>10</v>
      </c>
      <c r="J35" s="274">
        <f t="shared" si="17"/>
        <v>1500</v>
      </c>
      <c r="K35" s="81">
        <f t="shared" si="1"/>
        <v>271.31074999999987</v>
      </c>
      <c r="L35" s="82">
        <f t="shared" si="8"/>
        <v>81.912616666666665</v>
      </c>
      <c r="M35" s="88" t="s">
        <v>379</v>
      </c>
      <c r="N35" s="90">
        <v>660.12</v>
      </c>
      <c r="O35" s="168">
        <f t="shared" si="9"/>
        <v>150</v>
      </c>
      <c r="P35" s="80">
        <f t="shared" si="21"/>
        <v>491.47570000000002</v>
      </c>
      <c r="Q35" s="79">
        <v>2.5</v>
      </c>
      <c r="R35" s="90">
        <f t="shared" si="11"/>
        <v>1228.6892500000001</v>
      </c>
      <c r="S35" s="249">
        <f t="shared" si="18"/>
        <v>1500</v>
      </c>
      <c r="T35" s="428">
        <f t="shared" si="19"/>
        <v>271.31074999999987</v>
      </c>
      <c r="U35" s="424" t="str">
        <f t="shared" si="20"/>
        <v>No</v>
      </c>
      <c r="V35" s="11"/>
      <c r="W35" s="11"/>
      <c r="Y35" s="5" t="s">
        <v>31</v>
      </c>
      <c r="Z35" s="5">
        <v>567</v>
      </c>
    </row>
    <row r="36" spans="1:38" ht="13.5" thickBot="1">
      <c r="A36" s="562" t="s">
        <v>374</v>
      </c>
      <c r="B36" s="84" t="s">
        <v>378</v>
      </c>
      <c r="C36" s="83" t="s">
        <v>377</v>
      </c>
      <c r="D36" s="82">
        <v>839.23</v>
      </c>
      <c r="E36" s="243">
        <f t="shared" si="5"/>
        <v>150</v>
      </c>
      <c r="F36" s="82">
        <v>213.84829999999999</v>
      </c>
      <c r="G36" s="82">
        <v>2.5</v>
      </c>
      <c r="H36" s="82">
        <f t="shared" si="6"/>
        <v>534.62075000000004</v>
      </c>
      <c r="I36" s="81">
        <f t="shared" si="7"/>
        <v>5</v>
      </c>
      <c r="J36" s="270">
        <f t="shared" si="17"/>
        <v>750</v>
      </c>
      <c r="K36" s="81">
        <f t="shared" si="1"/>
        <v>215.37924999999996</v>
      </c>
      <c r="L36" s="82">
        <f t="shared" si="8"/>
        <v>71.282766666666674</v>
      </c>
      <c r="M36" s="98" t="s">
        <v>376</v>
      </c>
      <c r="N36" s="80">
        <v>844.89</v>
      </c>
      <c r="O36" s="168">
        <f t="shared" si="9"/>
        <v>150</v>
      </c>
      <c r="P36" s="80">
        <f t="shared" si="21"/>
        <v>213.84829999999999</v>
      </c>
      <c r="Q36" s="79">
        <v>2.5</v>
      </c>
      <c r="R36" s="80">
        <f t="shared" si="11"/>
        <v>534.62075000000004</v>
      </c>
      <c r="S36" s="248">
        <f t="shared" si="18"/>
        <v>750</v>
      </c>
      <c r="T36" s="426">
        <f t="shared" si="19"/>
        <v>215.37924999999996</v>
      </c>
      <c r="U36" s="422" t="str">
        <f t="shared" si="20"/>
        <v>No</v>
      </c>
      <c r="V36" s="11"/>
      <c r="W36" s="11"/>
      <c r="AA36" s="20"/>
    </row>
    <row r="37" spans="1:38" ht="14.25" customHeight="1" thickBot="1">
      <c r="A37" s="564"/>
      <c r="B37" s="94" t="s">
        <v>375</v>
      </c>
      <c r="C37" s="93" t="s">
        <v>374</v>
      </c>
      <c r="D37" s="92">
        <v>497.76499999999999</v>
      </c>
      <c r="E37" s="244">
        <f t="shared" si="5"/>
        <v>200</v>
      </c>
      <c r="F37" s="92">
        <v>1151.328</v>
      </c>
      <c r="G37" s="82">
        <v>2.5</v>
      </c>
      <c r="H37" s="72">
        <f t="shared" si="6"/>
        <v>2878.3199999999997</v>
      </c>
      <c r="I37" s="81">
        <f t="shared" si="7"/>
        <v>18</v>
      </c>
      <c r="J37" s="272">
        <f t="shared" si="17"/>
        <v>3600</v>
      </c>
      <c r="K37" s="81">
        <f t="shared" si="1"/>
        <v>721.68000000000029</v>
      </c>
      <c r="L37" s="82">
        <f t="shared" si="8"/>
        <v>79.953333333333319</v>
      </c>
      <c r="M37" s="88" t="s">
        <v>373</v>
      </c>
      <c r="N37" s="90">
        <v>503.42500000000001</v>
      </c>
      <c r="O37" s="168">
        <f t="shared" si="9"/>
        <v>200</v>
      </c>
      <c r="P37" s="80">
        <f t="shared" si="21"/>
        <v>1151.328</v>
      </c>
      <c r="Q37" s="79">
        <v>2.5</v>
      </c>
      <c r="R37" s="70">
        <f t="shared" si="11"/>
        <v>2878.3199999999997</v>
      </c>
      <c r="S37" s="248">
        <f t="shared" si="18"/>
        <v>3600</v>
      </c>
      <c r="T37" s="427">
        <f t="shared" si="19"/>
        <v>721.68000000000029</v>
      </c>
      <c r="U37" s="423" t="str">
        <f t="shared" si="20"/>
        <v>No</v>
      </c>
      <c r="V37" s="224"/>
      <c r="W37" s="224"/>
      <c r="Y37" s="153" t="s">
        <v>369</v>
      </c>
      <c r="Z37" s="227">
        <f>SUM(Z29:Z36)</f>
        <v>2563</v>
      </c>
      <c r="AA37" s="20"/>
    </row>
    <row r="38" spans="1:38" ht="13.5" thickBot="1">
      <c r="A38" s="292" t="s">
        <v>371</v>
      </c>
      <c r="B38" s="84" t="s">
        <v>372</v>
      </c>
      <c r="C38" s="83" t="s">
        <v>371</v>
      </c>
      <c r="D38" s="82">
        <v>285.27999999999997</v>
      </c>
      <c r="E38" s="92">
        <f t="shared" si="5"/>
        <v>250</v>
      </c>
      <c r="F38" s="82">
        <v>779.52329999999995</v>
      </c>
      <c r="G38" s="82">
        <v>2.5</v>
      </c>
      <c r="H38" s="92">
        <f t="shared" si="6"/>
        <v>1948.8082499999998</v>
      </c>
      <c r="I38" s="81">
        <f t="shared" si="7"/>
        <v>10</v>
      </c>
      <c r="J38" s="242">
        <f t="shared" si="17"/>
        <v>2500</v>
      </c>
      <c r="K38" s="81">
        <f t="shared" si="1"/>
        <v>551.19175000000018</v>
      </c>
      <c r="L38" s="82">
        <f t="shared" si="8"/>
        <v>77.952329999999989</v>
      </c>
      <c r="M38" s="80" t="s">
        <v>370</v>
      </c>
      <c r="N38" s="80">
        <v>539.80499999999995</v>
      </c>
      <c r="O38" s="168">
        <f t="shared" si="9"/>
        <v>150</v>
      </c>
      <c r="P38" s="80">
        <f t="shared" si="21"/>
        <v>779.52329999999995</v>
      </c>
      <c r="Q38" s="79">
        <v>2.5</v>
      </c>
      <c r="R38" s="90">
        <f t="shared" si="11"/>
        <v>1948.8082499999998</v>
      </c>
      <c r="S38" s="417">
        <f t="shared" si="18"/>
        <v>1500</v>
      </c>
      <c r="T38" s="428">
        <f t="shared" si="19"/>
        <v>-448.80824999999982</v>
      </c>
      <c r="U38" s="424" t="str">
        <f t="shared" si="20"/>
        <v>Yes</v>
      </c>
      <c r="V38" s="418" t="s">
        <v>508</v>
      </c>
      <c r="W38" s="205" t="s">
        <v>509</v>
      </c>
      <c r="Y38" s="226" t="s">
        <v>365</v>
      </c>
      <c r="Z38" s="225">
        <f>Z37/J57</f>
        <v>5.5536294691224265E-2</v>
      </c>
    </row>
    <row r="39" spans="1:38" ht="13.5" thickBot="1">
      <c r="A39" s="562" t="s">
        <v>60</v>
      </c>
      <c r="B39" s="84" t="s">
        <v>368</v>
      </c>
      <c r="C39" s="83" t="s">
        <v>367</v>
      </c>
      <c r="D39" s="82">
        <v>239.47</v>
      </c>
      <c r="E39" s="243">
        <f t="shared" si="5"/>
        <v>250</v>
      </c>
      <c r="F39" s="82">
        <v>886.15449999999998</v>
      </c>
      <c r="G39" s="82">
        <v>2.5</v>
      </c>
      <c r="H39" s="82">
        <f t="shared" si="6"/>
        <v>2215.38625</v>
      </c>
      <c r="I39" s="81">
        <f t="shared" si="7"/>
        <v>11</v>
      </c>
      <c r="J39" s="270">
        <f t="shared" si="17"/>
        <v>2750</v>
      </c>
      <c r="K39" s="81">
        <f t="shared" si="1"/>
        <v>534.61374999999998</v>
      </c>
      <c r="L39" s="82">
        <f t="shared" si="8"/>
        <v>80.5595</v>
      </c>
      <c r="M39" s="98" t="s">
        <v>366</v>
      </c>
      <c r="N39" s="80">
        <v>585.61500000000001</v>
      </c>
      <c r="O39" s="168">
        <f t="shared" si="9"/>
        <v>150</v>
      </c>
      <c r="P39" s="80">
        <f t="shared" si="21"/>
        <v>886.15449999999998</v>
      </c>
      <c r="Q39" s="79">
        <v>2.5</v>
      </c>
      <c r="R39" s="80">
        <f t="shared" si="11"/>
        <v>2215.38625</v>
      </c>
      <c r="S39" s="248">
        <f t="shared" si="18"/>
        <v>1650</v>
      </c>
      <c r="T39" s="426">
        <f t="shared" si="19"/>
        <v>-565.38625000000002</v>
      </c>
      <c r="U39" s="422" t="str">
        <f t="shared" si="20"/>
        <v>Yes</v>
      </c>
      <c r="V39" s="203" t="s">
        <v>476</v>
      </c>
      <c r="W39" s="202" t="s">
        <v>477</v>
      </c>
    </row>
    <row r="40" spans="1:38" ht="14.25" customHeight="1" thickBot="1">
      <c r="A40" s="563"/>
      <c r="B40" s="74" t="s">
        <v>364</v>
      </c>
      <c r="C40" s="73" t="s">
        <v>61</v>
      </c>
      <c r="D40" s="72">
        <v>381.34</v>
      </c>
      <c r="E40" s="245">
        <f t="shared" si="5"/>
        <v>200</v>
      </c>
      <c r="F40" s="72">
        <v>233.80699999999999</v>
      </c>
      <c r="G40" s="82">
        <v>2.5</v>
      </c>
      <c r="H40" s="92">
        <f t="shared" si="6"/>
        <v>584.51749999999993</v>
      </c>
      <c r="I40" s="81">
        <f t="shared" si="7"/>
        <v>4</v>
      </c>
      <c r="J40" s="274">
        <f t="shared" si="17"/>
        <v>800</v>
      </c>
      <c r="K40" s="81">
        <f t="shared" si="1"/>
        <v>215.48250000000007</v>
      </c>
      <c r="L40" s="82">
        <f t="shared" si="8"/>
        <v>73.064687499999991</v>
      </c>
      <c r="M40" s="69" t="s">
        <v>328</v>
      </c>
      <c r="N40" s="70">
        <v>673.16499999999996</v>
      </c>
      <c r="O40" s="168">
        <f t="shared" si="9"/>
        <v>150</v>
      </c>
      <c r="P40" s="80">
        <f t="shared" si="21"/>
        <v>233.80699999999999</v>
      </c>
      <c r="Q40" s="79">
        <v>2.5</v>
      </c>
      <c r="R40" s="90">
        <f t="shared" si="11"/>
        <v>584.51749999999993</v>
      </c>
      <c r="S40" s="248">
        <f t="shared" si="18"/>
        <v>600</v>
      </c>
      <c r="T40" s="427">
        <f t="shared" si="19"/>
        <v>15.482500000000073</v>
      </c>
      <c r="U40" s="423" t="str">
        <f t="shared" si="20"/>
        <v>No</v>
      </c>
      <c r="V40" s="201" t="s">
        <v>478</v>
      </c>
      <c r="W40" s="200" t="s">
        <v>479</v>
      </c>
    </row>
    <row r="41" spans="1:38" ht="13.5" thickBot="1">
      <c r="A41" s="564" t="s">
        <v>363</v>
      </c>
      <c r="B41" s="62" t="s">
        <v>362</v>
      </c>
      <c r="C41" s="111" t="s">
        <v>74</v>
      </c>
      <c r="D41" s="92">
        <v>632.29499999999996</v>
      </c>
      <c r="E41" s="243">
        <f t="shared" si="5"/>
        <v>150</v>
      </c>
      <c r="F41" s="92">
        <v>416.14780000000002</v>
      </c>
      <c r="G41" s="82">
        <v>2.5</v>
      </c>
      <c r="H41" s="82">
        <f t="shared" si="6"/>
        <v>1040.3695</v>
      </c>
      <c r="I41" s="81">
        <f t="shared" si="7"/>
        <v>9</v>
      </c>
      <c r="J41" s="270">
        <f t="shared" si="17"/>
        <v>1350</v>
      </c>
      <c r="K41" s="81">
        <f t="shared" si="1"/>
        <v>309.63049999999998</v>
      </c>
      <c r="L41" s="82">
        <f t="shared" si="8"/>
        <v>77.064407407407415</v>
      </c>
      <c r="M41" s="88" t="s">
        <v>361</v>
      </c>
      <c r="N41" s="90">
        <v>692.19500000000005</v>
      </c>
      <c r="O41" s="168">
        <f t="shared" si="9"/>
        <v>150</v>
      </c>
      <c r="P41" s="80">
        <f t="shared" si="21"/>
        <v>416.14780000000002</v>
      </c>
      <c r="Q41" s="79">
        <v>2.5</v>
      </c>
      <c r="R41" s="80">
        <f t="shared" si="11"/>
        <v>1040.3695</v>
      </c>
      <c r="S41" s="247">
        <f t="shared" si="18"/>
        <v>1350</v>
      </c>
      <c r="T41" s="428">
        <f t="shared" si="19"/>
        <v>309.63049999999998</v>
      </c>
      <c r="U41" s="424" t="str">
        <f t="shared" si="20"/>
        <v>No</v>
      </c>
      <c r="V41" s="419"/>
      <c r="W41" s="351"/>
    </row>
    <row r="42" spans="1:38" ht="14.25" customHeight="1" thickBot="1">
      <c r="A42" s="564"/>
      <c r="B42" s="94" t="s">
        <v>360</v>
      </c>
      <c r="C42" s="93" t="s">
        <v>55</v>
      </c>
      <c r="D42" s="105">
        <v>566.26</v>
      </c>
      <c r="E42" s="245">
        <f t="shared" si="5"/>
        <v>150</v>
      </c>
      <c r="F42" s="105">
        <v>424.66829999999999</v>
      </c>
      <c r="G42" s="82">
        <v>2.5</v>
      </c>
      <c r="H42" s="92">
        <f t="shared" si="6"/>
        <v>1061.67075</v>
      </c>
      <c r="I42" s="81">
        <f t="shared" si="7"/>
        <v>9</v>
      </c>
      <c r="J42" s="274">
        <f t="shared" si="17"/>
        <v>1350</v>
      </c>
      <c r="K42" s="81">
        <f t="shared" si="1"/>
        <v>288.32925</v>
      </c>
      <c r="L42" s="82">
        <f t="shared" si="8"/>
        <v>78.642277777777778</v>
      </c>
      <c r="M42" s="99" t="s">
        <v>359</v>
      </c>
      <c r="N42" s="104">
        <v>1033.6600000000001</v>
      </c>
      <c r="O42" s="168">
        <f t="shared" si="9"/>
        <v>150</v>
      </c>
      <c r="P42" s="80">
        <f t="shared" si="21"/>
        <v>424.66829999999999</v>
      </c>
      <c r="Q42" s="79">
        <v>2.5</v>
      </c>
      <c r="R42" s="90">
        <f t="shared" si="11"/>
        <v>1061.67075</v>
      </c>
      <c r="S42" s="248">
        <f t="shared" si="18"/>
        <v>1350</v>
      </c>
      <c r="T42" s="428">
        <f t="shared" si="19"/>
        <v>288.32925</v>
      </c>
      <c r="U42" s="424" t="str">
        <f t="shared" si="20"/>
        <v>No</v>
      </c>
      <c r="V42" s="420" t="s">
        <v>351</v>
      </c>
      <c r="W42" s="353"/>
      <c r="X42" s="558" t="s">
        <v>582</v>
      </c>
      <c r="Y42" s="558"/>
      <c r="Z42" s="558"/>
      <c r="AA42" s="558"/>
      <c r="AB42" s="558"/>
      <c r="AC42" s="559"/>
      <c r="AD42" s="154"/>
      <c r="AI42" s="486"/>
      <c r="AJ42" s="486"/>
      <c r="AK42" s="486"/>
      <c r="AL42" s="486"/>
    </row>
    <row r="43" spans="1:38" ht="14.25" customHeight="1" thickBot="1">
      <c r="A43" s="564"/>
      <c r="B43" s="94" t="s">
        <v>358</v>
      </c>
      <c r="C43" s="93" t="s">
        <v>62</v>
      </c>
      <c r="D43" s="92">
        <v>174.54</v>
      </c>
      <c r="E43" s="244">
        <f t="shared" si="5"/>
        <v>250</v>
      </c>
      <c r="F43" s="92">
        <v>80.336669999999998</v>
      </c>
      <c r="G43" s="82">
        <v>2.5</v>
      </c>
      <c r="H43" s="72">
        <f t="shared" si="6"/>
        <v>200.84167500000001</v>
      </c>
      <c r="I43" s="81">
        <f t="shared" si="7"/>
        <v>1</v>
      </c>
      <c r="J43" s="272">
        <f t="shared" si="17"/>
        <v>250</v>
      </c>
      <c r="K43" s="81">
        <f t="shared" si="1"/>
        <v>49.158324999999991</v>
      </c>
      <c r="L43" s="82">
        <f t="shared" si="8"/>
        <v>80.336669999999998</v>
      </c>
      <c r="M43" s="88" t="s">
        <v>357</v>
      </c>
      <c r="N43" s="90">
        <v>811.21</v>
      </c>
      <c r="O43" s="168">
        <f t="shared" si="9"/>
        <v>150</v>
      </c>
      <c r="P43" s="80">
        <f t="shared" si="21"/>
        <v>80.336669999999998</v>
      </c>
      <c r="Q43" s="79">
        <v>2.5</v>
      </c>
      <c r="R43" s="70">
        <f t="shared" si="11"/>
        <v>200.84167500000001</v>
      </c>
      <c r="S43" s="249">
        <f t="shared" si="18"/>
        <v>150</v>
      </c>
      <c r="T43" s="428">
        <f t="shared" si="19"/>
        <v>-50.841675000000009</v>
      </c>
      <c r="U43" s="424" t="str">
        <f t="shared" si="20"/>
        <v>Yes</v>
      </c>
      <c r="V43" s="421"/>
      <c r="W43" s="355"/>
      <c r="X43" s="349" t="s">
        <v>491</v>
      </c>
      <c r="Y43" s="333" t="s">
        <v>493</v>
      </c>
      <c r="Z43" s="333" t="s">
        <v>494</v>
      </c>
      <c r="AA43" s="333" t="s">
        <v>495</v>
      </c>
      <c r="AB43" s="333" t="s">
        <v>496</v>
      </c>
      <c r="AC43" s="334" t="s">
        <v>562</v>
      </c>
      <c r="AD43" s="290" t="s">
        <v>415</v>
      </c>
      <c r="AI43" s="486"/>
      <c r="AJ43" s="486"/>
      <c r="AK43" s="486"/>
      <c r="AL43" s="491"/>
    </row>
    <row r="44" spans="1:38" ht="13.5" thickBot="1">
      <c r="A44" s="292" t="s">
        <v>355</v>
      </c>
      <c r="B44" s="84" t="s">
        <v>356</v>
      </c>
      <c r="C44" s="83" t="s">
        <v>355</v>
      </c>
      <c r="D44" s="82">
        <v>517.28</v>
      </c>
      <c r="E44" s="92">
        <f t="shared" si="5"/>
        <v>200</v>
      </c>
      <c r="F44" s="82">
        <v>67.241829999999993</v>
      </c>
      <c r="G44" s="82">
        <v>2.5</v>
      </c>
      <c r="H44" s="92">
        <f t="shared" si="6"/>
        <v>168.10457499999998</v>
      </c>
      <c r="I44" s="81">
        <f t="shared" si="7"/>
        <v>2</v>
      </c>
      <c r="J44" s="242">
        <f t="shared" si="17"/>
        <v>400</v>
      </c>
      <c r="K44" s="81">
        <f t="shared" si="1"/>
        <v>231.89542500000002</v>
      </c>
      <c r="L44" s="82">
        <f t="shared" si="8"/>
        <v>42.026143749999996</v>
      </c>
      <c r="M44" s="80" t="s">
        <v>354</v>
      </c>
      <c r="N44" s="80">
        <v>607.995</v>
      </c>
      <c r="O44" s="168">
        <f t="shared" si="9"/>
        <v>150</v>
      </c>
      <c r="P44" s="80">
        <f t="shared" si="21"/>
        <v>67.241829999999993</v>
      </c>
      <c r="Q44" s="79">
        <v>2.5</v>
      </c>
      <c r="R44" s="90">
        <f t="shared" si="11"/>
        <v>168.10457499999998</v>
      </c>
      <c r="S44" s="248">
        <f t="shared" si="18"/>
        <v>300</v>
      </c>
      <c r="T44" s="429">
        <f t="shared" si="19"/>
        <v>131.89542500000002</v>
      </c>
      <c r="U44" s="425" t="str">
        <f t="shared" si="20"/>
        <v>No</v>
      </c>
      <c r="V44" s="223"/>
      <c r="X44" s="338" t="s">
        <v>84</v>
      </c>
      <c r="Y44" s="335">
        <v>0</v>
      </c>
      <c r="Z44" s="335">
        <v>0</v>
      </c>
      <c r="AA44" s="336">
        <v>0</v>
      </c>
      <c r="AB44" s="336">
        <v>0</v>
      </c>
      <c r="AC44" s="337">
        <v>0</v>
      </c>
      <c r="AD44" s="338">
        <f>SUM(Y44:AC44)</f>
        <v>0</v>
      </c>
      <c r="AI44" s="486"/>
      <c r="AJ44" s="486"/>
      <c r="AK44" s="486"/>
      <c r="AL44" s="486"/>
    </row>
    <row r="45" spans="1:38" ht="13.5" thickBot="1">
      <c r="A45" s="562" t="s">
        <v>349</v>
      </c>
      <c r="B45" s="84" t="s">
        <v>353</v>
      </c>
      <c r="C45" s="83" t="s">
        <v>342</v>
      </c>
      <c r="D45" s="82">
        <v>592.98500000000001</v>
      </c>
      <c r="E45" s="243">
        <f t="shared" si="5"/>
        <v>150</v>
      </c>
      <c r="F45" s="82">
        <v>175.91919999999999</v>
      </c>
      <c r="G45" s="82">
        <v>2.5</v>
      </c>
      <c r="H45" s="82">
        <f t="shared" si="6"/>
        <v>439.798</v>
      </c>
      <c r="I45" s="81">
        <f t="shared" si="7"/>
        <v>4</v>
      </c>
      <c r="J45" s="270">
        <f t="shared" si="17"/>
        <v>600</v>
      </c>
      <c r="K45" s="81">
        <f t="shared" si="1"/>
        <v>160.202</v>
      </c>
      <c r="L45" s="82">
        <f t="shared" si="8"/>
        <v>73.299666666666667</v>
      </c>
      <c r="M45" s="98" t="s">
        <v>352</v>
      </c>
      <c r="N45" s="80">
        <v>1051.23</v>
      </c>
      <c r="O45" s="168">
        <f t="shared" si="9"/>
        <v>150</v>
      </c>
      <c r="P45" s="80">
        <f t="shared" si="21"/>
        <v>175.91919999999999</v>
      </c>
      <c r="Q45" s="79">
        <v>2.5</v>
      </c>
      <c r="R45" s="80">
        <f t="shared" si="11"/>
        <v>439.798</v>
      </c>
      <c r="S45" s="247">
        <f t="shared" si="18"/>
        <v>600</v>
      </c>
      <c r="T45" s="428">
        <f t="shared" si="19"/>
        <v>160.202</v>
      </c>
      <c r="U45" s="424" t="str">
        <f t="shared" si="20"/>
        <v>No</v>
      </c>
      <c r="V45" s="223"/>
      <c r="X45" s="59" t="s">
        <v>85</v>
      </c>
      <c r="Y45" s="335">
        <v>1</v>
      </c>
      <c r="Z45" s="335">
        <v>0</v>
      </c>
      <c r="AA45" s="335">
        <v>0</v>
      </c>
      <c r="AB45" s="335">
        <v>0</v>
      </c>
      <c r="AC45" s="337">
        <v>0</v>
      </c>
      <c r="AD45" s="59">
        <f t="shared" ref="AD45:AD55" si="22">SUM(Y45:AC45)</f>
        <v>1</v>
      </c>
      <c r="AI45" s="486"/>
      <c r="AJ45" s="486"/>
      <c r="AK45" s="486"/>
      <c r="AL45" s="486"/>
    </row>
    <row r="46" spans="1:38" ht="14.25" customHeight="1" thickBot="1">
      <c r="A46" s="564"/>
      <c r="B46" s="94" t="s">
        <v>350</v>
      </c>
      <c r="C46" s="93" t="s">
        <v>349</v>
      </c>
      <c r="D46" s="105">
        <v>374.84</v>
      </c>
      <c r="E46" s="245">
        <f t="shared" si="5"/>
        <v>200</v>
      </c>
      <c r="F46" s="105">
        <v>115.1143</v>
      </c>
      <c r="G46" s="82">
        <v>2.5</v>
      </c>
      <c r="H46" s="92">
        <f t="shared" si="6"/>
        <v>287.78575000000001</v>
      </c>
      <c r="I46" s="81">
        <f t="shared" si="7"/>
        <v>2</v>
      </c>
      <c r="J46" s="274">
        <f t="shared" si="17"/>
        <v>400</v>
      </c>
      <c r="K46" s="81">
        <f t="shared" si="1"/>
        <v>112.21424999999999</v>
      </c>
      <c r="L46" s="82">
        <f t="shared" si="8"/>
        <v>71.946437500000002</v>
      </c>
      <c r="M46" s="99" t="s">
        <v>348</v>
      </c>
      <c r="N46" s="104">
        <v>838.745</v>
      </c>
      <c r="O46" s="168">
        <f t="shared" si="9"/>
        <v>150</v>
      </c>
      <c r="P46" s="80">
        <f t="shared" si="21"/>
        <v>115.1143</v>
      </c>
      <c r="Q46" s="79">
        <v>2.5</v>
      </c>
      <c r="R46" s="90">
        <f t="shared" si="11"/>
        <v>287.78575000000001</v>
      </c>
      <c r="S46" s="248">
        <f t="shared" si="18"/>
        <v>300</v>
      </c>
      <c r="T46" s="428">
        <f t="shared" si="19"/>
        <v>12.214249999999993</v>
      </c>
      <c r="U46" s="424" t="str">
        <f t="shared" si="20"/>
        <v>No</v>
      </c>
      <c r="V46" s="263"/>
      <c r="W46" s="430"/>
      <c r="X46" s="59" t="s">
        <v>86</v>
      </c>
      <c r="Y46" s="335">
        <v>0</v>
      </c>
      <c r="Z46" s="335">
        <v>0</v>
      </c>
      <c r="AA46" s="335">
        <v>0</v>
      </c>
      <c r="AB46" s="335">
        <v>0</v>
      </c>
      <c r="AC46" s="337">
        <v>0</v>
      </c>
      <c r="AD46" s="59">
        <f t="shared" si="22"/>
        <v>0</v>
      </c>
      <c r="AF46" s="481" t="s">
        <v>498</v>
      </c>
      <c r="AG46" s="481" t="s">
        <v>499</v>
      </c>
      <c r="AH46" s="340" t="s">
        <v>500</v>
      </c>
      <c r="AI46" s="486"/>
      <c r="AJ46" s="486"/>
    </row>
    <row r="47" spans="1:38" ht="14.25" customHeight="1" thickBot="1">
      <c r="A47" s="564"/>
      <c r="B47" s="94" t="s">
        <v>347</v>
      </c>
      <c r="C47" s="93" t="s">
        <v>335</v>
      </c>
      <c r="D47" s="105">
        <v>675.17499999999995</v>
      </c>
      <c r="E47" s="245">
        <f t="shared" si="5"/>
        <v>150</v>
      </c>
      <c r="F47" s="105">
        <v>87.5685</v>
      </c>
      <c r="G47" s="82">
        <v>2.5</v>
      </c>
      <c r="H47" s="92">
        <f t="shared" si="6"/>
        <v>218.92124999999999</v>
      </c>
      <c r="I47" s="81">
        <f t="shared" si="7"/>
        <v>2</v>
      </c>
      <c r="J47" s="274">
        <f t="shared" si="17"/>
        <v>300</v>
      </c>
      <c r="K47" s="81">
        <f t="shared" si="1"/>
        <v>81.078750000000014</v>
      </c>
      <c r="L47" s="82">
        <f t="shared" si="8"/>
        <v>72.973749999999995</v>
      </c>
      <c r="M47" s="99" t="s">
        <v>346</v>
      </c>
      <c r="N47" s="104">
        <v>792.93499999999995</v>
      </c>
      <c r="O47" s="168">
        <f t="shared" si="9"/>
        <v>150</v>
      </c>
      <c r="P47" s="80">
        <f t="shared" si="21"/>
        <v>87.5685</v>
      </c>
      <c r="Q47" s="79">
        <v>2.5</v>
      </c>
      <c r="R47" s="90">
        <f t="shared" si="11"/>
        <v>218.92124999999999</v>
      </c>
      <c r="S47" s="248">
        <f t="shared" si="18"/>
        <v>300</v>
      </c>
      <c r="T47" s="428">
        <f t="shared" si="19"/>
        <v>81.078750000000014</v>
      </c>
      <c r="U47" s="424" t="str">
        <f t="shared" si="20"/>
        <v>No</v>
      </c>
      <c r="V47" s="263"/>
      <c r="W47" s="389"/>
      <c r="X47" s="59" t="s">
        <v>87</v>
      </c>
      <c r="Y47" s="335">
        <v>0</v>
      </c>
      <c r="Z47" s="335">
        <v>4</v>
      </c>
      <c r="AA47" s="335">
        <v>0</v>
      </c>
      <c r="AB47" s="335">
        <v>0</v>
      </c>
      <c r="AC47" s="337">
        <v>0</v>
      </c>
      <c r="AD47" s="59">
        <f t="shared" si="22"/>
        <v>4</v>
      </c>
      <c r="AF47" s="60" t="s">
        <v>493</v>
      </c>
      <c r="AG47" s="60">
        <v>100</v>
      </c>
      <c r="AH47" s="492">
        <v>15</v>
      </c>
      <c r="AI47" s="486"/>
      <c r="AJ47" s="486"/>
    </row>
    <row r="48" spans="1:38" ht="14.25" customHeight="1" thickBot="1">
      <c r="A48" s="564"/>
      <c r="B48" s="94" t="s">
        <v>339</v>
      </c>
      <c r="C48" s="93" t="s">
        <v>338</v>
      </c>
      <c r="D48" s="92">
        <v>768.38499999999999</v>
      </c>
      <c r="E48" s="245">
        <f t="shared" si="5"/>
        <v>150</v>
      </c>
      <c r="F48" s="92">
        <v>46.164000000000001</v>
      </c>
      <c r="G48" s="82">
        <v>2.5</v>
      </c>
      <c r="H48" s="92">
        <f t="shared" si="6"/>
        <v>115.41</v>
      </c>
      <c r="I48" s="81">
        <f t="shared" si="7"/>
        <v>1</v>
      </c>
      <c r="J48" s="274">
        <f t="shared" si="17"/>
        <v>150</v>
      </c>
      <c r="K48" s="81">
        <f t="shared" si="1"/>
        <v>34.590000000000003</v>
      </c>
      <c r="L48" s="82">
        <f t="shared" si="8"/>
        <v>76.94</v>
      </c>
      <c r="M48" s="88" t="s">
        <v>345</v>
      </c>
      <c r="N48" s="90">
        <v>934.80499999999995</v>
      </c>
      <c r="O48" s="168">
        <f t="shared" si="9"/>
        <v>150</v>
      </c>
      <c r="P48" s="80">
        <f t="shared" si="21"/>
        <v>46.164000000000001</v>
      </c>
      <c r="Q48" s="79">
        <v>2.5</v>
      </c>
      <c r="R48" s="90">
        <f t="shared" si="11"/>
        <v>115.41</v>
      </c>
      <c r="S48" s="249">
        <f t="shared" si="18"/>
        <v>150</v>
      </c>
      <c r="T48" s="428">
        <f t="shared" si="19"/>
        <v>34.590000000000003</v>
      </c>
      <c r="U48" s="424" t="str">
        <f t="shared" si="20"/>
        <v>No</v>
      </c>
      <c r="V48" s="263"/>
      <c r="W48" s="389"/>
      <c r="X48" s="59" t="s">
        <v>88</v>
      </c>
      <c r="Y48" s="335">
        <v>0</v>
      </c>
      <c r="Z48" s="335">
        <v>0</v>
      </c>
      <c r="AA48" s="335">
        <v>0</v>
      </c>
      <c r="AB48" s="335">
        <v>0</v>
      </c>
      <c r="AC48" s="337">
        <v>0</v>
      </c>
      <c r="AD48" s="59">
        <f t="shared" si="22"/>
        <v>0</v>
      </c>
      <c r="AE48" s="329"/>
      <c r="AF48" s="341" t="s">
        <v>494</v>
      </c>
      <c r="AG48" s="341">
        <v>150</v>
      </c>
      <c r="AH48" s="493">
        <v>16.3689</v>
      </c>
      <c r="AI48" s="486"/>
      <c r="AJ48" s="486"/>
      <c r="AL48" s="486"/>
    </row>
    <row r="49" spans="1:38" ht="13.5" thickBot="1">
      <c r="A49" s="562" t="s">
        <v>344</v>
      </c>
      <c r="B49" s="84" t="s">
        <v>343</v>
      </c>
      <c r="C49" s="83" t="s">
        <v>342</v>
      </c>
      <c r="D49" s="82">
        <v>592.98500000000001</v>
      </c>
      <c r="E49" s="243">
        <f t="shared" si="5"/>
        <v>150</v>
      </c>
      <c r="F49" s="82">
        <v>175.91919999999999</v>
      </c>
      <c r="G49" s="82">
        <v>2.5</v>
      </c>
      <c r="H49" s="82">
        <f t="shared" si="6"/>
        <v>439.798</v>
      </c>
      <c r="I49" s="81">
        <f t="shared" si="7"/>
        <v>4</v>
      </c>
      <c r="J49" s="270">
        <f t="shared" si="17"/>
        <v>600</v>
      </c>
      <c r="K49" s="81">
        <f t="shared" si="1"/>
        <v>160.202</v>
      </c>
      <c r="L49" s="82">
        <f t="shared" si="8"/>
        <v>73.299666666666667</v>
      </c>
      <c r="M49" s="98" t="s">
        <v>341</v>
      </c>
      <c r="N49" s="80">
        <v>992.44500000000005</v>
      </c>
      <c r="O49" s="168">
        <f t="shared" si="9"/>
        <v>150</v>
      </c>
      <c r="P49" s="80">
        <f t="shared" si="21"/>
        <v>175.91919999999999</v>
      </c>
      <c r="Q49" s="79">
        <v>2.5</v>
      </c>
      <c r="R49" s="80">
        <f t="shared" si="11"/>
        <v>439.798</v>
      </c>
      <c r="S49" s="248">
        <f t="shared" si="18"/>
        <v>600</v>
      </c>
      <c r="T49" s="426">
        <f t="shared" si="19"/>
        <v>160.202</v>
      </c>
      <c r="U49" s="422" t="str">
        <f t="shared" si="20"/>
        <v>No</v>
      </c>
      <c r="V49" s="263"/>
      <c r="W49" s="389"/>
      <c r="X49" s="59" t="s">
        <v>89</v>
      </c>
      <c r="Y49" s="335">
        <v>0</v>
      </c>
      <c r="Z49" s="335">
        <v>0</v>
      </c>
      <c r="AA49" s="335">
        <v>0</v>
      </c>
      <c r="AB49" s="335">
        <v>0</v>
      </c>
      <c r="AC49" s="337">
        <v>0</v>
      </c>
      <c r="AD49" s="59">
        <f t="shared" si="22"/>
        <v>0</v>
      </c>
      <c r="AE49" s="328"/>
      <c r="AF49" s="341" t="s">
        <v>495</v>
      </c>
      <c r="AG49" s="341">
        <v>200</v>
      </c>
      <c r="AH49" s="493">
        <v>16.746700000000001</v>
      </c>
      <c r="AI49" s="486"/>
      <c r="AJ49" s="486"/>
      <c r="AL49" s="486"/>
    </row>
    <row r="50" spans="1:38" ht="14.25" customHeight="1" thickBot="1">
      <c r="A50" s="564"/>
      <c r="B50" s="94" t="s">
        <v>339</v>
      </c>
      <c r="C50" s="93" t="s">
        <v>338</v>
      </c>
      <c r="D50" s="92">
        <v>768.38499999999999</v>
      </c>
      <c r="E50" s="245">
        <f t="shared" si="5"/>
        <v>150</v>
      </c>
      <c r="F50" s="92">
        <v>46.164000000000001</v>
      </c>
      <c r="G50" s="82">
        <v>2.5</v>
      </c>
      <c r="H50" s="92">
        <f t="shared" si="6"/>
        <v>115.41</v>
      </c>
      <c r="I50" s="81">
        <f t="shared" si="7"/>
        <v>1</v>
      </c>
      <c r="J50" s="274">
        <f t="shared" si="17"/>
        <v>150</v>
      </c>
      <c r="K50" s="81">
        <f t="shared" si="1"/>
        <v>34.590000000000003</v>
      </c>
      <c r="L50" s="82">
        <f t="shared" si="8"/>
        <v>76.94</v>
      </c>
      <c r="M50" s="88" t="s">
        <v>337</v>
      </c>
      <c r="N50" s="90">
        <v>817.04499999999996</v>
      </c>
      <c r="O50" s="168">
        <f t="shared" si="9"/>
        <v>150</v>
      </c>
      <c r="P50" s="80">
        <f t="shared" si="21"/>
        <v>46.164000000000001</v>
      </c>
      <c r="Q50" s="79">
        <v>2.5</v>
      </c>
      <c r="R50" s="90">
        <f t="shared" si="11"/>
        <v>115.41</v>
      </c>
      <c r="S50" s="248">
        <f t="shared" si="18"/>
        <v>150</v>
      </c>
      <c r="T50" s="427">
        <f t="shared" si="19"/>
        <v>34.590000000000003</v>
      </c>
      <c r="U50" s="423" t="str">
        <f t="shared" si="20"/>
        <v>No</v>
      </c>
      <c r="V50" s="263"/>
      <c r="W50" s="389"/>
      <c r="X50" s="59" t="s">
        <v>90</v>
      </c>
      <c r="Y50" s="335">
        <v>0</v>
      </c>
      <c r="Z50" s="335">
        <v>0</v>
      </c>
      <c r="AA50" s="335">
        <v>0</v>
      </c>
      <c r="AB50" s="335">
        <v>0</v>
      </c>
      <c r="AC50" s="337">
        <v>0</v>
      </c>
      <c r="AD50" s="59">
        <f t="shared" si="22"/>
        <v>0</v>
      </c>
      <c r="AE50" s="328"/>
      <c r="AF50" s="341" t="s">
        <v>496</v>
      </c>
      <c r="AG50" s="341">
        <v>250</v>
      </c>
      <c r="AH50" s="493">
        <v>16.886600000000001</v>
      </c>
      <c r="AI50" s="486"/>
      <c r="AJ50" s="486"/>
      <c r="AL50" s="486"/>
    </row>
    <row r="51" spans="1:38" ht="13.5" thickBot="1">
      <c r="A51" s="562" t="s">
        <v>340</v>
      </c>
      <c r="B51" s="84" t="s">
        <v>339</v>
      </c>
      <c r="C51" s="83" t="s">
        <v>338</v>
      </c>
      <c r="D51" s="82">
        <v>768.38499999999999</v>
      </c>
      <c r="E51" s="243">
        <f t="shared" si="5"/>
        <v>150</v>
      </c>
      <c r="F51" s="82">
        <v>46.164000000000001</v>
      </c>
      <c r="G51" s="82">
        <v>2.5</v>
      </c>
      <c r="H51" s="82">
        <f t="shared" si="6"/>
        <v>115.41</v>
      </c>
      <c r="I51" s="81">
        <f t="shared" si="7"/>
        <v>1</v>
      </c>
      <c r="J51" s="270">
        <f t="shared" si="17"/>
        <v>150</v>
      </c>
      <c r="K51" s="81">
        <f t="shared" si="1"/>
        <v>34.590000000000003</v>
      </c>
      <c r="L51" s="82">
        <f t="shared" si="8"/>
        <v>76.94</v>
      </c>
      <c r="M51" s="98" t="s">
        <v>337</v>
      </c>
      <c r="N51" s="80">
        <v>817.04499999999996</v>
      </c>
      <c r="O51" s="168">
        <f t="shared" si="9"/>
        <v>150</v>
      </c>
      <c r="P51" s="80">
        <f t="shared" si="21"/>
        <v>46.164000000000001</v>
      </c>
      <c r="Q51" s="79">
        <v>2.5</v>
      </c>
      <c r="R51" s="80">
        <f t="shared" si="11"/>
        <v>115.41</v>
      </c>
      <c r="S51" s="247">
        <f t="shared" si="18"/>
        <v>150</v>
      </c>
      <c r="T51" s="428">
        <f t="shared" si="19"/>
        <v>34.590000000000003</v>
      </c>
      <c r="U51" s="424" t="str">
        <f t="shared" si="20"/>
        <v>No</v>
      </c>
      <c r="V51" s="263"/>
      <c r="W51" s="389"/>
      <c r="X51" s="59" t="s">
        <v>91</v>
      </c>
      <c r="Y51" s="335">
        <v>0</v>
      </c>
      <c r="Z51" s="335">
        <v>8</v>
      </c>
      <c r="AA51" s="337">
        <v>0</v>
      </c>
      <c r="AB51" s="337">
        <v>0</v>
      </c>
      <c r="AC51" s="337">
        <v>0</v>
      </c>
      <c r="AD51" s="59">
        <f t="shared" si="22"/>
        <v>8</v>
      </c>
      <c r="AE51" s="329"/>
      <c r="AF51" s="342" t="s">
        <v>562</v>
      </c>
      <c r="AG51" s="342">
        <v>300</v>
      </c>
      <c r="AH51" s="494">
        <v>17</v>
      </c>
      <c r="AI51" s="486"/>
      <c r="AJ51" s="486"/>
      <c r="AL51" s="486"/>
    </row>
    <row r="52" spans="1:38" ht="14.25" customHeight="1" thickBot="1">
      <c r="A52" s="564"/>
      <c r="B52" s="94" t="s">
        <v>30</v>
      </c>
      <c r="C52" s="93" t="s">
        <v>326</v>
      </c>
      <c r="D52" s="92">
        <v>317.27</v>
      </c>
      <c r="E52" s="245">
        <f t="shared" si="5"/>
        <v>200</v>
      </c>
      <c r="F52" s="92">
        <v>136.87530000000001</v>
      </c>
      <c r="G52" s="82">
        <v>2.5</v>
      </c>
      <c r="H52" s="92">
        <f t="shared" si="6"/>
        <v>342.18825000000004</v>
      </c>
      <c r="I52" s="81">
        <f t="shared" si="7"/>
        <v>3</v>
      </c>
      <c r="J52" s="274">
        <f t="shared" si="17"/>
        <v>600</v>
      </c>
      <c r="K52" s="81">
        <f t="shared" si="1"/>
        <v>257.81174999999996</v>
      </c>
      <c r="L52" s="82">
        <f t="shared" si="8"/>
        <v>57.031375000000004</v>
      </c>
      <c r="M52" s="88" t="s">
        <v>325</v>
      </c>
      <c r="N52" s="90">
        <v>518.48</v>
      </c>
      <c r="O52" s="168">
        <f t="shared" si="9"/>
        <v>200</v>
      </c>
      <c r="P52" s="80">
        <f t="shared" si="21"/>
        <v>136.87530000000001</v>
      </c>
      <c r="Q52" s="79">
        <v>2.5</v>
      </c>
      <c r="R52" s="90">
        <f t="shared" si="11"/>
        <v>342.18825000000004</v>
      </c>
      <c r="S52" s="249">
        <f t="shared" si="18"/>
        <v>600</v>
      </c>
      <c r="T52" s="428">
        <f t="shared" si="19"/>
        <v>257.81174999999996</v>
      </c>
      <c r="U52" s="424" t="str">
        <f t="shared" si="20"/>
        <v>No</v>
      </c>
      <c r="V52" s="263"/>
      <c r="W52" s="389"/>
      <c r="X52" s="59" t="s">
        <v>92</v>
      </c>
      <c r="Y52" s="337">
        <v>1</v>
      </c>
      <c r="Z52" s="337">
        <v>0</v>
      </c>
      <c r="AA52" s="337">
        <v>2</v>
      </c>
      <c r="AB52" s="337">
        <v>0</v>
      </c>
      <c r="AC52" s="337">
        <v>0</v>
      </c>
      <c r="AD52" s="59">
        <f t="shared" si="22"/>
        <v>3</v>
      </c>
      <c r="AE52" s="329"/>
      <c r="AF52" s="486"/>
      <c r="AG52" s="486"/>
      <c r="AI52" s="486"/>
      <c r="AJ52" s="486"/>
      <c r="AL52" s="486"/>
    </row>
    <row r="53" spans="1:38" ht="13.5" thickBot="1">
      <c r="A53" s="562" t="s">
        <v>336</v>
      </c>
      <c r="B53" s="84" t="s">
        <v>28</v>
      </c>
      <c r="C53" s="83" t="s">
        <v>335</v>
      </c>
      <c r="D53" s="82">
        <v>675.17499999999995</v>
      </c>
      <c r="E53" s="243">
        <f t="shared" si="5"/>
        <v>150</v>
      </c>
      <c r="F53" s="82">
        <v>87.5685</v>
      </c>
      <c r="G53" s="82">
        <v>2.5</v>
      </c>
      <c r="H53" s="82">
        <f t="shared" si="6"/>
        <v>218.92124999999999</v>
      </c>
      <c r="I53" s="81">
        <f t="shared" si="7"/>
        <v>2</v>
      </c>
      <c r="J53" s="270">
        <f t="shared" si="17"/>
        <v>300</v>
      </c>
      <c r="K53" s="81">
        <f t="shared" si="1"/>
        <v>81.078750000000014</v>
      </c>
      <c r="L53" s="82">
        <f t="shared" si="8"/>
        <v>72.973749999999995</v>
      </c>
      <c r="M53" s="98" t="s">
        <v>334</v>
      </c>
      <c r="N53" s="80">
        <v>792.93499999999995</v>
      </c>
      <c r="O53" s="168">
        <f t="shared" si="9"/>
        <v>150</v>
      </c>
      <c r="P53" s="80">
        <f t="shared" si="21"/>
        <v>87.5685</v>
      </c>
      <c r="Q53" s="79">
        <v>2.5</v>
      </c>
      <c r="R53" s="80">
        <f t="shared" si="11"/>
        <v>218.92124999999999</v>
      </c>
      <c r="S53" s="248">
        <f t="shared" si="18"/>
        <v>300</v>
      </c>
      <c r="T53" s="426">
        <f t="shared" si="19"/>
        <v>81.078750000000014</v>
      </c>
      <c r="U53" s="422" t="str">
        <f t="shared" si="20"/>
        <v>No</v>
      </c>
      <c r="V53" s="263"/>
      <c r="W53" s="389"/>
      <c r="X53" s="59" t="s">
        <v>93</v>
      </c>
      <c r="Y53" s="337">
        <v>0</v>
      </c>
      <c r="Z53" s="335">
        <v>1</v>
      </c>
      <c r="AA53" s="337">
        <v>3</v>
      </c>
      <c r="AB53" s="337">
        <v>0</v>
      </c>
      <c r="AC53" s="337">
        <v>0</v>
      </c>
      <c r="AD53" s="59">
        <f t="shared" si="22"/>
        <v>4</v>
      </c>
      <c r="AE53" s="329"/>
      <c r="AF53" s="486"/>
      <c r="AG53" s="486"/>
      <c r="AI53" s="486"/>
      <c r="AJ53" s="486"/>
      <c r="AK53" s="495"/>
      <c r="AL53" s="486"/>
    </row>
    <row r="54" spans="1:38" ht="13.5" thickBot="1">
      <c r="A54" s="564"/>
      <c r="B54" s="94" t="s">
        <v>333</v>
      </c>
      <c r="C54" s="93" t="s">
        <v>332</v>
      </c>
      <c r="D54" s="92">
        <v>300.33499999999998</v>
      </c>
      <c r="E54" s="244">
        <f t="shared" si="5"/>
        <v>200</v>
      </c>
      <c r="F54" s="92">
        <v>33.29833</v>
      </c>
      <c r="G54" s="82">
        <v>2.5</v>
      </c>
      <c r="H54" s="92">
        <f t="shared" si="6"/>
        <v>83.245824999999996</v>
      </c>
      <c r="I54" s="81">
        <f t="shared" si="7"/>
        <v>1</v>
      </c>
      <c r="J54" s="272">
        <f t="shared" si="17"/>
        <v>200</v>
      </c>
      <c r="K54" s="81">
        <f t="shared" si="1"/>
        <v>116.754175</v>
      </c>
      <c r="L54" s="82">
        <f t="shared" si="8"/>
        <v>41.622912499999998</v>
      </c>
      <c r="M54" s="88" t="s">
        <v>331</v>
      </c>
      <c r="N54" s="90">
        <v>524.75</v>
      </c>
      <c r="O54" s="168">
        <f t="shared" si="9"/>
        <v>200</v>
      </c>
      <c r="P54" s="80">
        <f t="shared" si="21"/>
        <v>33.29833</v>
      </c>
      <c r="Q54" s="79">
        <v>2.5</v>
      </c>
      <c r="R54" s="90">
        <f t="shared" si="11"/>
        <v>83.245824999999996</v>
      </c>
      <c r="S54" s="248">
        <f t="shared" si="18"/>
        <v>200</v>
      </c>
      <c r="T54" s="427">
        <f t="shared" si="19"/>
        <v>116.754175</v>
      </c>
      <c r="U54" s="423" t="str">
        <f t="shared" si="20"/>
        <v>No</v>
      </c>
      <c r="V54" s="263"/>
      <c r="W54" s="389"/>
      <c r="X54" s="59" t="s">
        <v>94</v>
      </c>
      <c r="Y54" s="337">
        <v>1</v>
      </c>
      <c r="Z54" s="335">
        <v>5</v>
      </c>
      <c r="AA54" s="337">
        <v>5</v>
      </c>
      <c r="AB54" s="337">
        <v>0</v>
      </c>
      <c r="AC54" s="337">
        <v>0</v>
      </c>
      <c r="AD54" s="59">
        <f t="shared" si="22"/>
        <v>11</v>
      </c>
      <c r="AE54" s="18"/>
      <c r="AF54" s="18"/>
      <c r="AG54" s="486"/>
      <c r="AI54" s="486"/>
      <c r="AJ54" s="486"/>
      <c r="AL54" s="486"/>
    </row>
    <row r="55" spans="1:38" ht="13.5" thickBot="1">
      <c r="A55" s="562" t="s">
        <v>330</v>
      </c>
      <c r="B55" s="84" t="s">
        <v>329</v>
      </c>
      <c r="C55" s="83" t="s">
        <v>61</v>
      </c>
      <c r="D55" s="82">
        <v>381.34</v>
      </c>
      <c r="E55" s="243">
        <f t="shared" si="5"/>
        <v>200</v>
      </c>
      <c r="F55" s="82">
        <v>233.80699999999999</v>
      </c>
      <c r="G55" s="82">
        <v>2.5</v>
      </c>
      <c r="H55" s="82">
        <f t="shared" si="6"/>
        <v>584.51749999999993</v>
      </c>
      <c r="I55" s="81">
        <f t="shared" si="7"/>
        <v>4</v>
      </c>
      <c r="J55" s="270">
        <f t="shared" si="17"/>
        <v>800</v>
      </c>
      <c r="K55" s="81">
        <f t="shared" si="1"/>
        <v>215.48250000000007</v>
      </c>
      <c r="L55" s="82">
        <f t="shared" si="8"/>
        <v>73.064687499999991</v>
      </c>
      <c r="M55" s="98" t="s">
        <v>328</v>
      </c>
      <c r="N55" s="80">
        <v>673.16499999999996</v>
      </c>
      <c r="O55" s="168">
        <f t="shared" si="9"/>
        <v>150</v>
      </c>
      <c r="P55" s="80">
        <f t="shared" si="21"/>
        <v>233.80699999999999</v>
      </c>
      <c r="Q55" s="79">
        <v>2.5</v>
      </c>
      <c r="R55" s="80">
        <f t="shared" si="11"/>
        <v>584.51749999999993</v>
      </c>
      <c r="S55" s="247">
        <f t="shared" si="18"/>
        <v>600</v>
      </c>
      <c r="T55" s="428">
        <f t="shared" si="19"/>
        <v>15.482500000000073</v>
      </c>
      <c r="U55" s="424" t="str">
        <f t="shared" si="20"/>
        <v>No</v>
      </c>
      <c r="V55" s="337"/>
      <c r="W55" s="389"/>
      <c r="X55" s="343" t="s">
        <v>492</v>
      </c>
      <c r="Y55" s="344">
        <v>0</v>
      </c>
      <c r="Z55" s="344">
        <v>0</v>
      </c>
      <c r="AA55" s="344">
        <v>0</v>
      </c>
      <c r="AB55" s="344">
        <v>0</v>
      </c>
      <c r="AC55" s="344">
        <v>0</v>
      </c>
      <c r="AD55" s="343">
        <f t="shared" si="22"/>
        <v>0</v>
      </c>
      <c r="AE55" s="329"/>
      <c r="AF55" s="557" t="s">
        <v>584</v>
      </c>
      <c r="AG55" s="558"/>
      <c r="AH55" s="558"/>
      <c r="AI55" s="558"/>
      <c r="AJ55" s="558"/>
      <c r="AK55" s="559"/>
      <c r="AL55" s="154"/>
    </row>
    <row r="56" spans="1:38" ht="14.25" customHeight="1" thickBot="1">
      <c r="A56" s="563"/>
      <c r="B56" s="74" t="s">
        <v>30</v>
      </c>
      <c r="C56" s="73" t="s">
        <v>326</v>
      </c>
      <c r="D56" s="72">
        <v>317.27</v>
      </c>
      <c r="E56" s="244">
        <f t="shared" si="5"/>
        <v>200</v>
      </c>
      <c r="F56" s="72">
        <v>136.87530000000001</v>
      </c>
      <c r="G56" s="82">
        <v>2.5</v>
      </c>
      <c r="H56" s="72">
        <f t="shared" si="6"/>
        <v>342.18825000000004</v>
      </c>
      <c r="I56" s="81">
        <f t="shared" si="7"/>
        <v>3</v>
      </c>
      <c r="J56" s="272">
        <f t="shared" si="17"/>
        <v>600</v>
      </c>
      <c r="K56" s="81">
        <f t="shared" si="1"/>
        <v>257.81174999999996</v>
      </c>
      <c r="L56" s="82">
        <f t="shared" si="8"/>
        <v>57.031375000000004</v>
      </c>
      <c r="M56" s="69" t="s">
        <v>325</v>
      </c>
      <c r="N56" s="70">
        <v>518.48</v>
      </c>
      <c r="O56" s="168">
        <f t="shared" si="9"/>
        <v>200</v>
      </c>
      <c r="P56" s="80">
        <f t="shared" si="21"/>
        <v>136.87530000000001</v>
      </c>
      <c r="Q56" s="79">
        <v>2.5</v>
      </c>
      <c r="R56" s="70">
        <f t="shared" si="11"/>
        <v>342.18825000000004</v>
      </c>
      <c r="S56" s="249">
        <f t="shared" si="18"/>
        <v>600</v>
      </c>
      <c r="T56" s="427">
        <f t="shared" si="19"/>
        <v>257.81174999999996</v>
      </c>
      <c r="U56" s="423" t="str">
        <f t="shared" si="20"/>
        <v>No</v>
      </c>
      <c r="V56" s="337"/>
      <c r="W56" s="389"/>
      <c r="X56" s="290" t="s">
        <v>501</v>
      </c>
      <c r="Y56" s="345">
        <f t="shared" ref="Y56:AD56" si="23">SUM(Y44:Y55)</f>
        <v>3</v>
      </c>
      <c r="Z56" s="345">
        <f t="shared" si="23"/>
        <v>18</v>
      </c>
      <c r="AA56" s="345">
        <f t="shared" si="23"/>
        <v>10</v>
      </c>
      <c r="AB56" s="345">
        <f t="shared" si="23"/>
        <v>0</v>
      </c>
      <c r="AC56" s="345">
        <f t="shared" si="23"/>
        <v>0</v>
      </c>
      <c r="AD56" s="346">
        <f t="shared" si="23"/>
        <v>31</v>
      </c>
      <c r="AE56" s="329"/>
      <c r="AF56" s="331" t="s">
        <v>491</v>
      </c>
      <c r="AG56" s="333" t="s">
        <v>493</v>
      </c>
      <c r="AH56" s="333" t="s">
        <v>494</v>
      </c>
      <c r="AI56" s="333" t="s">
        <v>495</v>
      </c>
      <c r="AJ56" s="333" t="s">
        <v>496</v>
      </c>
      <c r="AK56" s="334" t="s">
        <v>562</v>
      </c>
      <c r="AL56" s="290" t="s">
        <v>415</v>
      </c>
    </row>
    <row r="57" spans="1:38">
      <c r="A57" s="266"/>
      <c r="B57" s="63"/>
      <c r="C57" s="266"/>
      <c r="D57" s="266"/>
      <c r="E57" s="266"/>
      <c r="F57" s="63"/>
      <c r="G57" s="63"/>
      <c r="H57" s="63"/>
      <c r="I57" s="266" t="s">
        <v>415</v>
      </c>
      <c r="J57" s="266">
        <f>SUM(J3:J56)</f>
        <v>46150</v>
      </c>
      <c r="K57" s="266"/>
      <c r="L57" s="266"/>
      <c r="M57" s="266"/>
      <c r="N57" s="266"/>
      <c r="O57" s="266"/>
      <c r="P57" s="266"/>
      <c r="Q57" s="266"/>
      <c r="R57" s="266"/>
      <c r="S57" s="266"/>
      <c r="T57" s="58"/>
      <c r="U57" s="266" t="str">
        <f t="shared" si="20"/>
        <v>No</v>
      </c>
      <c r="X57" s="290" t="s">
        <v>500</v>
      </c>
      <c r="Y57" s="347">
        <f>PRODUCT(Y56*AH47)</f>
        <v>45</v>
      </c>
      <c r="Z57" s="489">
        <f>PRODUCT(Z56*AH48)</f>
        <v>294.64019999999999</v>
      </c>
      <c r="AA57" s="489">
        <f>PRODUCT(AA56*AH49)</f>
        <v>167.46700000000001</v>
      </c>
      <c r="AB57" s="489">
        <f>PRODUCT(AB56*AH50)</f>
        <v>0</v>
      </c>
      <c r="AC57" s="489">
        <f>PRODUCT(AC56*AH51)</f>
        <v>0</v>
      </c>
      <c r="AD57" s="490">
        <f>SUM(Y57:AC57)</f>
        <v>507.10720000000003</v>
      </c>
      <c r="AE57" s="329"/>
      <c r="AF57" s="59" t="s">
        <v>84</v>
      </c>
      <c r="AG57" s="337">
        <f>Y44+Y64</f>
        <v>0</v>
      </c>
      <c r="AH57" s="337">
        <f t="shared" ref="AH57:AK68" si="24">Z44+Z64</f>
        <v>12</v>
      </c>
      <c r="AI57" s="337">
        <f t="shared" si="24"/>
        <v>4</v>
      </c>
      <c r="AJ57" s="337">
        <f t="shared" si="24"/>
        <v>2</v>
      </c>
      <c r="AK57" s="337">
        <f t="shared" si="24"/>
        <v>0</v>
      </c>
      <c r="AL57" s="338">
        <f>SUM(AG57:AK57)</f>
        <v>18</v>
      </c>
    </row>
    <row r="58" spans="1:38">
      <c r="A58" s="20"/>
      <c r="B58" s="63"/>
      <c r="C58" s="20"/>
      <c r="D58" s="20"/>
      <c r="E58" s="266"/>
      <c r="F58" s="20"/>
      <c r="G58" s="63"/>
      <c r="H58" s="63"/>
      <c r="I58" s="63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11"/>
      <c r="U58" s="11"/>
      <c r="X58" s="290" t="s">
        <v>499</v>
      </c>
      <c r="Y58" s="347">
        <f>Y56*AG47</f>
        <v>300</v>
      </c>
      <c r="Z58" s="347">
        <f>Z56*AG48</f>
        <v>2700</v>
      </c>
      <c r="AA58" s="347">
        <f>AA56*AG49</f>
        <v>2000</v>
      </c>
      <c r="AB58" s="347">
        <f>AB56*AG50</f>
        <v>0</v>
      </c>
      <c r="AC58" s="347">
        <f>AC56*AG51</f>
        <v>0</v>
      </c>
      <c r="AD58" s="290">
        <f>SUM(Y58:AC58)</f>
        <v>5000</v>
      </c>
      <c r="AE58" s="329"/>
      <c r="AF58" s="59" t="s">
        <v>85</v>
      </c>
      <c r="AG58" s="337">
        <f t="shared" ref="AG58:AG68" si="25">Y45+Y65</f>
        <v>1</v>
      </c>
      <c r="AH58" s="337">
        <f t="shared" si="24"/>
        <v>18</v>
      </c>
      <c r="AI58" s="337">
        <f t="shared" si="24"/>
        <v>10</v>
      </c>
      <c r="AJ58" s="337">
        <f t="shared" si="24"/>
        <v>0</v>
      </c>
      <c r="AK58" s="337">
        <f t="shared" si="24"/>
        <v>7</v>
      </c>
      <c r="AL58" s="59">
        <f t="shared" ref="AL58:AL68" si="26">SUM(AG58:AK58)</f>
        <v>36</v>
      </c>
    </row>
    <row r="59" spans="1:38">
      <c r="A59" s="20"/>
      <c r="B59" s="63"/>
      <c r="C59" s="20"/>
      <c r="D59" s="20"/>
      <c r="E59" s="266"/>
      <c r="F59" s="20"/>
      <c r="G59" s="63"/>
      <c r="H59" s="63"/>
      <c r="I59" s="63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11"/>
      <c r="U59" s="20"/>
      <c r="AF59" s="59" t="s">
        <v>86</v>
      </c>
      <c r="AG59" s="337">
        <f t="shared" si="25"/>
        <v>0</v>
      </c>
      <c r="AH59" s="337">
        <f t="shared" si="24"/>
        <v>0</v>
      </c>
      <c r="AI59" s="337">
        <f t="shared" si="24"/>
        <v>6</v>
      </c>
      <c r="AJ59" s="337">
        <f t="shared" si="24"/>
        <v>0</v>
      </c>
      <c r="AK59" s="337">
        <f t="shared" si="24"/>
        <v>4</v>
      </c>
      <c r="AL59" s="59">
        <f t="shared" si="26"/>
        <v>10</v>
      </c>
    </row>
    <row r="60" spans="1:38">
      <c r="A60" s="20"/>
      <c r="B60" s="63"/>
      <c r="C60" s="20"/>
      <c r="D60" s="20"/>
      <c r="E60" s="266"/>
      <c r="F60" s="20"/>
      <c r="G60" s="63"/>
      <c r="H60" s="63"/>
      <c r="I60" s="63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11"/>
      <c r="U60" s="20"/>
      <c r="AF60" s="59" t="s">
        <v>87</v>
      </c>
      <c r="AG60" s="337">
        <f t="shared" si="25"/>
        <v>0</v>
      </c>
      <c r="AH60" s="337">
        <f t="shared" si="24"/>
        <v>35</v>
      </c>
      <c r="AI60" s="337">
        <f t="shared" si="24"/>
        <v>44</v>
      </c>
      <c r="AJ60" s="337">
        <f t="shared" si="24"/>
        <v>25</v>
      </c>
      <c r="AK60" s="337">
        <f t="shared" si="24"/>
        <v>0</v>
      </c>
      <c r="AL60" s="59">
        <f t="shared" si="26"/>
        <v>104</v>
      </c>
    </row>
    <row r="61" spans="1:38">
      <c r="A61" s="20"/>
      <c r="B61" s="63"/>
      <c r="C61" s="20"/>
      <c r="D61" s="20"/>
      <c r="E61" s="266"/>
      <c r="F61" s="20"/>
      <c r="G61" s="63"/>
      <c r="H61" s="63"/>
      <c r="I61" s="63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11"/>
      <c r="U61" s="20"/>
      <c r="AF61" s="59" t="s">
        <v>88</v>
      </c>
      <c r="AG61" s="337">
        <f t="shared" si="25"/>
        <v>0</v>
      </c>
      <c r="AH61" s="337">
        <f t="shared" si="24"/>
        <v>0</v>
      </c>
      <c r="AI61" s="337">
        <f t="shared" si="24"/>
        <v>19</v>
      </c>
      <c r="AJ61" s="337">
        <f t="shared" si="24"/>
        <v>1</v>
      </c>
      <c r="AK61" s="337">
        <f t="shared" si="24"/>
        <v>0</v>
      </c>
      <c r="AL61" s="59">
        <f t="shared" si="26"/>
        <v>20</v>
      </c>
    </row>
    <row r="62" spans="1:38">
      <c r="A62" s="20"/>
      <c r="B62" s="64"/>
      <c r="C62" s="20"/>
      <c r="D62" s="20"/>
      <c r="E62" s="266"/>
      <c r="F62" s="20"/>
      <c r="G62" s="63"/>
      <c r="H62" s="63"/>
      <c r="I62" s="63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11"/>
      <c r="U62" s="20"/>
      <c r="X62" s="557" t="s">
        <v>583</v>
      </c>
      <c r="Y62" s="558"/>
      <c r="Z62" s="558"/>
      <c r="AA62" s="558"/>
      <c r="AB62" s="558"/>
      <c r="AC62" s="559"/>
      <c r="AD62" s="154"/>
      <c r="AF62" s="59" t="s">
        <v>89</v>
      </c>
      <c r="AG62" s="337">
        <f t="shared" si="25"/>
        <v>0</v>
      </c>
      <c r="AH62" s="337">
        <f t="shared" si="24"/>
        <v>21</v>
      </c>
      <c r="AI62" s="337">
        <f t="shared" si="24"/>
        <v>2</v>
      </c>
      <c r="AJ62" s="337">
        <f t="shared" si="24"/>
        <v>1</v>
      </c>
      <c r="AK62" s="337">
        <f t="shared" si="24"/>
        <v>0</v>
      </c>
      <c r="AL62" s="59">
        <f t="shared" si="26"/>
        <v>24</v>
      </c>
    </row>
    <row r="63" spans="1:38">
      <c r="A63" s="20"/>
      <c r="B63" s="64"/>
      <c r="C63" s="20"/>
      <c r="D63" s="20"/>
      <c r="E63" s="266"/>
      <c r="F63" s="20"/>
      <c r="G63" s="63"/>
      <c r="H63" s="63"/>
      <c r="I63" s="63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11"/>
      <c r="U63" s="20"/>
      <c r="X63" s="331" t="s">
        <v>491</v>
      </c>
      <c r="Y63" s="333" t="s">
        <v>493</v>
      </c>
      <c r="Z63" s="333" t="s">
        <v>494</v>
      </c>
      <c r="AA63" s="333" t="s">
        <v>495</v>
      </c>
      <c r="AB63" s="333" t="s">
        <v>496</v>
      </c>
      <c r="AC63" s="334" t="s">
        <v>562</v>
      </c>
      <c r="AD63" s="290" t="s">
        <v>415</v>
      </c>
      <c r="AF63" s="59" t="s">
        <v>90</v>
      </c>
      <c r="AG63" s="337">
        <f t="shared" si="25"/>
        <v>0</v>
      </c>
      <c r="AH63" s="337">
        <f t="shared" si="24"/>
        <v>0</v>
      </c>
      <c r="AI63" s="337">
        <f t="shared" si="24"/>
        <v>1</v>
      </c>
      <c r="AJ63" s="337">
        <f t="shared" si="24"/>
        <v>4</v>
      </c>
      <c r="AK63" s="337">
        <f t="shared" si="24"/>
        <v>3</v>
      </c>
      <c r="AL63" s="59">
        <f t="shared" si="26"/>
        <v>8</v>
      </c>
    </row>
    <row r="64" spans="1:38">
      <c r="A64" s="20"/>
      <c r="B64" s="64"/>
      <c r="C64" s="20"/>
      <c r="D64" s="20"/>
      <c r="E64" s="266"/>
      <c r="F64" s="20"/>
      <c r="G64" s="63"/>
      <c r="H64" s="63"/>
      <c r="I64" s="63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11"/>
      <c r="U64" s="20"/>
      <c r="X64" s="59" t="s">
        <v>84</v>
      </c>
      <c r="Y64" s="337">
        <v>0</v>
      </c>
      <c r="Z64" s="337">
        <f>12</f>
        <v>12</v>
      </c>
      <c r="AA64" s="487">
        <f>2+2</f>
        <v>4</v>
      </c>
      <c r="AB64" s="487">
        <f>2</f>
        <v>2</v>
      </c>
      <c r="AC64" s="337">
        <v>0</v>
      </c>
      <c r="AD64" s="338">
        <f>SUM(Y64:AC64)</f>
        <v>18</v>
      </c>
      <c r="AF64" s="59" t="s">
        <v>91</v>
      </c>
      <c r="AG64" s="337">
        <f t="shared" si="25"/>
        <v>0</v>
      </c>
      <c r="AH64" s="337">
        <f t="shared" si="24"/>
        <v>32</v>
      </c>
      <c r="AI64" s="337">
        <f t="shared" si="24"/>
        <v>4</v>
      </c>
      <c r="AJ64" s="337">
        <f t="shared" si="24"/>
        <v>2</v>
      </c>
      <c r="AK64" s="337">
        <f t="shared" si="24"/>
        <v>0</v>
      </c>
      <c r="AL64" s="59">
        <f t="shared" si="26"/>
        <v>38</v>
      </c>
    </row>
    <row r="65" spans="1:38">
      <c r="A65" s="20"/>
      <c r="B65" s="63"/>
      <c r="C65" s="20"/>
      <c r="D65" s="20"/>
      <c r="E65" s="266"/>
      <c r="N65" s="20"/>
      <c r="O65" s="20"/>
      <c r="P65" s="20"/>
      <c r="Q65" s="20"/>
      <c r="S65" s="20"/>
      <c r="T65" s="11"/>
      <c r="U65" s="20"/>
      <c r="X65" s="59" t="s">
        <v>85</v>
      </c>
      <c r="Y65" s="337">
        <v>0</v>
      </c>
      <c r="Z65" s="337">
        <f>9+4+5</f>
        <v>18</v>
      </c>
      <c r="AA65" s="337">
        <f>7+3</f>
        <v>10</v>
      </c>
      <c r="AB65" s="337">
        <v>0</v>
      </c>
      <c r="AC65" s="337">
        <f>4+3</f>
        <v>7</v>
      </c>
      <c r="AD65" s="59">
        <f t="shared" ref="AD65:AD75" si="27">SUM(Y65:AC65)</f>
        <v>35</v>
      </c>
      <c r="AF65" s="59" t="s">
        <v>92</v>
      </c>
      <c r="AG65" s="337">
        <f t="shared" si="25"/>
        <v>1</v>
      </c>
      <c r="AH65" s="337">
        <f t="shared" si="24"/>
        <v>9</v>
      </c>
      <c r="AI65" s="337">
        <f t="shared" si="24"/>
        <v>23</v>
      </c>
      <c r="AJ65" s="337">
        <f t="shared" si="24"/>
        <v>0</v>
      </c>
      <c r="AK65" s="337">
        <f t="shared" si="24"/>
        <v>0</v>
      </c>
      <c r="AL65" s="59">
        <f t="shared" si="26"/>
        <v>33</v>
      </c>
    </row>
    <row r="66" spans="1:38">
      <c r="A66" s="20"/>
      <c r="B66" s="63"/>
      <c r="C66" s="20"/>
      <c r="D66" s="20"/>
      <c r="E66" s="266"/>
      <c r="N66" s="20"/>
      <c r="O66" s="20"/>
      <c r="P66" s="20"/>
      <c r="Q66" s="20"/>
      <c r="S66" s="20"/>
      <c r="T66" s="11"/>
      <c r="U66" s="20"/>
      <c r="X66" s="59" t="s">
        <v>86</v>
      </c>
      <c r="Y66" s="337">
        <v>0</v>
      </c>
      <c r="Z66" s="337">
        <v>0</v>
      </c>
      <c r="AA66" s="335">
        <f>5+1</f>
        <v>6</v>
      </c>
      <c r="AB66" s="337">
        <v>0</v>
      </c>
      <c r="AC66" s="337">
        <f>4</f>
        <v>4</v>
      </c>
      <c r="AD66" s="59">
        <f t="shared" si="27"/>
        <v>10</v>
      </c>
      <c r="AF66" s="59" t="s">
        <v>93</v>
      </c>
      <c r="AG66" s="337">
        <f t="shared" si="25"/>
        <v>0</v>
      </c>
      <c r="AH66" s="337">
        <f t="shared" si="24"/>
        <v>1</v>
      </c>
      <c r="AI66" s="337">
        <f t="shared" si="24"/>
        <v>6</v>
      </c>
      <c r="AJ66" s="337">
        <f t="shared" si="24"/>
        <v>10</v>
      </c>
      <c r="AK66" s="337">
        <f t="shared" si="24"/>
        <v>0</v>
      </c>
      <c r="AL66" s="59">
        <f t="shared" si="26"/>
        <v>17</v>
      </c>
    </row>
    <row r="67" spans="1:38">
      <c r="A67" s="20"/>
      <c r="B67" s="63"/>
      <c r="C67" s="20"/>
      <c r="D67" s="20"/>
      <c r="E67" s="266"/>
      <c r="N67" s="20"/>
      <c r="O67" s="20"/>
      <c r="P67" s="20"/>
      <c r="Q67" s="20"/>
      <c r="S67" s="20"/>
      <c r="T67" s="11"/>
      <c r="U67" s="20"/>
      <c r="X67" s="59" t="s">
        <v>87</v>
      </c>
      <c r="Y67" s="337">
        <v>0</v>
      </c>
      <c r="Z67" s="488">
        <f>12+9+10</f>
        <v>31</v>
      </c>
      <c r="AA67" s="337">
        <f>7+5+10+18+4</f>
        <v>44</v>
      </c>
      <c r="AB67" s="337">
        <f>4+10+11</f>
        <v>25</v>
      </c>
      <c r="AC67" s="337">
        <v>0</v>
      </c>
      <c r="AD67" s="59">
        <f t="shared" si="27"/>
        <v>100</v>
      </c>
      <c r="AF67" s="59" t="s">
        <v>94</v>
      </c>
      <c r="AG67" s="337">
        <f t="shared" si="25"/>
        <v>1</v>
      </c>
      <c r="AH67" s="337">
        <f t="shared" si="24"/>
        <v>7</v>
      </c>
      <c r="AI67" s="337">
        <f t="shared" si="24"/>
        <v>9</v>
      </c>
      <c r="AJ67" s="337">
        <f t="shared" si="24"/>
        <v>11</v>
      </c>
      <c r="AK67" s="337">
        <f t="shared" si="24"/>
        <v>0</v>
      </c>
      <c r="AL67" s="59">
        <f t="shared" si="26"/>
        <v>28</v>
      </c>
    </row>
    <row r="68" spans="1:38">
      <c r="A68" s="20"/>
      <c r="B68" s="63"/>
      <c r="C68" s="20"/>
      <c r="D68" s="20"/>
      <c r="E68" s="266"/>
      <c r="F68" s="20"/>
      <c r="G68" s="63"/>
      <c r="H68" s="63"/>
      <c r="I68" s="63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11"/>
      <c r="U68" s="20"/>
      <c r="X68" s="59" t="s">
        <v>88</v>
      </c>
      <c r="Y68" s="337">
        <v>0</v>
      </c>
      <c r="Z68" s="337">
        <v>0</v>
      </c>
      <c r="AA68" s="337">
        <f>2+3+1+10+1+2</f>
        <v>19</v>
      </c>
      <c r="AB68" s="337">
        <f>1</f>
        <v>1</v>
      </c>
      <c r="AC68" s="337">
        <v>0</v>
      </c>
      <c r="AD68" s="59">
        <f t="shared" si="27"/>
        <v>20</v>
      </c>
      <c r="AF68" s="343" t="s">
        <v>492</v>
      </c>
      <c r="AG68" s="337">
        <f t="shared" si="25"/>
        <v>0</v>
      </c>
      <c r="AH68" s="337">
        <f t="shared" si="24"/>
        <v>1</v>
      </c>
      <c r="AI68" s="337">
        <f t="shared" si="24"/>
        <v>4</v>
      </c>
      <c r="AJ68" s="337">
        <f t="shared" si="24"/>
        <v>0</v>
      </c>
      <c r="AK68" s="337">
        <f t="shared" si="24"/>
        <v>0</v>
      </c>
      <c r="AL68" s="343">
        <f t="shared" si="26"/>
        <v>5</v>
      </c>
    </row>
    <row r="69" spans="1:38">
      <c r="B69" s="63"/>
      <c r="C69" s="20"/>
      <c r="D69" s="20"/>
      <c r="E69" s="266"/>
      <c r="F69" s="20"/>
      <c r="G69" s="63"/>
      <c r="H69" s="63"/>
      <c r="I69" s="63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11"/>
      <c r="U69" s="20"/>
      <c r="W69" s="57"/>
      <c r="X69" s="59" t="s">
        <v>89</v>
      </c>
      <c r="Y69" s="337">
        <v>0</v>
      </c>
      <c r="Z69" s="337">
        <f>9+9+3</f>
        <v>21</v>
      </c>
      <c r="AA69" s="337">
        <f>2</f>
        <v>2</v>
      </c>
      <c r="AB69" s="337">
        <f>1</f>
        <v>1</v>
      </c>
      <c r="AC69" s="337">
        <v>0</v>
      </c>
      <c r="AD69" s="59">
        <f t="shared" si="27"/>
        <v>24</v>
      </c>
      <c r="AF69" s="290" t="s">
        <v>501</v>
      </c>
      <c r="AG69" s="345">
        <f t="shared" ref="AG69:AL69" si="28">SUM(AG57:AG68)</f>
        <v>3</v>
      </c>
      <c r="AH69" s="345">
        <f t="shared" si="28"/>
        <v>136</v>
      </c>
      <c r="AI69" s="345">
        <f t="shared" si="28"/>
        <v>132</v>
      </c>
      <c r="AJ69" s="345">
        <f t="shared" si="28"/>
        <v>56</v>
      </c>
      <c r="AK69" s="345">
        <f t="shared" si="28"/>
        <v>14</v>
      </c>
      <c r="AL69" s="346">
        <f t="shared" si="28"/>
        <v>341</v>
      </c>
    </row>
    <row r="70" spans="1:38">
      <c r="B70" s="63"/>
      <c r="C70" s="20"/>
      <c r="D70" s="20"/>
      <c r="E70" s="266"/>
      <c r="F70" s="20"/>
      <c r="G70" s="63"/>
      <c r="H70" s="63"/>
      <c r="I70" s="63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11"/>
      <c r="U70" s="20"/>
      <c r="W70" s="57"/>
      <c r="X70" s="59" t="s">
        <v>90</v>
      </c>
      <c r="Y70" s="337">
        <v>0</v>
      </c>
      <c r="Z70" s="335">
        <v>0</v>
      </c>
      <c r="AA70" s="335">
        <f>1</f>
        <v>1</v>
      </c>
      <c r="AB70" s="337">
        <f>4</f>
        <v>4</v>
      </c>
      <c r="AC70" s="337">
        <f>3</f>
        <v>3</v>
      </c>
      <c r="AD70" s="59">
        <f t="shared" si="27"/>
        <v>8</v>
      </c>
      <c r="AF70" s="290" t="s">
        <v>500</v>
      </c>
      <c r="AG70" s="347">
        <f>PRODUCT(AG69*AH47)</f>
        <v>45</v>
      </c>
      <c r="AH70" s="489">
        <f>PRODUCT(AH69*AH48)</f>
        <v>2226.1704</v>
      </c>
      <c r="AI70" s="489">
        <f>PRODUCT(AI69*AH49)</f>
        <v>2210.5644000000002</v>
      </c>
      <c r="AJ70" s="489">
        <f>PRODUCT(AJ69*AH50)</f>
        <v>945.64960000000008</v>
      </c>
      <c r="AK70" s="489">
        <f>PRODUCT(AK69*AH51)</f>
        <v>238</v>
      </c>
      <c r="AL70" s="490">
        <f>SUM(AG70:AK70)</f>
        <v>5665.3843999999999</v>
      </c>
    </row>
    <row r="71" spans="1:38">
      <c r="B71" s="63"/>
      <c r="C71" s="20"/>
      <c r="D71" s="20"/>
      <c r="E71" s="266"/>
      <c r="F71" s="20"/>
      <c r="G71" s="63"/>
      <c r="H71" s="63"/>
      <c r="I71" s="63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11"/>
      <c r="U71" s="20"/>
      <c r="W71" s="57"/>
      <c r="X71" s="59" t="s">
        <v>91</v>
      </c>
      <c r="Y71" s="337">
        <v>0</v>
      </c>
      <c r="Z71" s="335">
        <f>4+10+3+4+2+1</f>
        <v>24</v>
      </c>
      <c r="AA71" s="337">
        <f>2+2</f>
        <v>4</v>
      </c>
      <c r="AB71" s="337">
        <f>2</f>
        <v>2</v>
      </c>
      <c r="AC71" s="337">
        <v>0</v>
      </c>
      <c r="AD71" s="59">
        <f t="shared" si="27"/>
        <v>30</v>
      </c>
      <c r="AF71" s="290" t="s">
        <v>563</v>
      </c>
      <c r="AG71" s="347">
        <f>AG69*AG47</f>
        <v>300</v>
      </c>
      <c r="AH71" s="347">
        <f>AH69*AG48</f>
        <v>20400</v>
      </c>
      <c r="AI71" s="347">
        <f>AI69*AG49</f>
        <v>26400</v>
      </c>
      <c r="AJ71" s="347">
        <f>AJ69*AG50</f>
        <v>14000</v>
      </c>
      <c r="AK71" s="347">
        <f>AK69*AG51</f>
        <v>4200</v>
      </c>
      <c r="AL71" s="290">
        <f>SUM(AG71:AK71)</f>
        <v>65300</v>
      </c>
    </row>
    <row r="72" spans="1:38">
      <c r="B72" s="63"/>
      <c r="C72" s="20"/>
      <c r="D72" s="20"/>
      <c r="E72" s="266"/>
      <c r="F72" s="20"/>
      <c r="G72" s="63"/>
      <c r="H72" s="63"/>
      <c r="I72" s="63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11"/>
      <c r="U72" s="20"/>
      <c r="W72" s="57"/>
      <c r="X72" s="59" t="s">
        <v>92</v>
      </c>
      <c r="Y72" s="337">
        <v>0</v>
      </c>
      <c r="Z72" s="335">
        <f>5+4</f>
        <v>9</v>
      </c>
      <c r="AA72" s="337">
        <f>18+3</f>
        <v>21</v>
      </c>
      <c r="AB72" s="337">
        <v>0</v>
      </c>
      <c r="AC72" s="337">
        <v>0</v>
      </c>
      <c r="AD72" s="59">
        <f t="shared" si="27"/>
        <v>30</v>
      </c>
      <c r="AG72" s="486"/>
      <c r="AH72" s="335"/>
      <c r="AI72" s="335"/>
      <c r="AJ72" s="337"/>
      <c r="AK72" s="337"/>
      <c r="AL72" s="337"/>
    </row>
    <row r="73" spans="1:38">
      <c r="B73" s="63"/>
      <c r="C73" s="20"/>
      <c r="D73" s="20"/>
      <c r="E73" s="266"/>
      <c r="F73" s="20"/>
      <c r="G73" s="63"/>
      <c r="H73" s="63"/>
      <c r="I73" s="63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11"/>
      <c r="U73" s="20"/>
      <c r="W73" s="57"/>
      <c r="X73" s="59" t="s">
        <v>93</v>
      </c>
      <c r="Y73" s="337">
        <v>0</v>
      </c>
      <c r="Z73" s="335">
        <v>0</v>
      </c>
      <c r="AA73" s="337">
        <f>2+1</f>
        <v>3</v>
      </c>
      <c r="AB73" s="337">
        <f>10</f>
        <v>10</v>
      </c>
      <c r="AC73" s="337">
        <v>0</v>
      </c>
      <c r="AD73" s="59">
        <f t="shared" si="27"/>
        <v>13</v>
      </c>
    </row>
    <row r="74" spans="1:38" ht="15">
      <c r="B74" s="63"/>
      <c r="C74" s="20"/>
      <c r="D74" s="20"/>
      <c r="E74" s="266"/>
      <c r="F74" s="20"/>
      <c r="G74" s="63"/>
      <c r="H74" s="63"/>
      <c r="I74" s="63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11"/>
      <c r="U74" s="20"/>
      <c r="W74" s="57"/>
      <c r="X74" s="59" t="s">
        <v>94</v>
      </c>
      <c r="Y74" s="337">
        <v>0</v>
      </c>
      <c r="Z74" s="488">
        <f>2</f>
        <v>2</v>
      </c>
      <c r="AA74" s="337">
        <f>3+1</f>
        <v>4</v>
      </c>
      <c r="AB74" s="337">
        <f>11</f>
        <v>11</v>
      </c>
      <c r="AC74" s="337">
        <v>0</v>
      </c>
      <c r="AD74" s="59">
        <f t="shared" si="27"/>
        <v>17</v>
      </c>
      <c r="AF74" s="435">
        <f>AD56+AD76</f>
        <v>341</v>
      </c>
    </row>
    <row r="75" spans="1:38" ht="15">
      <c r="B75" s="63"/>
      <c r="C75" s="20"/>
      <c r="D75" s="20"/>
      <c r="E75" s="266"/>
      <c r="F75" s="20"/>
      <c r="G75" s="63"/>
      <c r="H75" s="63"/>
      <c r="I75" s="63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11"/>
      <c r="U75" s="20"/>
      <c r="X75" s="343" t="s">
        <v>492</v>
      </c>
      <c r="Y75" s="337">
        <v>0</v>
      </c>
      <c r="Z75" s="344">
        <f>1</f>
        <v>1</v>
      </c>
      <c r="AA75" s="344">
        <f>4</f>
        <v>4</v>
      </c>
      <c r="AB75" s="344">
        <v>0</v>
      </c>
      <c r="AC75" s="337">
        <v>0</v>
      </c>
      <c r="AD75" s="343">
        <f t="shared" si="27"/>
        <v>5</v>
      </c>
      <c r="AF75" s="496">
        <f t="shared" ref="AF75:AF76" si="29">AD57+AD77</f>
        <v>5665.3843999999999</v>
      </c>
    </row>
    <row r="76" spans="1:38" ht="15">
      <c r="B76" s="63"/>
      <c r="C76" s="20"/>
      <c r="D76" s="20"/>
      <c r="E76" s="266"/>
      <c r="F76" s="20"/>
      <c r="G76" s="63"/>
      <c r="H76" s="63"/>
      <c r="I76" s="63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11"/>
      <c r="U76" s="20"/>
      <c r="X76" s="290" t="s">
        <v>501</v>
      </c>
      <c r="Y76" s="345">
        <f t="shared" ref="Y76:AD76" si="30">SUM(Y64:Y75)</f>
        <v>0</v>
      </c>
      <c r="Z76" s="345">
        <f t="shared" si="30"/>
        <v>118</v>
      </c>
      <c r="AA76" s="345">
        <f t="shared" si="30"/>
        <v>122</v>
      </c>
      <c r="AB76" s="345">
        <f t="shared" si="30"/>
        <v>56</v>
      </c>
      <c r="AC76" s="345">
        <f t="shared" si="30"/>
        <v>14</v>
      </c>
      <c r="AD76" s="346">
        <f t="shared" si="30"/>
        <v>310</v>
      </c>
      <c r="AF76" s="435">
        <f t="shared" si="29"/>
        <v>65300</v>
      </c>
    </row>
    <row r="77" spans="1:38">
      <c r="B77" s="63"/>
      <c r="C77" s="20"/>
      <c r="D77" s="20"/>
      <c r="E77" s="266"/>
      <c r="F77" s="20"/>
      <c r="G77" s="63"/>
      <c r="H77" s="63"/>
      <c r="I77" s="63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11"/>
      <c r="U77" s="20"/>
      <c r="X77" s="290" t="s">
        <v>500</v>
      </c>
      <c r="Y77" s="489">
        <f>PRODUCT(Y76*AH47)</f>
        <v>0</v>
      </c>
      <c r="Z77" s="489">
        <f>PRODUCT(Z76*AH48)</f>
        <v>1931.5301999999999</v>
      </c>
      <c r="AA77" s="489">
        <f>PRODUCT(AA76*AH49)</f>
        <v>2043.0974000000001</v>
      </c>
      <c r="AB77" s="489">
        <f>PRODUCT(AB76*AH50)</f>
        <v>945.64960000000008</v>
      </c>
      <c r="AC77" s="489">
        <f>PRODUCT(AC76*AH51)</f>
        <v>238</v>
      </c>
      <c r="AD77" s="490">
        <f>SUM(Y77:AC77)</f>
        <v>5158.2771999999995</v>
      </c>
    </row>
    <row r="78" spans="1:38">
      <c r="B78" s="63"/>
      <c r="C78" s="20"/>
      <c r="D78" s="20"/>
      <c r="E78" s="266"/>
      <c r="F78" s="20"/>
      <c r="G78" s="63"/>
      <c r="H78" s="63"/>
      <c r="I78" s="63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11"/>
      <c r="U78" s="20"/>
      <c r="X78" s="290" t="s">
        <v>563</v>
      </c>
      <c r="Y78" s="347">
        <f>Y76*AG47</f>
        <v>0</v>
      </c>
      <c r="Z78" s="347">
        <f>Z76*AG48</f>
        <v>17700</v>
      </c>
      <c r="AA78" s="347">
        <f>AA76*AG49</f>
        <v>24400</v>
      </c>
      <c r="AB78" s="347">
        <f>AB76*AG50</f>
        <v>14000</v>
      </c>
      <c r="AC78" s="347">
        <f>AC76*AG51</f>
        <v>4200</v>
      </c>
      <c r="AD78" s="290">
        <f>SUM(Y78:AC78)</f>
        <v>60300</v>
      </c>
    </row>
    <row r="79" spans="1:38">
      <c r="B79" s="63"/>
      <c r="C79" s="20"/>
      <c r="D79" s="20"/>
      <c r="E79" s="266"/>
      <c r="F79" s="20"/>
      <c r="G79" s="63"/>
      <c r="H79" s="63"/>
      <c r="I79" s="63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11"/>
      <c r="U79" s="20"/>
    </row>
    <row r="80" spans="1:38">
      <c r="B80" s="63"/>
      <c r="C80" s="20"/>
      <c r="D80" s="20"/>
      <c r="E80" s="266"/>
      <c r="F80" s="20"/>
      <c r="G80" s="63"/>
      <c r="H80" s="63"/>
      <c r="I80" s="63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11"/>
      <c r="U80" s="20"/>
    </row>
    <row r="81" spans="2:21">
      <c r="B81" s="63"/>
      <c r="C81" s="20"/>
      <c r="D81" s="20"/>
      <c r="E81" s="266"/>
      <c r="F81" s="20"/>
      <c r="G81" s="63"/>
      <c r="H81" s="63"/>
      <c r="I81" s="63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11"/>
      <c r="U81" s="20"/>
    </row>
    <row r="82" spans="2:21">
      <c r="B82" s="63"/>
      <c r="C82" s="20"/>
      <c r="D82" s="20"/>
      <c r="E82" s="266"/>
      <c r="F82" s="20"/>
      <c r="G82" s="63"/>
      <c r="H82" s="63"/>
      <c r="I82" s="63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11"/>
      <c r="U82" s="20"/>
    </row>
    <row r="83" spans="2:21">
      <c r="B83" s="63"/>
      <c r="C83" s="20"/>
      <c r="D83" s="20"/>
      <c r="E83" s="266"/>
      <c r="F83" s="20"/>
      <c r="G83" s="63"/>
      <c r="H83" s="63"/>
      <c r="I83" s="63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11"/>
      <c r="U83" s="20"/>
    </row>
    <row r="84" spans="2:21">
      <c r="B84" s="63"/>
      <c r="C84" s="20"/>
      <c r="D84" s="20"/>
      <c r="E84" s="266"/>
      <c r="F84" s="20"/>
      <c r="G84" s="63"/>
      <c r="H84" s="63"/>
      <c r="I84" s="63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11"/>
      <c r="U84" s="20"/>
    </row>
    <row r="85" spans="2:21">
      <c r="B85" s="63"/>
      <c r="C85" s="20"/>
      <c r="D85" s="20"/>
      <c r="E85" s="266"/>
      <c r="F85" s="20"/>
      <c r="G85" s="63"/>
      <c r="H85" s="63"/>
      <c r="I85" s="63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11"/>
      <c r="U85" s="20"/>
    </row>
    <row r="86" spans="2:21">
      <c r="B86" s="63"/>
      <c r="C86" s="20"/>
      <c r="D86" s="20"/>
      <c r="E86" s="266"/>
      <c r="F86" s="20"/>
      <c r="G86" s="63"/>
      <c r="H86" s="63"/>
      <c r="I86" s="63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11"/>
      <c r="U86" s="20"/>
    </row>
    <row r="87" spans="2:21">
      <c r="B87" s="63"/>
      <c r="C87" s="20"/>
      <c r="D87" s="20"/>
      <c r="E87" s="266"/>
      <c r="F87" s="20"/>
      <c r="G87" s="63"/>
      <c r="H87" s="63"/>
      <c r="I87" s="63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11"/>
      <c r="U87" s="20"/>
    </row>
    <row r="88" spans="2:21">
      <c r="B88" s="63"/>
      <c r="C88" s="20"/>
      <c r="D88" s="20"/>
      <c r="E88" s="266"/>
      <c r="F88" s="20"/>
      <c r="G88" s="63"/>
      <c r="H88" s="63"/>
      <c r="I88" s="63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11"/>
      <c r="U88" s="20"/>
    </row>
    <row r="89" spans="2:21">
      <c r="B89" s="63"/>
      <c r="C89" s="20"/>
      <c r="D89" s="20"/>
      <c r="E89" s="266"/>
      <c r="F89" s="20"/>
      <c r="G89" s="63"/>
      <c r="H89" s="63"/>
      <c r="I89" s="63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11"/>
      <c r="U89" s="20"/>
    </row>
    <row r="90" spans="2:21">
      <c r="B90" s="63"/>
      <c r="C90" s="20"/>
      <c r="D90" s="20"/>
      <c r="E90" s="266"/>
      <c r="F90" s="20"/>
      <c r="G90" s="63"/>
      <c r="H90" s="63"/>
      <c r="I90" s="63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11"/>
      <c r="U90" s="20"/>
    </row>
    <row r="91" spans="2:21">
      <c r="B91" s="63"/>
      <c r="C91" s="20"/>
      <c r="D91" s="20"/>
      <c r="E91" s="266"/>
      <c r="F91" s="20"/>
      <c r="G91" s="63"/>
      <c r="H91" s="63"/>
      <c r="I91" s="63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11"/>
      <c r="U91" s="20"/>
    </row>
    <row r="92" spans="2:21">
      <c r="B92" s="63"/>
      <c r="C92" s="20"/>
      <c r="D92" s="20"/>
      <c r="E92" s="266"/>
      <c r="F92" s="20"/>
      <c r="G92" s="63"/>
      <c r="H92" s="63"/>
      <c r="I92" s="63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11"/>
      <c r="U92" s="20"/>
    </row>
    <row r="93" spans="2:21">
      <c r="B93" s="63"/>
      <c r="C93" s="20"/>
      <c r="D93" s="20"/>
      <c r="E93" s="266"/>
      <c r="F93" s="20"/>
      <c r="G93" s="63"/>
      <c r="H93" s="63"/>
      <c r="I93" s="63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11"/>
      <c r="U93" s="20"/>
    </row>
    <row r="94" spans="2:21">
      <c r="B94" s="63"/>
      <c r="C94" s="20"/>
      <c r="D94" s="20"/>
      <c r="E94" s="266"/>
      <c r="F94" s="20"/>
      <c r="G94" s="63"/>
      <c r="H94" s="63"/>
      <c r="I94" s="63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11"/>
      <c r="U94" s="20"/>
    </row>
    <row r="95" spans="2:21">
      <c r="B95" s="63"/>
      <c r="C95" s="20"/>
      <c r="D95" s="20"/>
      <c r="E95" s="266"/>
      <c r="F95" s="20"/>
      <c r="G95" s="63"/>
      <c r="H95" s="63"/>
      <c r="I95" s="63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11"/>
      <c r="U95" s="20"/>
    </row>
    <row r="96" spans="2:21">
      <c r="B96" s="63"/>
      <c r="C96" s="20"/>
      <c r="D96" s="20"/>
      <c r="E96" s="266"/>
      <c r="F96" s="20"/>
      <c r="G96" s="63"/>
      <c r="H96" s="63"/>
      <c r="I96" s="63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11"/>
      <c r="U96" s="20"/>
    </row>
    <row r="97" spans="2:21">
      <c r="B97" s="63"/>
      <c r="C97" s="20"/>
      <c r="D97" s="20"/>
      <c r="E97" s="266"/>
      <c r="F97" s="20"/>
      <c r="G97" s="63"/>
      <c r="H97" s="63"/>
      <c r="I97" s="63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11"/>
      <c r="U97" s="20"/>
    </row>
    <row r="98" spans="2:21">
      <c r="B98" s="63"/>
      <c r="C98" s="20"/>
      <c r="D98" s="20"/>
      <c r="E98" s="266"/>
      <c r="F98" s="20"/>
      <c r="G98" s="63"/>
      <c r="H98" s="63"/>
      <c r="I98" s="63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11"/>
      <c r="U98" s="20"/>
    </row>
    <row r="99" spans="2:21">
      <c r="B99" s="63"/>
      <c r="C99" s="20"/>
      <c r="D99" s="20"/>
      <c r="E99" s="266"/>
      <c r="F99" s="20"/>
      <c r="G99" s="63"/>
      <c r="H99" s="63"/>
      <c r="I99" s="63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11"/>
      <c r="U99" s="20"/>
    </row>
    <row r="100" spans="2:21">
      <c r="B100" s="63"/>
      <c r="C100" s="20"/>
      <c r="D100" s="20"/>
      <c r="E100" s="266"/>
      <c r="F100" s="20"/>
      <c r="G100" s="63"/>
      <c r="H100" s="63"/>
      <c r="I100" s="63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11"/>
      <c r="U100" s="20"/>
    </row>
    <row r="101" spans="2:21">
      <c r="B101" s="63"/>
      <c r="C101" s="20"/>
      <c r="D101" s="20"/>
      <c r="E101" s="266"/>
      <c r="F101" s="20"/>
      <c r="G101" s="63"/>
      <c r="H101" s="63"/>
      <c r="I101" s="63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11"/>
      <c r="U101" s="20"/>
    </row>
    <row r="102" spans="2:21">
      <c r="B102" s="63"/>
      <c r="C102" s="20"/>
      <c r="D102" s="20"/>
      <c r="E102" s="266"/>
      <c r="F102" s="20"/>
      <c r="G102" s="63"/>
      <c r="H102" s="63"/>
      <c r="I102" s="63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11"/>
      <c r="U102" s="20"/>
    </row>
    <row r="103" spans="2:21">
      <c r="B103" s="63"/>
      <c r="C103" s="20"/>
      <c r="D103" s="20"/>
      <c r="E103" s="266"/>
      <c r="F103" s="20"/>
      <c r="G103" s="63"/>
      <c r="H103" s="63"/>
      <c r="I103" s="63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11"/>
      <c r="U103" s="20"/>
    </row>
    <row r="104" spans="2:21">
      <c r="B104" s="63"/>
      <c r="C104" s="20"/>
      <c r="D104" s="20"/>
      <c r="E104" s="266"/>
      <c r="F104" s="20"/>
      <c r="G104" s="63"/>
      <c r="H104" s="63"/>
      <c r="I104" s="63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11"/>
      <c r="U104" s="20"/>
    </row>
    <row r="105" spans="2:21">
      <c r="B105" s="63"/>
      <c r="C105" s="20"/>
      <c r="D105" s="20"/>
      <c r="E105" s="266"/>
      <c r="F105" s="20"/>
      <c r="G105" s="63"/>
      <c r="H105" s="63"/>
      <c r="I105" s="63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11"/>
      <c r="U105" s="20"/>
    </row>
    <row r="106" spans="2:21">
      <c r="B106" s="63"/>
      <c r="C106" s="20"/>
      <c r="D106" s="20"/>
      <c r="E106" s="266"/>
      <c r="F106" s="20"/>
      <c r="G106" s="63"/>
      <c r="H106" s="63"/>
      <c r="I106" s="63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11"/>
      <c r="U106" s="20"/>
    </row>
    <row r="107" spans="2:21">
      <c r="B107" s="63"/>
      <c r="C107" s="20"/>
      <c r="D107" s="20"/>
      <c r="E107" s="266"/>
      <c r="F107" s="20"/>
      <c r="G107" s="63"/>
      <c r="H107" s="63"/>
      <c r="I107" s="63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11"/>
      <c r="U107" s="20"/>
    </row>
    <row r="108" spans="2:21">
      <c r="B108" s="63"/>
      <c r="C108" s="20"/>
      <c r="D108" s="20"/>
      <c r="E108" s="266"/>
      <c r="F108" s="20"/>
      <c r="G108" s="63"/>
      <c r="H108" s="63"/>
      <c r="I108" s="63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11"/>
      <c r="U108" s="20"/>
    </row>
    <row r="109" spans="2:21">
      <c r="B109" s="63"/>
      <c r="C109" s="20"/>
      <c r="D109" s="20"/>
      <c r="E109" s="266"/>
      <c r="F109" s="20"/>
      <c r="G109" s="63"/>
      <c r="H109" s="63"/>
      <c r="I109" s="63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11"/>
      <c r="U109" s="20"/>
    </row>
    <row r="110" spans="2:21">
      <c r="B110" s="63"/>
      <c r="C110" s="20"/>
      <c r="D110" s="20"/>
      <c r="E110" s="266"/>
      <c r="F110" s="20"/>
      <c r="G110" s="63"/>
      <c r="H110" s="63"/>
      <c r="I110" s="63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11"/>
      <c r="U110" s="20"/>
    </row>
    <row r="111" spans="2:21">
      <c r="B111" s="63"/>
      <c r="C111" s="20"/>
      <c r="D111" s="20"/>
      <c r="E111" s="266"/>
      <c r="F111" s="20"/>
      <c r="G111" s="63"/>
      <c r="H111" s="63"/>
      <c r="I111" s="63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11"/>
      <c r="U111" s="20"/>
    </row>
    <row r="112" spans="2:21">
      <c r="B112" s="63"/>
      <c r="C112" s="20"/>
      <c r="D112" s="20"/>
      <c r="E112" s="266"/>
      <c r="F112" s="20"/>
      <c r="G112" s="63"/>
      <c r="H112" s="63"/>
      <c r="I112" s="63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11"/>
      <c r="U112" s="20"/>
    </row>
    <row r="113" spans="1:21">
      <c r="B113" s="63"/>
      <c r="C113" s="20"/>
      <c r="D113" s="20"/>
      <c r="E113" s="266"/>
      <c r="F113" s="20"/>
      <c r="G113" s="63"/>
      <c r="H113" s="63"/>
      <c r="I113" s="63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11"/>
      <c r="U113" s="20"/>
    </row>
    <row r="114" spans="1:21">
      <c r="B114" s="63"/>
      <c r="C114" s="20"/>
      <c r="D114" s="20"/>
      <c r="E114" s="266"/>
      <c r="F114" s="20"/>
      <c r="G114" s="63"/>
      <c r="H114" s="63"/>
      <c r="I114" s="63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11"/>
      <c r="U114" s="20"/>
    </row>
    <row r="115" spans="1:21">
      <c r="B115" s="63"/>
      <c r="C115" s="20"/>
      <c r="D115" s="20"/>
      <c r="E115" s="266"/>
      <c r="F115" s="20"/>
      <c r="G115" s="63"/>
      <c r="H115" s="63"/>
      <c r="I115" s="63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11"/>
      <c r="U115" s="20"/>
    </row>
    <row r="116" spans="1:21">
      <c r="B116" s="63"/>
      <c r="C116" s="20"/>
      <c r="D116" s="20"/>
      <c r="E116" s="266"/>
      <c r="F116" s="20"/>
      <c r="G116" s="63"/>
      <c r="H116" s="63"/>
      <c r="I116" s="63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11"/>
      <c r="U116" s="20"/>
    </row>
    <row r="117" spans="1:21">
      <c r="B117" s="63"/>
      <c r="C117" s="20"/>
      <c r="D117" s="20"/>
      <c r="E117" s="266"/>
      <c r="F117" s="20"/>
      <c r="G117" s="63"/>
      <c r="H117" s="63"/>
      <c r="I117" s="63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11"/>
      <c r="U117" s="20"/>
    </row>
    <row r="118" spans="1:21">
      <c r="B118" s="63"/>
      <c r="C118" s="20"/>
      <c r="D118" s="20"/>
      <c r="E118" s="266"/>
      <c r="F118" s="20"/>
      <c r="G118" s="63"/>
      <c r="H118" s="63"/>
      <c r="I118" s="63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11"/>
      <c r="U118" s="20"/>
    </row>
    <row r="119" spans="1:21">
      <c r="B119" s="63"/>
      <c r="C119" s="20"/>
      <c r="D119" s="20"/>
      <c r="E119" s="266"/>
      <c r="F119" s="20"/>
      <c r="G119" s="63"/>
      <c r="H119" s="63"/>
      <c r="I119" s="63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11"/>
      <c r="U119" s="20"/>
    </row>
    <row r="120" spans="1:21">
      <c r="B120" s="63"/>
      <c r="C120" s="20"/>
      <c r="D120" s="20"/>
      <c r="E120" s="266"/>
      <c r="F120" s="20"/>
      <c r="G120" s="63"/>
      <c r="H120" s="63"/>
      <c r="I120" s="63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11"/>
      <c r="U120" s="20"/>
    </row>
    <row r="121" spans="1:21">
      <c r="B121" s="63"/>
      <c r="C121" s="20"/>
      <c r="D121" s="20"/>
      <c r="E121" s="266"/>
      <c r="F121" s="20"/>
      <c r="G121" s="63"/>
      <c r="H121" s="63"/>
      <c r="I121" s="63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11"/>
      <c r="U121" s="20"/>
    </row>
    <row r="122" spans="1:21">
      <c r="B122" s="63"/>
      <c r="C122" s="20"/>
      <c r="D122" s="20"/>
      <c r="E122" s="266"/>
      <c r="F122" s="20"/>
      <c r="G122" s="63"/>
      <c r="H122" s="63"/>
      <c r="I122" s="63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11"/>
      <c r="U122" s="20"/>
    </row>
    <row r="123" spans="1:21">
      <c r="B123" s="63"/>
      <c r="C123" s="20"/>
      <c r="D123" s="20"/>
      <c r="E123" s="266"/>
      <c r="F123" s="20"/>
      <c r="G123" s="63"/>
      <c r="H123" s="63"/>
      <c r="I123" s="63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11"/>
      <c r="U123" s="20"/>
    </row>
    <row r="124" spans="1:21">
      <c r="A124" s="20"/>
      <c r="B124" s="63"/>
      <c r="C124" s="20"/>
      <c r="D124" s="20"/>
      <c r="E124" s="266"/>
      <c r="F124" s="20"/>
      <c r="G124" s="63"/>
      <c r="H124" s="63"/>
      <c r="I124" s="63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11"/>
      <c r="U124" s="20"/>
    </row>
    <row r="125" spans="1:21">
      <c r="A125" s="20"/>
      <c r="B125" s="63"/>
      <c r="C125" s="20"/>
      <c r="D125" s="20"/>
      <c r="E125" s="266"/>
      <c r="F125" s="20"/>
      <c r="G125" s="63"/>
      <c r="H125" s="63"/>
      <c r="I125" s="63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11"/>
      <c r="U125" s="20"/>
    </row>
    <row r="126" spans="1:21">
      <c r="A126" s="20"/>
      <c r="B126" s="63"/>
      <c r="C126" s="20"/>
      <c r="D126" s="20"/>
      <c r="E126" s="266"/>
      <c r="F126" s="20"/>
      <c r="G126" s="63"/>
      <c r="H126" s="63"/>
      <c r="I126" s="63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11"/>
      <c r="U126" s="20"/>
    </row>
    <row r="127" spans="1:21">
      <c r="A127" s="20"/>
      <c r="B127" s="63"/>
      <c r="C127" s="20"/>
      <c r="D127" s="20"/>
      <c r="E127" s="266"/>
      <c r="F127" s="20"/>
      <c r="G127" s="63"/>
      <c r="H127" s="63"/>
      <c r="I127" s="63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11"/>
      <c r="U127" s="20"/>
    </row>
    <row r="128" spans="1:21">
      <c r="A128" s="20"/>
      <c r="B128" s="63"/>
      <c r="C128" s="20"/>
      <c r="D128" s="20"/>
      <c r="E128" s="266"/>
      <c r="F128" s="20"/>
      <c r="G128" s="63"/>
      <c r="H128" s="63"/>
      <c r="I128" s="63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11"/>
      <c r="U128" s="20"/>
    </row>
    <row r="129" spans="1:21">
      <c r="A129" s="20"/>
      <c r="B129" s="63"/>
      <c r="C129" s="20"/>
      <c r="D129" s="20"/>
      <c r="E129" s="266"/>
      <c r="F129" s="20"/>
      <c r="G129" s="63"/>
      <c r="H129" s="63"/>
      <c r="I129" s="63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11"/>
      <c r="U129" s="20"/>
    </row>
    <row r="130" spans="1:21">
      <c r="A130" s="20"/>
      <c r="B130" s="63"/>
      <c r="C130" s="20"/>
      <c r="D130" s="20"/>
      <c r="E130" s="266"/>
      <c r="F130" s="20"/>
      <c r="G130" s="63"/>
      <c r="H130" s="63"/>
      <c r="I130" s="63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11"/>
      <c r="U130" s="20"/>
    </row>
    <row r="131" spans="1:21">
      <c r="A131" s="20"/>
      <c r="B131" s="63"/>
      <c r="C131" s="20"/>
      <c r="D131" s="20"/>
      <c r="E131" s="266"/>
      <c r="F131" s="20"/>
      <c r="G131" s="63"/>
      <c r="H131" s="63"/>
      <c r="I131" s="63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11"/>
      <c r="U131" s="20"/>
    </row>
    <row r="132" spans="1:21">
      <c r="A132" s="20"/>
      <c r="B132" s="63"/>
      <c r="C132" s="20"/>
      <c r="D132" s="20"/>
      <c r="E132" s="266"/>
      <c r="F132" s="20"/>
      <c r="G132" s="63"/>
      <c r="H132" s="63"/>
      <c r="I132" s="63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11"/>
      <c r="U132" s="20"/>
    </row>
    <row r="133" spans="1:21">
      <c r="A133" s="20"/>
      <c r="B133" s="63"/>
      <c r="C133" s="20"/>
      <c r="D133" s="20"/>
      <c r="E133" s="266"/>
      <c r="F133" s="20"/>
      <c r="G133" s="63"/>
      <c r="H133" s="63"/>
      <c r="I133" s="63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11"/>
      <c r="U133" s="20"/>
    </row>
    <row r="134" spans="1:21">
      <c r="A134" s="20"/>
      <c r="B134" s="63"/>
      <c r="C134" s="20"/>
      <c r="D134" s="20"/>
      <c r="E134" s="266"/>
      <c r="F134" s="20"/>
      <c r="G134" s="63"/>
      <c r="H134" s="63"/>
      <c r="I134" s="63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11"/>
      <c r="U134" s="20"/>
    </row>
    <row r="135" spans="1:21">
      <c r="A135" s="20"/>
      <c r="B135" s="63"/>
      <c r="C135" s="20"/>
      <c r="D135" s="20"/>
      <c r="E135" s="266"/>
      <c r="F135" s="20"/>
      <c r="G135" s="63"/>
      <c r="H135" s="63"/>
      <c r="I135" s="63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11"/>
      <c r="U135" s="20"/>
    </row>
    <row r="136" spans="1:21">
      <c r="A136" s="20"/>
      <c r="B136" s="63"/>
      <c r="C136" s="20"/>
      <c r="D136" s="20"/>
      <c r="E136" s="266"/>
      <c r="F136" s="20"/>
      <c r="G136" s="63"/>
      <c r="H136" s="63"/>
      <c r="I136" s="63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11"/>
      <c r="U136" s="20"/>
    </row>
    <row r="137" spans="1:21">
      <c r="A137" s="20"/>
      <c r="B137" s="63"/>
      <c r="C137" s="20"/>
      <c r="D137" s="20"/>
      <c r="E137" s="266"/>
      <c r="F137" s="20"/>
      <c r="G137" s="63"/>
      <c r="H137" s="63"/>
      <c r="I137" s="63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11"/>
      <c r="U137" s="20"/>
    </row>
    <row r="138" spans="1:21">
      <c r="A138" s="20"/>
      <c r="B138" s="63"/>
      <c r="C138" s="20"/>
      <c r="D138" s="20"/>
      <c r="E138" s="266"/>
      <c r="F138" s="20"/>
      <c r="G138" s="63"/>
      <c r="H138" s="63"/>
      <c r="I138" s="63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11"/>
      <c r="U138" s="20"/>
    </row>
    <row r="139" spans="1:21">
      <c r="A139" s="20"/>
      <c r="B139" s="63"/>
      <c r="C139" s="20"/>
      <c r="D139" s="20"/>
      <c r="E139" s="266"/>
      <c r="F139" s="20"/>
      <c r="G139" s="63"/>
      <c r="H139" s="63"/>
      <c r="I139" s="63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11"/>
      <c r="U139" s="20"/>
    </row>
    <row r="140" spans="1:21">
      <c r="A140" s="20"/>
      <c r="B140" s="63"/>
      <c r="C140" s="20"/>
      <c r="D140" s="20"/>
      <c r="E140" s="266"/>
      <c r="F140" s="20"/>
      <c r="G140" s="63"/>
      <c r="H140" s="63"/>
      <c r="I140" s="63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11"/>
      <c r="U140" s="20"/>
    </row>
    <row r="141" spans="1:21">
      <c r="A141" s="20"/>
      <c r="B141" s="63"/>
      <c r="C141" s="20"/>
      <c r="D141" s="20"/>
      <c r="E141" s="266"/>
      <c r="F141" s="20"/>
      <c r="G141" s="63"/>
      <c r="H141" s="63"/>
      <c r="I141" s="63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11"/>
      <c r="U141" s="20"/>
    </row>
    <row r="142" spans="1:21">
      <c r="A142" s="20"/>
      <c r="B142" s="63"/>
      <c r="C142" s="20"/>
      <c r="D142" s="20"/>
      <c r="E142" s="266"/>
      <c r="F142" s="20"/>
      <c r="G142" s="63"/>
      <c r="H142" s="63"/>
      <c r="I142" s="63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11"/>
      <c r="U142" s="20"/>
    </row>
    <row r="143" spans="1:21">
      <c r="A143" s="20"/>
      <c r="B143" s="63"/>
      <c r="C143" s="20"/>
      <c r="D143" s="20"/>
      <c r="E143" s="266"/>
      <c r="F143" s="20"/>
      <c r="G143" s="63"/>
      <c r="H143" s="63"/>
      <c r="I143" s="63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11"/>
      <c r="U143" s="20"/>
    </row>
    <row r="144" spans="1:21">
      <c r="A144" s="20"/>
      <c r="B144" s="63"/>
      <c r="C144" s="20"/>
      <c r="D144" s="20"/>
      <c r="E144" s="266"/>
      <c r="F144" s="20"/>
      <c r="G144" s="63"/>
      <c r="H144" s="63"/>
      <c r="I144" s="63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11"/>
      <c r="U144" s="20"/>
    </row>
    <row r="145" spans="1:21">
      <c r="A145" s="20"/>
      <c r="B145" s="63"/>
      <c r="C145" s="20"/>
      <c r="D145" s="20"/>
      <c r="E145" s="266"/>
      <c r="F145" s="20"/>
      <c r="G145" s="63"/>
      <c r="H145" s="63"/>
      <c r="I145" s="63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11"/>
      <c r="U145" s="20"/>
    </row>
    <row r="146" spans="1:21">
      <c r="A146" s="20"/>
      <c r="B146" s="63"/>
      <c r="C146" s="20"/>
      <c r="D146" s="20"/>
      <c r="E146" s="266"/>
      <c r="F146" s="20"/>
      <c r="G146" s="63"/>
      <c r="H146" s="63"/>
      <c r="I146" s="63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11"/>
      <c r="U146" s="20"/>
    </row>
    <row r="147" spans="1:21">
      <c r="A147" s="20"/>
      <c r="B147" s="63"/>
      <c r="C147" s="20"/>
      <c r="D147" s="20"/>
      <c r="E147" s="266"/>
      <c r="F147" s="20"/>
      <c r="G147" s="63"/>
      <c r="H147" s="63"/>
      <c r="I147" s="63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11"/>
      <c r="U147" s="20"/>
    </row>
    <row r="148" spans="1:21">
      <c r="A148" s="20"/>
      <c r="B148" s="63"/>
      <c r="C148" s="20"/>
      <c r="D148" s="20"/>
      <c r="E148" s="266"/>
      <c r="F148" s="20"/>
      <c r="G148" s="63"/>
      <c r="H148" s="63"/>
      <c r="I148" s="63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11"/>
      <c r="U148" s="20"/>
    </row>
    <row r="149" spans="1:21">
      <c r="A149" s="20"/>
      <c r="B149" s="63"/>
      <c r="C149" s="20"/>
      <c r="D149" s="20"/>
      <c r="E149" s="266"/>
      <c r="F149" s="20"/>
      <c r="G149" s="63"/>
      <c r="H149" s="63"/>
      <c r="I149" s="63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11"/>
      <c r="U149" s="20"/>
    </row>
    <row r="150" spans="1:21">
      <c r="A150" s="20"/>
      <c r="B150" s="63"/>
      <c r="C150" s="20"/>
      <c r="D150" s="20"/>
      <c r="E150" s="266"/>
      <c r="F150" s="20"/>
      <c r="G150" s="63"/>
      <c r="H150" s="63"/>
      <c r="I150" s="63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11"/>
      <c r="U150" s="20"/>
    </row>
    <row r="151" spans="1:21">
      <c r="A151" s="20"/>
      <c r="B151" s="63"/>
      <c r="C151" s="20"/>
      <c r="D151" s="20"/>
      <c r="E151" s="266"/>
      <c r="F151" s="20"/>
      <c r="G151" s="63"/>
      <c r="H151" s="63"/>
      <c r="I151" s="63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11"/>
      <c r="U151" s="20"/>
    </row>
    <row r="152" spans="1:21">
      <c r="A152" s="20"/>
      <c r="B152" s="63"/>
      <c r="C152" s="20"/>
      <c r="D152" s="20"/>
      <c r="E152" s="266"/>
      <c r="F152" s="20"/>
      <c r="G152" s="63"/>
      <c r="H152" s="63"/>
      <c r="I152" s="63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11"/>
      <c r="U152" s="20"/>
    </row>
    <row r="153" spans="1:21">
      <c r="A153" s="20"/>
      <c r="B153" s="63"/>
      <c r="C153" s="20"/>
      <c r="D153" s="20"/>
      <c r="E153" s="266"/>
      <c r="F153" s="20"/>
      <c r="G153" s="63"/>
      <c r="H153" s="63"/>
      <c r="I153" s="63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11"/>
      <c r="U153" s="20"/>
    </row>
    <row r="154" spans="1:21">
      <c r="A154" s="20"/>
      <c r="B154" s="63"/>
      <c r="C154" s="20"/>
      <c r="D154" s="20"/>
      <c r="E154" s="266"/>
      <c r="F154" s="20"/>
      <c r="G154" s="63"/>
      <c r="H154" s="63"/>
      <c r="I154" s="63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11"/>
      <c r="U154" s="20"/>
    </row>
    <row r="155" spans="1:21">
      <c r="A155" s="20"/>
      <c r="B155" s="63"/>
      <c r="C155" s="20"/>
      <c r="D155" s="20"/>
      <c r="E155" s="266"/>
      <c r="F155" s="20"/>
      <c r="G155" s="63"/>
      <c r="H155" s="63"/>
      <c r="I155" s="63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11"/>
      <c r="U155" s="20"/>
    </row>
    <row r="156" spans="1:21">
      <c r="A156" s="20"/>
      <c r="B156" s="63"/>
      <c r="C156" s="20"/>
      <c r="D156" s="20"/>
      <c r="E156" s="266"/>
      <c r="F156" s="20"/>
      <c r="G156" s="63"/>
      <c r="H156" s="63"/>
      <c r="I156" s="63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11"/>
      <c r="U156" s="20"/>
    </row>
    <row r="157" spans="1:21">
      <c r="A157" s="20"/>
      <c r="B157" s="63"/>
      <c r="C157" s="20"/>
      <c r="D157" s="20"/>
      <c r="E157" s="266"/>
      <c r="F157" s="20"/>
      <c r="G157" s="63"/>
      <c r="H157" s="63"/>
      <c r="I157" s="63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11"/>
      <c r="U157" s="20"/>
    </row>
    <row r="158" spans="1:21">
      <c r="A158" s="20"/>
      <c r="B158" s="63"/>
      <c r="C158" s="20"/>
      <c r="D158" s="20"/>
      <c r="E158" s="266"/>
      <c r="F158" s="20"/>
      <c r="G158" s="63"/>
      <c r="H158" s="63"/>
      <c r="I158" s="63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11"/>
      <c r="U158" s="20"/>
    </row>
    <row r="159" spans="1:21">
      <c r="A159" s="20"/>
      <c r="B159" s="63"/>
      <c r="C159" s="20"/>
      <c r="D159" s="20"/>
      <c r="E159" s="266"/>
      <c r="F159" s="20"/>
      <c r="G159" s="63"/>
      <c r="H159" s="63"/>
      <c r="I159" s="63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11"/>
      <c r="U159" s="20"/>
    </row>
    <row r="160" spans="1:21">
      <c r="A160" s="20"/>
      <c r="B160" s="63"/>
      <c r="C160" s="20"/>
      <c r="D160" s="20"/>
      <c r="E160" s="266"/>
      <c r="F160" s="20"/>
      <c r="G160" s="63"/>
      <c r="H160" s="63"/>
      <c r="I160" s="63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11"/>
      <c r="U160" s="20"/>
    </row>
    <row r="161" spans="1:21">
      <c r="A161" s="20"/>
      <c r="B161" s="63"/>
      <c r="C161" s="20"/>
      <c r="D161" s="20"/>
      <c r="E161" s="266"/>
      <c r="F161" s="20"/>
      <c r="G161" s="63"/>
      <c r="H161" s="63"/>
      <c r="I161" s="63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11"/>
      <c r="U161" s="20"/>
    </row>
    <row r="162" spans="1:21">
      <c r="A162" s="20"/>
      <c r="B162" s="63"/>
      <c r="C162" s="20"/>
      <c r="D162" s="20"/>
      <c r="E162" s="266"/>
      <c r="F162" s="20"/>
      <c r="G162" s="63"/>
      <c r="H162" s="63"/>
      <c r="I162" s="63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11"/>
      <c r="U162" s="20"/>
    </row>
    <row r="163" spans="1:21">
      <c r="A163" s="20"/>
      <c r="B163" s="63"/>
      <c r="C163" s="20"/>
      <c r="D163" s="20"/>
      <c r="E163" s="266"/>
      <c r="F163" s="20"/>
      <c r="G163" s="63"/>
      <c r="H163" s="63"/>
      <c r="I163" s="63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11"/>
      <c r="U163" s="20"/>
    </row>
    <row r="164" spans="1:21">
      <c r="A164" s="20"/>
      <c r="B164" s="63"/>
      <c r="C164" s="20"/>
      <c r="D164" s="20"/>
      <c r="E164" s="266"/>
      <c r="F164" s="20"/>
      <c r="G164" s="63"/>
      <c r="H164" s="63"/>
      <c r="I164" s="63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11"/>
      <c r="U164" s="20"/>
    </row>
    <row r="165" spans="1:21">
      <c r="A165" s="20"/>
      <c r="B165" s="63"/>
      <c r="C165" s="20"/>
      <c r="D165" s="20"/>
      <c r="E165" s="266"/>
      <c r="F165" s="20"/>
      <c r="G165" s="63"/>
      <c r="H165" s="63"/>
      <c r="I165" s="63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11"/>
      <c r="U165" s="20"/>
    </row>
    <row r="166" spans="1:21">
      <c r="A166" s="20"/>
      <c r="B166" s="63"/>
      <c r="C166" s="20"/>
      <c r="D166" s="20"/>
      <c r="E166" s="266"/>
      <c r="F166" s="20"/>
      <c r="G166" s="63"/>
      <c r="H166" s="63"/>
      <c r="I166" s="63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11"/>
      <c r="U166" s="20"/>
    </row>
    <row r="167" spans="1:21">
      <c r="A167" s="20"/>
      <c r="B167" s="63"/>
      <c r="C167" s="20"/>
      <c r="D167" s="20"/>
      <c r="E167" s="266"/>
      <c r="F167" s="20"/>
      <c r="G167" s="63"/>
      <c r="H167" s="63"/>
      <c r="I167" s="63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11"/>
      <c r="U167" s="20"/>
    </row>
    <row r="168" spans="1:21">
      <c r="A168" s="20"/>
      <c r="B168" s="63"/>
      <c r="C168" s="20"/>
      <c r="D168" s="20"/>
      <c r="E168" s="266"/>
      <c r="F168" s="20"/>
      <c r="G168" s="63"/>
      <c r="H168" s="63"/>
      <c r="I168" s="63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11"/>
      <c r="U168" s="20"/>
    </row>
    <row r="169" spans="1:21">
      <c r="A169" s="20"/>
      <c r="B169" s="63"/>
      <c r="C169" s="20"/>
      <c r="D169" s="20"/>
      <c r="E169" s="266"/>
      <c r="F169" s="20"/>
      <c r="G169" s="63"/>
      <c r="H169" s="63"/>
      <c r="I169" s="63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11"/>
      <c r="U169" s="20"/>
    </row>
    <row r="170" spans="1:21">
      <c r="A170" s="20"/>
      <c r="B170" s="63"/>
      <c r="C170" s="20"/>
      <c r="D170" s="20"/>
      <c r="E170" s="266"/>
      <c r="F170" s="20"/>
      <c r="G170" s="63"/>
      <c r="H170" s="63"/>
      <c r="I170" s="63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11"/>
      <c r="U170" s="20"/>
    </row>
    <row r="171" spans="1:21">
      <c r="A171" s="20"/>
      <c r="B171" s="63"/>
      <c r="C171" s="20"/>
      <c r="D171" s="20"/>
      <c r="E171" s="266"/>
      <c r="F171" s="20"/>
      <c r="G171" s="63"/>
      <c r="H171" s="63"/>
      <c r="I171" s="63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11"/>
      <c r="U171" s="20"/>
    </row>
    <row r="172" spans="1:21">
      <c r="A172" s="20"/>
      <c r="B172" s="63"/>
      <c r="C172" s="20"/>
      <c r="D172" s="20"/>
      <c r="E172" s="266"/>
      <c r="F172" s="20"/>
      <c r="G172" s="63"/>
      <c r="H172" s="63"/>
      <c r="I172" s="63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11"/>
      <c r="U172" s="20"/>
    </row>
    <row r="173" spans="1:21">
      <c r="A173" s="20"/>
      <c r="B173" s="63"/>
      <c r="C173" s="20"/>
      <c r="D173" s="20"/>
      <c r="E173" s="266"/>
      <c r="F173" s="20"/>
      <c r="G173" s="63"/>
      <c r="H173" s="63"/>
      <c r="I173" s="63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11"/>
      <c r="U173" s="20"/>
    </row>
    <row r="174" spans="1:21">
      <c r="A174" s="20"/>
      <c r="B174" s="63"/>
      <c r="C174" s="20"/>
      <c r="D174" s="20"/>
      <c r="E174" s="266"/>
      <c r="F174" s="20"/>
      <c r="G174" s="63"/>
      <c r="H174" s="63"/>
      <c r="I174" s="63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11"/>
      <c r="U174" s="20"/>
    </row>
    <row r="175" spans="1:21">
      <c r="A175" s="20"/>
      <c r="B175" s="63"/>
      <c r="C175" s="20"/>
      <c r="D175" s="20"/>
      <c r="E175" s="266"/>
      <c r="F175" s="20"/>
      <c r="G175" s="63"/>
      <c r="H175" s="63"/>
      <c r="I175" s="63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11"/>
      <c r="U175" s="20"/>
    </row>
    <row r="176" spans="1:21">
      <c r="A176" s="20"/>
      <c r="B176" s="63"/>
      <c r="C176" s="20"/>
      <c r="D176" s="20"/>
      <c r="E176" s="266"/>
      <c r="F176" s="20"/>
      <c r="G176" s="63"/>
      <c r="H176" s="63"/>
      <c r="I176" s="63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11"/>
      <c r="U176" s="20"/>
    </row>
    <row r="177" spans="1:21">
      <c r="A177" s="20"/>
      <c r="B177" s="63"/>
      <c r="C177" s="20"/>
      <c r="D177" s="20"/>
      <c r="E177" s="266"/>
      <c r="F177" s="20"/>
      <c r="G177" s="63"/>
      <c r="H177" s="63"/>
      <c r="I177" s="63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11"/>
      <c r="U177" s="20"/>
    </row>
    <row r="178" spans="1:21">
      <c r="A178" s="20"/>
      <c r="B178" s="63"/>
      <c r="C178" s="20"/>
      <c r="D178" s="20"/>
      <c r="E178" s="266"/>
      <c r="F178" s="20"/>
      <c r="G178" s="63"/>
      <c r="H178" s="63"/>
      <c r="I178" s="63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11"/>
      <c r="U178" s="20"/>
    </row>
    <row r="179" spans="1:21">
      <c r="A179" s="20"/>
      <c r="B179" s="63"/>
      <c r="C179" s="20"/>
      <c r="D179" s="20"/>
      <c r="E179" s="266"/>
      <c r="F179" s="20"/>
      <c r="G179" s="63"/>
      <c r="H179" s="63"/>
      <c r="I179" s="63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11"/>
      <c r="U179" s="20"/>
    </row>
  </sheetData>
  <dataConsolidate/>
  <mergeCells count="29">
    <mergeCell ref="A4:A5"/>
    <mergeCell ref="A6:A8"/>
    <mergeCell ref="A9:A13"/>
    <mergeCell ref="C1:K1"/>
    <mergeCell ref="W26:W27"/>
    <mergeCell ref="V26:V27"/>
    <mergeCell ref="M1:U1"/>
    <mergeCell ref="V21:W24"/>
    <mergeCell ref="V28:V32"/>
    <mergeCell ref="W28:W32"/>
    <mergeCell ref="V3:W3"/>
    <mergeCell ref="V7:W7"/>
    <mergeCell ref="V9:W13"/>
    <mergeCell ref="AF55:AK55"/>
    <mergeCell ref="X62:AC62"/>
    <mergeCell ref="A33:A35"/>
    <mergeCell ref="A45:A48"/>
    <mergeCell ref="A15:A20"/>
    <mergeCell ref="A28:A32"/>
    <mergeCell ref="A21:A24"/>
    <mergeCell ref="A26:A27"/>
    <mergeCell ref="X42:AC42"/>
    <mergeCell ref="A55:A56"/>
    <mergeCell ref="A36:A37"/>
    <mergeCell ref="A39:A40"/>
    <mergeCell ref="A41:A43"/>
    <mergeCell ref="A49:A50"/>
    <mergeCell ref="A51:A52"/>
    <mergeCell ref="A53:A54"/>
  </mergeCells>
  <conditionalFormatting sqref="T3:T56">
    <cfRule type="cellIs" dxfId="88" priority="9" operator="lessThan">
      <formula>0</formula>
    </cfRule>
  </conditionalFormatting>
  <conditionalFormatting sqref="U3:U56">
    <cfRule type="containsText" dxfId="87" priority="8" operator="containsText" text="Yes">
      <formula>NOT(ISERROR(SEARCH("Yes",U3)))</formula>
    </cfRule>
  </conditionalFormatting>
  <conditionalFormatting sqref="S3:S56">
    <cfRule type="expression" dxfId="86" priority="7">
      <formula>(S3&lt;J3)</formula>
    </cfRule>
  </conditionalFormatting>
  <conditionalFormatting sqref="Y44:AD55">
    <cfRule type="cellIs" dxfId="85" priority="6" operator="greaterThan">
      <formula>0</formula>
    </cfRule>
  </conditionalFormatting>
  <conditionalFormatting sqref="AH72:AL72">
    <cfRule type="cellIs" dxfId="84" priority="5" operator="greaterThan">
      <formula>0</formula>
    </cfRule>
  </conditionalFormatting>
  <conditionalFormatting sqref="AG57:AL68">
    <cfRule type="cellIs" dxfId="83" priority="4" operator="greaterThan">
      <formula>0</formula>
    </cfRule>
  </conditionalFormatting>
  <conditionalFormatting sqref="AD64:AD75">
    <cfRule type="cellIs" dxfId="82" priority="3" operator="greaterThan">
      <formula>0</formula>
    </cfRule>
  </conditionalFormatting>
  <conditionalFormatting sqref="Z64:AC75">
    <cfRule type="cellIs" dxfId="81" priority="2" operator="greaterThan">
      <formula>0</formula>
    </cfRule>
  </conditionalFormatting>
  <conditionalFormatting sqref="Y64:Y75">
    <cfRule type="cellIs" dxfId="80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9"/>
  <sheetViews>
    <sheetView topLeftCell="X12" zoomScaleNormal="100" workbookViewId="0">
      <selection activeCell="Y37" sqref="Y37:AE53"/>
    </sheetView>
  </sheetViews>
  <sheetFormatPr defaultColWidth="9" defaultRowHeight="12.75"/>
  <cols>
    <col min="1" max="1" width="12.140625" style="235" customWidth="1"/>
    <col min="2" max="2" width="14.28515625" style="235" customWidth="1"/>
    <col min="3" max="3" width="25.42578125" style="235" customWidth="1"/>
    <col min="4" max="4" width="14.28515625" style="235" customWidth="1"/>
    <col min="5" max="5" width="20.140625" style="58" customWidth="1"/>
    <col min="6" max="7" width="15" style="235" customWidth="1"/>
    <col min="8" max="8" width="18" style="235" customWidth="1"/>
    <col min="9" max="9" width="21.5703125" style="58" customWidth="1"/>
    <col min="10" max="10" width="16.7109375" style="61" customWidth="1"/>
    <col min="11" max="11" width="16.140625" style="58" customWidth="1"/>
    <col min="12" max="12" width="18" style="58" customWidth="1"/>
    <col min="13" max="13" width="25.42578125" style="235" customWidth="1"/>
    <col min="14" max="14" width="14.7109375" style="235" customWidth="1"/>
    <col min="15" max="15" width="16.42578125" style="235" customWidth="1"/>
    <col min="16" max="16" width="15.85546875" style="235" customWidth="1"/>
    <col min="17" max="17" width="18" style="235" customWidth="1"/>
    <col min="18" max="18" width="16.7109375" style="235" customWidth="1"/>
    <col min="19" max="19" width="29.7109375" style="235" customWidth="1"/>
    <col min="20" max="20" width="30.42578125" style="235" customWidth="1"/>
    <col min="21" max="21" width="21" style="235" customWidth="1"/>
    <col min="22" max="22" width="30.42578125" style="235" customWidth="1"/>
    <col min="23" max="23" width="27.42578125" style="235" customWidth="1"/>
    <col min="24" max="25" width="22" style="235" customWidth="1"/>
    <col min="26" max="26" width="21.5703125" style="235" customWidth="1"/>
    <col min="27" max="16384" width="9" style="235"/>
  </cols>
  <sheetData>
    <row r="1" spans="1:44">
      <c r="A1" s="184"/>
      <c r="B1" s="185"/>
      <c r="C1" s="572" t="s">
        <v>450</v>
      </c>
      <c r="D1" s="573"/>
      <c r="E1" s="573"/>
      <c r="F1" s="573"/>
      <c r="G1" s="573"/>
      <c r="H1" s="573"/>
      <c r="I1" s="573"/>
      <c r="J1" s="573"/>
      <c r="K1" s="574"/>
      <c r="L1" s="325"/>
      <c r="M1" s="570" t="s">
        <v>449</v>
      </c>
      <c r="N1" s="571"/>
      <c r="O1" s="571"/>
      <c r="P1" s="571"/>
      <c r="Q1" s="571"/>
      <c r="R1" s="571"/>
      <c r="S1" s="571"/>
      <c r="T1" s="571"/>
      <c r="U1" s="623"/>
      <c r="V1" s="7"/>
      <c r="W1" s="7"/>
    </row>
    <row r="2" spans="1:44" ht="13.5" thickBot="1">
      <c r="A2" s="184" t="s">
        <v>448</v>
      </c>
      <c r="B2" s="183" t="s">
        <v>447</v>
      </c>
      <c r="C2" s="182" t="s">
        <v>446</v>
      </c>
      <c r="D2" s="181" t="s">
        <v>34</v>
      </c>
      <c r="E2" s="181" t="s">
        <v>463</v>
      </c>
      <c r="F2" s="181" t="s">
        <v>445</v>
      </c>
      <c r="G2" s="181" t="s">
        <v>456</v>
      </c>
      <c r="H2" s="181" t="s">
        <v>457</v>
      </c>
      <c r="I2" s="181" t="s">
        <v>464</v>
      </c>
      <c r="J2" s="181" t="s">
        <v>33</v>
      </c>
      <c r="K2" s="180" t="s">
        <v>442</v>
      </c>
      <c r="L2" s="231" t="s">
        <v>455</v>
      </c>
      <c r="M2" s="179" t="s">
        <v>444</v>
      </c>
      <c r="N2" s="179" t="s">
        <v>34</v>
      </c>
      <c r="O2" s="179" t="s">
        <v>41</v>
      </c>
      <c r="P2" s="178" t="s">
        <v>443</v>
      </c>
      <c r="Q2" s="177" t="s">
        <v>456</v>
      </c>
      <c r="R2" s="250" t="s">
        <v>458</v>
      </c>
      <c r="S2" s="177" t="s">
        <v>33</v>
      </c>
      <c r="T2" s="179" t="s">
        <v>442</v>
      </c>
      <c r="U2" s="222" t="s">
        <v>454</v>
      </c>
      <c r="V2" s="221" t="s">
        <v>438</v>
      </c>
      <c r="W2" s="328" t="s">
        <v>453</v>
      </c>
    </row>
    <row r="3" spans="1:44" ht="13.5" thickBot="1">
      <c r="A3" s="151" t="s">
        <v>436</v>
      </c>
      <c r="B3" s="172" t="s">
        <v>435</v>
      </c>
      <c r="C3" s="171" t="s">
        <v>434</v>
      </c>
      <c r="D3" s="170">
        <v>386.9</v>
      </c>
      <c r="E3" s="82">
        <f>IF(D3&lt;135,300, IF(AND(D3&gt;135,D3&lt;288),250, IF(AND(D3&gt;288,D3&lt;537),200,IF(AND(D3&gt;537,D3&lt;1096),150,100))))</f>
        <v>200</v>
      </c>
      <c r="F3" s="170">
        <v>131.95400000000001</v>
      </c>
      <c r="G3" s="82">
        <v>2.5</v>
      </c>
      <c r="H3" s="82">
        <f>G3*F3</f>
        <v>329.88499999999999</v>
      </c>
      <c r="I3" s="81">
        <f>CEILING(H3/(0.84*E3),1)</f>
        <v>2</v>
      </c>
      <c r="J3" s="269">
        <f t="shared" ref="J3:J13" si="0">E3*I3</f>
        <v>400</v>
      </c>
      <c r="K3" s="81">
        <f t="shared" ref="K3:K56" si="1">J3-H3</f>
        <v>70.115000000000009</v>
      </c>
      <c r="L3" s="82">
        <f>H3/J3 * 100</f>
        <v>82.471249999999998</v>
      </c>
      <c r="M3" s="168" t="s">
        <v>433</v>
      </c>
      <c r="N3" s="168">
        <v>598.85</v>
      </c>
      <c r="O3" s="168">
        <f>IF(N3&lt;135,300, IF(AND(N3&gt;135,N3&lt;288),250, IF(AND(N3&gt;288,N3&lt;537),200,IF(AND(N3&gt;537,N3&lt;1096),150,100))))</f>
        <v>150</v>
      </c>
      <c r="P3" s="168">
        <f>F3</f>
        <v>131.95400000000001</v>
      </c>
      <c r="Q3" s="79">
        <v>2.5</v>
      </c>
      <c r="R3" s="79">
        <f>P3*Q3</f>
        <v>329.88499999999999</v>
      </c>
      <c r="S3" s="168">
        <f t="shared" ref="S3:S13" si="2">O3*I3</f>
        <v>300</v>
      </c>
      <c r="T3" s="228">
        <f t="shared" ref="T3:T13" si="3">S3-R3</f>
        <v>-29.884999999999991</v>
      </c>
      <c r="U3" s="216" t="str">
        <f t="shared" ref="U3:U13" si="4">IF(T3&gt;=0,"No","Yes")</f>
        <v>Yes</v>
      </c>
      <c r="V3" s="400" t="s">
        <v>22</v>
      </c>
      <c r="W3" s="401">
        <v>31</v>
      </c>
    </row>
    <row r="4" spans="1:44" ht="13.5" thickBot="1">
      <c r="A4" s="575" t="s">
        <v>44</v>
      </c>
      <c r="B4" s="165" t="s">
        <v>3</v>
      </c>
      <c r="C4" s="164" t="s">
        <v>44</v>
      </c>
      <c r="D4" s="163">
        <v>424.31</v>
      </c>
      <c r="E4" s="243">
        <f t="shared" ref="E4:E56" si="5">IF(D4&lt;135,300, IF(AND(D4&gt;135,D4&lt;288),250, IF(AND(D4&gt;288,D4&lt;537),200,IF(AND(D4&gt;537,D4&lt;1096),150,100))))</f>
        <v>200</v>
      </c>
      <c r="F4" s="163">
        <v>79.758499999999998</v>
      </c>
      <c r="G4" s="82">
        <v>2.5</v>
      </c>
      <c r="H4" s="82">
        <f t="shared" ref="H4:H56" si="6">G4*F4</f>
        <v>199.39625000000001</v>
      </c>
      <c r="I4" s="81">
        <f t="shared" ref="I4:I56" si="7">CEILING(H4/(0.84*E4),1)</f>
        <v>2</v>
      </c>
      <c r="J4" s="270">
        <f t="shared" si="0"/>
        <v>400</v>
      </c>
      <c r="K4" s="81">
        <f t="shared" si="1"/>
        <v>200.60374999999999</v>
      </c>
      <c r="L4" s="82">
        <f t="shared" ref="L4:L56" si="8">H4/J4 * 100</f>
        <v>49.849062500000002</v>
      </c>
      <c r="M4" s="161" t="s">
        <v>432</v>
      </c>
      <c r="N4" s="162">
        <v>561.44000000000005</v>
      </c>
      <c r="O4" s="168">
        <f t="shared" ref="O4:O56" si="9">IF(N4&lt;135,300, IF(AND(N4&gt;135,N4&lt;288),250, IF(AND(N4&gt;288,N4&lt;537),200,IF(AND(N4&gt;537,N4&lt;1096),150,100))))</f>
        <v>150</v>
      </c>
      <c r="P4" s="168">
        <f t="shared" ref="P4:P13" si="10">F4</f>
        <v>79.758499999999998</v>
      </c>
      <c r="Q4" s="79">
        <v>2.5</v>
      </c>
      <c r="R4" s="251">
        <f t="shared" ref="R4:R56" si="11">P4*Q4</f>
        <v>199.39625000000001</v>
      </c>
      <c r="S4" s="168">
        <f t="shared" si="2"/>
        <v>300</v>
      </c>
      <c r="T4" s="228">
        <f t="shared" si="3"/>
        <v>100.60374999999999</v>
      </c>
      <c r="U4" s="216" t="str">
        <f t="shared" si="4"/>
        <v>No</v>
      </c>
      <c r="V4" s="329"/>
      <c r="W4" s="329"/>
    </row>
    <row r="5" spans="1:44" ht="13.5" thickBot="1">
      <c r="A5" s="564"/>
      <c r="B5" s="62" t="s">
        <v>25</v>
      </c>
      <c r="C5" s="111" t="s">
        <v>65</v>
      </c>
      <c r="D5" s="92">
        <v>645.40499999999997</v>
      </c>
      <c r="E5" s="245">
        <f t="shared" si="5"/>
        <v>150</v>
      </c>
      <c r="F5" s="92">
        <v>101.52370000000001</v>
      </c>
      <c r="G5" s="82">
        <v>2.5</v>
      </c>
      <c r="H5" s="92">
        <f t="shared" si="6"/>
        <v>253.80925000000002</v>
      </c>
      <c r="I5" s="81">
        <f t="shared" si="7"/>
        <v>3</v>
      </c>
      <c r="J5" s="274">
        <f t="shared" si="0"/>
        <v>450</v>
      </c>
      <c r="K5" s="81">
        <f t="shared" si="1"/>
        <v>196.19074999999998</v>
      </c>
      <c r="L5" s="82">
        <f t="shared" si="8"/>
        <v>56.402055555555563</v>
      </c>
      <c r="M5" s="88" t="s">
        <v>427</v>
      </c>
      <c r="N5" s="90">
        <v>691.82</v>
      </c>
      <c r="O5" s="168">
        <f t="shared" si="9"/>
        <v>150</v>
      </c>
      <c r="P5" s="168">
        <f t="shared" si="10"/>
        <v>101.52370000000001</v>
      </c>
      <c r="Q5" s="79">
        <v>2.5</v>
      </c>
      <c r="R5" s="252">
        <f t="shared" si="11"/>
        <v>253.80925000000002</v>
      </c>
      <c r="S5" s="168">
        <f t="shared" si="2"/>
        <v>450</v>
      </c>
      <c r="T5" s="228">
        <f t="shared" si="3"/>
        <v>196.19074999999998</v>
      </c>
      <c r="U5" s="216" t="str">
        <f t="shared" si="4"/>
        <v>No</v>
      </c>
    </row>
    <row r="6" spans="1:44" ht="15" customHeight="1" thickBot="1">
      <c r="A6" s="562" t="s">
        <v>431</v>
      </c>
      <c r="B6" s="84" t="s">
        <v>430</v>
      </c>
      <c r="C6" s="83" t="s">
        <v>390</v>
      </c>
      <c r="D6" s="82">
        <v>774.56</v>
      </c>
      <c r="E6" s="243">
        <f t="shared" si="5"/>
        <v>150</v>
      </c>
      <c r="F6" s="82">
        <v>593.39</v>
      </c>
      <c r="G6" s="82">
        <v>2.5</v>
      </c>
      <c r="H6" s="82">
        <f t="shared" si="6"/>
        <v>1483.4749999999999</v>
      </c>
      <c r="I6" s="81">
        <f t="shared" si="7"/>
        <v>12</v>
      </c>
      <c r="J6" s="270">
        <f t="shared" si="0"/>
        <v>1800</v>
      </c>
      <c r="K6" s="81">
        <f t="shared" si="1"/>
        <v>316.52500000000009</v>
      </c>
      <c r="L6" s="82">
        <f t="shared" si="8"/>
        <v>82.415277777777774</v>
      </c>
      <c r="M6" s="98" t="s">
        <v>429</v>
      </c>
      <c r="N6" s="80">
        <v>778.62</v>
      </c>
      <c r="O6" s="168">
        <f t="shared" si="9"/>
        <v>150</v>
      </c>
      <c r="P6" s="168">
        <f t="shared" si="10"/>
        <v>593.39</v>
      </c>
      <c r="Q6" s="79">
        <v>2.5</v>
      </c>
      <c r="R6" s="251">
        <f t="shared" si="11"/>
        <v>1483.4749999999999</v>
      </c>
      <c r="S6" s="168">
        <f t="shared" si="2"/>
        <v>1800</v>
      </c>
      <c r="T6" s="228">
        <f t="shared" si="3"/>
        <v>316.52500000000009</v>
      </c>
      <c r="U6" s="216" t="str">
        <f t="shared" si="4"/>
        <v>No</v>
      </c>
      <c r="V6" s="614" t="s">
        <v>351</v>
      </c>
      <c r="W6" s="615"/>
    </row>
    <row r="7" spans="1:44" ht="13.5" thickBot="1">
      <c r="A7" s="564"/>
      <c r="B7" s="94" t="s">
        <v>4</v>
      </c>
      <c r="C7" s="93" t="s">
        <v>45</v>
      </c>
      <c r="D7" s="105">
        <v>221.095</v>
      </c>
      <c r="E7" s="245">
        <f t="shared" si="5"/>
        <v>250</v>
      </c>
      <c r="F7" s="105">
        <v>165.54</v>
      </c>
      <c r="G7" s="82">
        <v>2.5</v>
      </c>
      <c r="H7" s="92">
        <f t="shared" si="6"/>
        <v>413.84999999999997</v>
      </c>
      <c r="I7" s="81">
        <f t="shared" si="7"/>
        <v>2</v>
      </c>
      <c r="J7" s="274">
        <f t="shared" si="0"/>
        <v>500</v>
      </c>
      <c r="K7" s="81">
        <f t="shared" si="1"/>
        <v>86.150000000000034</v>
      </c>
      <c r="L7" s="82">
        <f t="shared" si="8"/>
        <v>82.769999999999982</v>
      </c>
      <c r="M7" s="99" t="s">
        <v>428</v>
      </c>
      <c r="N7" s="104">
        <v>904.18</v>
      </c>
      <c r="O7" s="168">
        <f t="shared" si="9"/>
        <v>150</v>
      </c>
      <c r="P7" s="168">
        <f t="shared" si="10"/>
        <v>165.54</v>
      </c>
      <c r="Q7" s="79">
        <v>2.5</v>
      </c>
      <c r="R7" s="252">
        <f t="shared" si="11"/>
        <v>413.84999999999997</v>
      </c>
      <c r="S7" s="168">
        <f t="shared" si="2"/>
        <v>300</v>
      </c>
      <c r="T7" s="228">
        <f t="shared" si="3"/>
        <v>-113.84999999999997</v>
      </c>
      <c r="U7" s="216" t="str">
        <f t="shared" si="4"/>
        <v>Yes</v>
      </c>
      <c r="V7" s="616"/>
      <c r="W7" s="617"/>
    </row>
    <row r="8" spans="1:44" ht="13.5" thickBot="1">
      <c r="A8" s="564"/>
      <c r="B8" s="94" t="s">
        <v>25</v>
      </c>
      <c r="C8" s="93" t="s">
        <v>65</v>
      </c>
      <c r="D8" s="92">
        <v>645.40499999999997</v>
      </c>
      <c r="E8" s="245">
        <f t="shared" si="5"/>
        <v>150</v>
      </c>
      <c r="F8" s="92">
        <v>101.52370000000001</v>
      </c>
      <c r="G8" s="82">
        <v>2.5</v>
      </c>
      <c r="H8" s="92">
        <f t="shared" si="6"/>
        <v>253.80925000000002</v>
      </c>
      <c r="I8" s="81">
        <f t="shared" si="7"/>
        <v>3</v>
      </c>
      <c r="J8" s="274">
        <f t="shared" si="0"/>
        <v>450</v>
      </c>
      <c r="K8" s="81">
        <f t="shared" si="1"/>
        <v>196.19074999999998</v>
      </c>
      <c r="L8" s="82">
        <f t="shared" si="8"/>
        <v>56.402055555555563</v>
      </c>
      <c r="M8" s="88" t="s">
        <v>427</v>
      </c>
      <c r="N8" s="90">
        <v>691.82</v>
      </c>
      <c r="O8" s="168">
        <f t="shared" si="9"/>
        <v>150</v>
      </c>
      <c r="P8" s="168">
        <f t="shared" si="10"/>
        <v>101.52370000000001</v>
      </c>
      <c r="Q8" s="79">
        <v>2.5</v>
      </c>
      <c r="R8" s="252">
        <f t="shared" si="11"/>
        <v>253.80925000000002</v>
      </c>
      <c r="S8" s="168">
        <f t="shared" si="2"/>
        <v>450</v>
      </c>
      <c r="T8" s="228">
        <f t="shared" si="3"/>
        <v>196.19074999999998</v>
      </c>
      <c r="U8" s="216" t="str">
        <f t="shared" si="4"/>
        <v>No</v>
      </c>
      <c r="V8" s="618"/>
      <c r="W8" s="619"/>
      <c r="AO8" s="484" t="s">
        <v>452</v>
      </c>
      <c r="AP8" s="485"/>
      <c r="AQ8" s="265"/>
      <c r="AR8" s="259"/>
    </row>
    <row r="9" spans="1:44" ht="13.5" thickBot="1">
      <c r="A9" s="562" t="s">
        <v>46</v>
      </c>
      <c r="B9" s="84" t="s">
        <v>5</v>
      </c>
      <c r="C9" s="83" t="s">
        <v>46</v>
      </c>
      <c r="D9" s="82">
        <v>87.444999999999993</v>
      </c>
      <c r="E9" s="243">
        <f t="shared" si="5"/>
        <v>300</v>
      </c>
      <c r="F9" s="82">
        <v>330.03719999999998</v>
      </c>
      <c r="G9" s="82">
        <v>2.5</v>
      </c>
      <c r="H9" s="82">
        <f t="shared" si="6"/>
        <v>825.09299999999996</v>
      </c>
      <c r="I9" s="81">
        <f t="shared" si="7"/>
        <v>4</v>
      </c>
      <c r="J9" s="270">
        <f t="shared" si="0"/>
        <v>1200</v>
      </c>
      <c r="K9" s="81">
        <f t="shared" si="1"/>
        <v>374.90700000000004</v>
      </c>
      <c r="L9" s="82">
        <f t="shared" si="8"/>
        <v>68.757750000000001</v>
      </c>
      <c r="M9" s="98" t="s">
        <v>426</v>
      </c>
      <c r="N9" s="80">
        <v>243.73500000000001</v>
      </c>
      <c r="O9" s="168">
        <f t="shared" si="9"/>
        <v>250</v>
      </c>
      <c r="P9" s="168">
        <f t="shared" si="10"/>
        <v>330.03719999999998</v>
      </c>
      <c r="Q9" s="79">
        <v>2.5</v>
      </c>
      <c r="R9" s="251">
        <f t="shared" si="11"/>
        <v>825.09299999999996</v>
      </c>
      <c r="S9" s="168">
        <f t="shared" si="2"/>
        <v>1000</v>
      </c>
      <c r="T9" s="228">
        <f t="shared" si="3"/>
        <v>174.90700000000004</v>
      </c>
      <c r="U9" s="216" t="str">
        <f t="shared" si="4"/>
        <v>No</v>
      </c>
      <c r="V9" s="220"/>
      <c r="W9" s="202"/>
      <c r="AO9" s="87"/>
      <c r="AP9" s="266"/>
      <c r="AQ9" s="266"/>
      <c r="AR9" s="97"/>
    </row>
    <row r="10" spans="1:44" ht="13.5" thickBot="1">
      <c r="A10" s="564"/>
      <c r="B10" s="94" t="s">
        <v>7</v>
      </c>
      <c r="C10" s="93" t="s">
        <v>48</v>
      </c>
      <c r="D10" s="105">
        <v>457.755</v>
      </c>
      <c r="E10" s="245">
        <f t="shared" si="5"/>
        <v>200</v>
      </c>
      <c r="F10" s="105">
        <v>200.11</v>
      </c>
      <c r="G10" s="82">
        <v>2.5</v>
      </c>
      <c r="H10" s="92">
        <f t="shared" si="6"/>
        <v>500.27500000000003</v>
      </c>
      <c r="I10" s="81">
        <f t="shared" si="7"/>
        <v>3</v>
      </c>
      <c r="J10" s="274">
        <f t="shared" si="0"/>
        <v>600</v>
      </c>
      <c r="K10" s="81">
        <f t="shared" si="1"/>
        <v>99.724999999999966</v>
      </c>
      <c r="L10" s="82">
        <f t="shared" si="8"/>
        <v>83.379166666666677</v>
      </c>
      <c r="M10" s="99" t="s">
        <v>425</v>
      </c>
      <c r="N10" s="104">
        <v>614.06500000000005</v>
      </c>
      <c r="O10" s="168">
        <f t="shared" si="9"/>
        <v>150</v>
      </c>
      <c r="P10" s="168">
        <f t="shared" si="10"/>
        <v>200.11</v>
      </c>
      <c r="Q10" s="79">
        <v>2.5</v>
      </c>
      <c r="R10" s="252">
        <f t="shared" si="11"/>
        <v>500.27500000000003</v>
      </c>
      <c r="S10" s="168">
        <f t="shared" si="2"/>
        <v>450</v>
      </c>
      <c r="T10" s="228">
        <f t="shared" si="3"/>
        <v>-50.275000000000034</v>
      </c>
      <c r="U10" s="216" t="str">
        <f t="shared" si="4"/>
        <v>Yes</v>
      </c>
      <c r="V10" s="219" t="s">
        <v>22</v>
      </c>
      <c r="W10" s="408">
        <v>25</v>
      </c>
      <c r="AO10" s="256" t="s">
        <v>388</v>
      </c>
      <c r="AP10" s="483" t="s">
        <v>387</v>
      </c>
      <c r="AQ10" s="184" t="s">
        <v>466</v>
      </c>
      <c r="AR10" s="257" t="s">
        <v>386</v>
      </c>
    </row>
    <row r="11" spans="1:44" ht="13.5" thickBot="1">
      <c r="A11" s="564"/>
      <c r="B11" s="94" t="s">
        <v>8</v>
      </c>
      <c r="C11" s="93" t="s">
        <v>74</v>
      </c>
      <c r="D11" s="105">
        <v>632.29</v>
      </c>
      <c r="E11" s="245">
        <f t="shared" si="5"/>
        <v>150</v>
      </c>
      <c r="F11" s="105">
        <v>416.14780000000002</v>
      </c>
      <c r="G11" s="82">
        <v>2.5</v>
      </c>
      <c r="H11" s="92">
        <f t="shared" si="6"/>
        <v>1040.3695</v>
      </c>
      <c r="I11" s="81">
        <f t="shared" si="7"/>
        <v>9</v>
      </c>
      <c r="J11" s="274">
        <f t="shared" si="0"/>
        <v>1350</v>
      </c>
      <c r="K11" s="81">
        <f t="shared" si="1"/>
        <v>309.63049999999998</v>
      </c>
      <c r="L11" s="82">
        <f t="shared" si="8"/>
        <v>77.064407407407415</v>
      </c>
      <c r="M11" s="99" t="s">
        <v>424</v>
      </c>
      <c r="N11" s="104">
        <v>692.19500000000005</v>
      </c>
      <c r="O11" s="168">
        <f t="shared" si="9"/>
        <v>150</v>
      </c>
      <c r="P11" s="168">
        <f t="shared" si="10"/>
        <v>416.14780000000002</v>
      </c>
      <c r="Q11" s="79">
        <v>2.5</v>
      </c>
      <c r="R11" s="252">
        <f t="shared" si="11"/>
        <v>1040.3695</v>
      </c>
      <c r="S11" s="168">
        <f t="shared" si="2"/>
        <v>1350</v>
      </c>
      <c r="T11" s="228">
        <f t="shared" si="3"/>
        <v>309.63049999999998</v>
      </c>
      <c r="U11" s="216" t="str">
        <f t="shared" si="4"/>
        <v>No</v>
      </c>
      <c r="V11" s="219"/>
      <c r="W11" s="408"/>
      <c r="AO11" s="157" t="s">
        <v>2</v>
      </c>
      <c r="AP11" s="156">
        <v>189</v>
      </c>
      <c r="AQ11" s="156"/>
      <c r="AR11" s="97"/>
    </row>
    <row r="12" spans="1:44" ht="13.5" thickBot="1">
      <c r="A12" s="564"/>
      <c r="B12" s="94" t="s">
        <v>12</v>
      </c>
      <c r="C12" s="93" t="s">
        <v>52</v>
      </c>
      <c r="D12" s="105">
        <v>428.91</v>
      </c>
      <c r="E12" s="245">
        <f t="shared" si="5"/>
        <v>200</v>
      </c>
      <c r="F12" s="105">
        <v>320.77999999999997</v>
      </c>
      <c r="G12" s="82">
        <v>2.5</v>
      </c>
      <c r="H12" s="92">
        <f t="shared" si="6"/>
        <v>801.94999999999993</v>
      </c>
      <c r="I12" s="81">
        <f t="shared" si="7"/>
        <v>5</v>
      </c>
      <c r="J12" s="274">
        <f t="shared" si="0"/>
        <v>1000</v>
      </c>
      <c r="K12" s="81">
        <f t="shared" si="1"/>
        <v>198.05000000000007</v>
      </c>
      <c r="L12" s="82">
        <f t="shared" si="8"/>
        <v>80.194999999999993</v>
      </c>
      <c r="M12" s="99" t="s">
        <v>418</v>
      </c>
      <c r="N12" s="104">
        <v>440.09</v>
      </c>
      <c r="O12" s="168">
        <f t="shared" si="9"/>
        <v>200</v>
      </c>
      <c r="P12" s="168">
        <f t="shared" si="10"/>
        <v>320.77999999999997</v>
      </c>
      <c r="Q12" s="79">
        <v>2.5</v>
      </c>
      <c r="R12" s="252">
        <f t="shared" si="11"/>
        <v>801.94999999999993</v>
      </c>
      <c r="S12" s="168">
        <f t="shared" si="2"/>
        <v>1000</v>
      </c>
      <c r="T12" s="228">
        <f t="shared" si="3"/>
        <v>198.05000000000007</v>
      </c>
      <c r="U12" s="216" t="str">
        <f t="shared" si="4"/>
        <v>No</v>
      </c>
      <c r="V12" s="219"/>
      <c r="W12" s="408"/>
      <c r="AO12" s="157" t="s">
        <v>486</v>
      </c>
      <c r="AP12" s="156">
        <v>159.5</v>
      </c>
      <c r="AQ12" s="156"/>
      <c r="AR12" s="97"/>
    </row>
    <row r="13" spans="1:44" ht="13.5" thickBot="1">
      <c r="A13" s="564"/>
      <c r="B13" s="94" t="s">
        <v>394</v>
      </c>
      <c r="C13" s="93" t="s">
        <v>63</v>
      </c>
      <c r="D13" s="92">
        <v>530.30999999999995</v>
      </c>
      <c r="E13" s="244">
        <f t="shared" si="5"/>
        <v>200</v>
      </c>
      <c r="F13" s="92">
        <v>22.35</v>
      </c>
      <c r="G13" s="82">
        <v>2.5</v>
      </c>
      <c r="H13" s="72">
        <f t="shared" si="6"/>
        <v>55.875</v>
      </c>
      <c r="I13" s="81">
        <f t="shared" si="7"/>
        <v>1</v>
      </c>
      <c r="J13" s="272">
        <f t="shared" si="0"/>
        <v>200</v>
      </c>
      <c r="K13" s="81">
        <f t="shared" si="1"/>
        <v>144.125</v>
      </c>
      <c r="L13" s="82">
        <f t="shared" si="8"/>
        <v>27.9375</v>
      </c>
      <c r="M13" s="88" t="s">
        <v>416</v>
      </c>
      <c r="N13" s="90">
        <v>541.49</v>
      </c>
      <c r="O13" s="168">
        <f t="shared" si="9"/>
        <v>150</v>
      </c>
      <c r="P13" s="168">
        <f t="shared" si="10"/>
        <v>22.35</v>
      </c>
      <c r="Q13" s="79">
        <v>2.5</v>
      </c>
      <c r="R13" s="253">
        <f t="shared" si="11"/>
        <v>55.875</v>
      </c>
      <c r="S13" s="168">
        <f t="shared" si="2"/>
        <v>150</v>
      </c>
      <c r="T13" s="228">
        <f t="shared" si="3"/>
        <v>94.125</v>
      </c>
      <c r="U13" s="216" t="str">
        <f t="shared" si="4"/>
        <v>No</v>
      </c>
      <c r="V13" s="218"/>
      <c r="W13" s="217"/>
      <c r="AO13" s="157" t="s">
        <v>22</v>
      </c>
      <c r="AP13" s="156">
        <v>210</v>
      </c>
      <c r="AQ13" s="156"/>
      <c r="AR13" s="97"/>
    </row>
    <row r="14" spans="1:44" ht="13.5" thickBot="1">
      <c r="A14" s="324" t="s">
        <v>424</v>
      </c>
      <c r="B14" s="84" t="s">
        <v>351</v>
      </c>
      <c r="C14" s="150"/>
      <c r="D14" s="82"/>
      <c r="E14" s="92">
        <f t="shared" si="5"/>
        <v>300</v>
      </c>
      <c r="F14" s="82"/>
      <c r="G14" s="82">
        <v>2.5</v>
      </c>
      <c r="H14" s="92">
        <f t="shared" si="6"/>
        <v>0</v>
      </c>
      <c r="I14" s="81">
        <f t="shared" si="7"/>
        <v>0</v>
      </c>
      <c r="J14" s="268"/>
      <c r="K14" s="81">
        <f t="shared" si="1"/>
        <v>0</v>
      </c>
      <c r="L14" s="82"/>
      <c r="M14" s="80"/>
      <c r="N14" s="80"/>
      <c r="O14" s="168">
        <f t="shared" si="9"/>
        <v>300</v>
      </c>
      <c r="P14" s="80"/>
      <c r="Q14" s="79">
        <v>2.5</v>
      </c>
      <c r="R14" s="89">
        <f t="shared" si="11"/>
        <v>0</v>
      </c>
      <c r="S14" s="80"/>
      <c r="T14" s="191"/>
      <c r="U14" s="80"/>
      <c r="V14" s="215"/>
      <c r="W14" s="323"/>
      <c r="AO14" s="157" t="s">
        <v>487</v>
      </c>
      <c r="AP14" s="156">
        <v>65</v>
      </c>
      <c r="AQ14" s="156"/>
      <c r="AR14" s="97"/>
    </row>
    <row r="15" spans="1:44" ht="13.5" thickBot="1">
      <c r="A15" s="562" t="s">
        <v>49</v>
      </c>
      <c r="B15" s="84" t="s">
        <v>423</v>
      </c>
      <c r="C15" s="83" t="s">
        <v>47</v>
      </c>
      <c r="D15" s="82">
        <v>341.36500000000001</v>
      </c>
      <c r="E15" s="243">
        <f t="shared" si="5"/>
        <v>200</v>
      </c>
      <c r="F15" s="82">
        <v>414.50749999999999</v>
      </c>
      <c r="G15" s="82">
        <v>2.5</v>
      </c>
      <c r="H15" s="82">
        <f t="shared" si="6"/>
        <v>1036.26875</v>
      </c>
      <c r="I15" s="81">
        <f t="shared" si="7"/>
        <v>7</v>
      </c>
      <c r="J15" s="270">
        <f t="shared" ref="J15:J24" si="12">I15*E15</f>
        <v>1400</v>
      </c>
      <c r="K15" s="81">
        <f t="shared" si="1"/>
        <v>363.73125000000005</v>
      </c>
      <c r="L15" s="82">
        <f t="shared" si="8"/>
        <v>74.019196428571419</v>
      </c>
      <c r="M15" s="98" t="s">
        <v>422</v>
      </c>
      <c r="N15" s="80">
        <v>527.53499999999997</v>
      </c>
      <c r="O15" s="168">
        <f t="shared" si="9"/>
        <v>200</v>
      </c>
      <c r="P15" s="80">
        <f>F15</f>
        <v>414.50749999999999</v>
      </c>
      <c r="Q15" s="79">
        <v>2.5</v>
      </c>
      <c r="R15" s="251">
        <f t="shared" si="11"/>
        <v>1036.26875</v>
      </c>
      <c r="S15" s="80">
        <f t="shared" ref="S15:S24" si="13">O15*I15</f>
        <v>1400</v>
      </c>
      <c r="T15" s="188">
        <f t="shared" ref="T15:T24" si="14">S15-R15</f>
        <v>363.73125000000005</v>
      </c>
      <c r="U15" s="79" t="str">
        <f t="shared" ref="U15:U24" si="15">IF(T15&gt;=0,"No","Yes")</f>
        <v>No</v>
      </c>
      <c r="V15" s="59"/>
      <c r="W15" s="85"/>
      <c r="AO15" s="157" t="s">
        <v>461</v>
      </c>
      <c r="AP15" s="156">
        <f>119.5+ 210</f>
        <v>329.5</v>
      </c>
      <c r="AQ15" s="156"/>
      <c r="AR15" s="97"/>
    </row>
    <row r="16" spans="1:44" ht="13.5" thickBot="1">
      <c r="A16" s="564"/>
      <c r="B16" s="94" t="s">
        <v>9</v>
      </c>
      <c r="C16" s="93" t="s">
        <v>421</v>
      </c>
      <c r="D16" s="105">
        <v>72.555000000000007</v>
      </c>
      <c r="E16" s="245">
        <f t="shared" si="5"/>
        <v>300</v>
      </c>
      <c r="F16" s="105">
        <v>249.06020000000001</v>
      </c>
      <c r="G16" s="82">
        <v>2.5</v>
      </c>
      <c r="H16" s="92">
        <f t="shared" si="6"/>
        <v>622.65049999999997</v>
      </c>
      <c r="I16" s="81">
        <f t="shared" si="7"/>
        <v>3</v>
      </c>
      <c r="J16" s="274">
        <f t="shared" si="12"/>
        <v>900</v>
      </c>
      <c r="K16" s="81">
        <f t="shared" si="1"/>
        <v>277.34950000000003</v>
      </c>
      <c r="L16" s="82">
        <f t="shared" si="8"/>
        <v>69.183388888888885</v>
      </c>
      <c r="M16" s="99" t="s">
        <v>420</v>
      </c>
      <c r="N16" s="104">
        <v>258.625</v>
      </c>
      <c r="O16" s="168">
        <f t="shared" si="9"/>
        <v>250</v>
      </c>
      <c r="P16" s="80">
        <f t="shared" ref="P16:P24" si="16">F16</f>
        <v>249.06020000000001</v>
      </c>
      <c r="Q16" s="79">
        <v>2.5</v>
      </c>
      <c r="R16" s="252">
        <f t="shared" si="11"/>
        <v>622.65049999999997</v>
      </c>
      <c r="S16" s="80">
        <f t="shared" si="13"/>
        <v>750</v>
      </c>
      <c r="T16" s="188">
        <f t="shared" si="14"/>
        <v>127.34950000000003</v>
      </c>
      <c r="U16" s="79" t="str">
        <f t="shared" si="15"/>
        <v>No</v>
      </c>
      <c r="V16" s="59"/>
      <c r="W16" s="95"/>
      <c r="AO16" s="157" t="s">
        <v>394</v>
      </c>
      <c r="AP16" s="156">
        <f>115+139</f>
        <v>254</v>
      </c>
      <c r="AQ16" s="156"/>
      <c r="AR16" s="97"/>
    </row>
    <row r="17" spans="1:44" ht="13.5" thickBot="1">
      <c r="A17" s="564"/>
      <c r="B17" s="94" t="s">
        <v>10</v>
      </c>
      <c r="C17" s="93" t="s">
        <v>384</v>
      </c>
      <c r="D17" s="105">
        <v>894.93</v>
      </c>
      <c r="E17" s="245">
        <f t="shared" si="5"/>
        <v>150</v>
      </c>
      <c r="F17" s="105">
        <v>185.4342</v>
      </c>
      <c r="G17" s="82">
        <v>2.5</v>
      </c>
      <c r="H17" s="92">
        <f t="shared" si="6"/>
        <v>463.58550000000002</v>
      </c>
      <c r="I17" s="81">
        <f t="shared" si="7"/>
        <v>4</v>
      </c>
      <c r="J17" s="274">
        <f t="shared" si="12"/>
        <v>600</v>
      </c>
      <c r="K17" s="81">
        <f t="shared" si="1"/>
        <v>136.41449999999998</v>
      </c>
      <c r="L17" s="82">
        <f t="shared" si="8"/>
        <v>77.264250000000004</v>
      </c>
      <c r="M17" s="99" t="s">
        <v>383</v>
      </c>
      <c r="N17" s="104">
        <v>975.03499999999997</v>
      </c>
      <c r="O17" s="168">
        <f t="shared" si="9"/>
        <v>150</v>
      </c>
      <c r="P17" s="80">
        <f t="shared" si="16"/>
        <v>185.4342</v>
      </c>
      <c r="Q17" s="79">
        <v>2.5</v>
      </c>
      <c r="R17" s="252">
        <f t="shared" si="11"/>
        <v>463.58550000000002</v>
      </c>
      <c r="S17" s="80">
        <f t="shared" si="13"/>
        <v>600</v>
      </c>
      <c r="T17" s="188">
        <f t="shared" si="14"/>
        <v>136.41449999999998</v>
      </c>
      <c r="U17" s="79" t="str">
        <f t="shared" si="15"/>
        <v>No</v>
      </c>
      <c r="V17" s="59"/>
      <c r="W17" s="95"/>
      <c r="Y17" s="557" t="s">
        <v>585</v>
      </c>
      <c r="Z17" s="558"/>
      <c r="AA17" s="558"/>
      <c r="AB17" s="558"/>
      <c r="AC17" s="558"/>
      <c r="AD17" s="559"/>
      <c r="AE17" s="154"/>
      <c r="AF17" s="5"/>
      <c r="AG17" s="5"/>
      <c r="AH17" s="5"/>
      <c r="AI17" s="5"/>
      <c r="AJ17" s="486"/>
      <c r="AK17" s="486"/>
      <c r="AL17" s="486"/>
      <c r="AM17" s="486"/>
      <c r="AO17" s="157" t="s">
        <v>460</v>
      </c>
      <c r="AP17" s="156">
        <v>27</v>
      </c>
      <c r="AQ17" s="156"/>
      <c r="AR17" s="97"/>
    </row>
    <row r="18" spans="1:44" ht="13.5" thickBot="1">
      <c r="A18" s="564"/>
      <c r="B18" s="94" t="s">
        <v>11</v>
      </c>
      <c r="C18" s="93" t="s">
        <v>377</v>
      </c>
      <c r="D18" s="105">
        <v>839.23</v>
      </c>
      <c r="E18" s="245">
        <f t="shared" si="5"/>
        <v>150</v>
      </c>
      <c r="F18" s="105">
        <v>213.84829999999999</v>
      </c>
      <c r="G18" s="82">
        <v>2.5</v>
      </c>
      <c r="H18" s="92">
        <f t="shared" si="6"/>
        <v>534.62075000000004</v>
      </c>
      <c r="I18" s="81">
        <f t="shared" si="7"/>
        <v>5</v>
      </c>
      <c r="J18" s="274">
        <f t="shared" si="12"/>
        <v>750</v>
      </c>
      <c r="K18" s="81">
        <f t="shared" si="1"/>
        <v>215.37924999999996</v>
      </c>
      <c r="L18" s="82">
        <f t="shared" si="8"/>
        <v>71.282766666666674</v>
      </c>
      <c r="M18" s="99" t="s">
        <v>419</v>
      </c>
      <c r="N18" s="104">
        <v>1025.3</v>
      </c>
      <c r="O18" s="168">
        <f t="shared" si="9"/>
        <v>150</v>
      </c>
      <c r="P18" s="80">
        <f t="shared" si="16"/>
        <v>213.84829999999999</v>
      </c>
      <c r="Q18" s="79">
        <v>2.5</v>
      </c>
      <c r="R18" s="252">
        <f t="shared" si="11"/>
        <v>534.62075000000004</v>
      </c>
      <c r="S18" s="80">
        <f t="shared" si="13"/>
        <v>750</v>
      </c>
      <c r="T18" s="188">
        <f t="shared" si="14"/>
        <v>215.37924999999996</v>
      </c>
      <c r="U18" s="79" t="str">
        <f t="shared" si="15"/>
        <v>No</v>
      </c>
      <c r="V18" s="59"/>
      <c r="W18" s="85"/>
      <c r="Y18" s="331" t="s">
        <v>491</v>
      </c>
      <c r="Z18" s="333" t="s">
        <v>493</v>
      </c>
      <c r="AA18" s="333" t="s">
        <v>494</v>
      </c>
      <c r="AB18" s="333" t="s">
        <v>495</v>
      </c>
      <c r="AC18" s="333" t="s">
        <v>496</v>
      </c>
      <c r="AD18" s="334" t="s">
        <v>562</v>
      </c>
      <c r="AE18" s="290" t="s">
        <v>415</v>
      </c>
      <c r="AF18" s="5"/>
      <c r="AG18" s="5"/>
      <c r="AH18" s="5"/>
      <c r="AI18" s="5"/>
      <c r="AJ18" s="486"/>
      <c r="AK18" s="486"/>
      <c r="AL18" s="486"/>
      <c r="AM18" s="491"/>
      <c r="AO18" s="157" t="s">
        <v>488</v>
      </c>
      <c r="AP18" s="156">
        <v>754</v>
      </c>
      <c r="AQ18" s="156"/>
      <c r="AR18" s="97"/>
    </row>
    <row r="19" spans="1:44" ht="13.5" thickBot="1">
      <c r="A19" s="564"/>
      <c r="B19" s="94" t="s">
        <v>12</v>
      </c>
      <c r="C19" s="93" t="s">
        <v>52</v>
      </c>
      <c r="D19" s="105">
        <v>428.91</v>
      </c>
      <c r="E19" s="245">
        <f t="shared" si="5"/>
        <v>200</v>
      </c>
      <c r="F19" s="105">
        <v>320.7817</v>
      </c>
      <c r="G19" s="82">
        <v>2.5</v>
      </c>
      <c r="H19" s="92">
        <f t="shared" si="6"/>
        <v>801.95425</v>
      </c>
      <c r="I19" s="81">
        <f t="shared" si="7"/>
        <v>5</v>
      </c>
      <c r="J19" s="274">
        <f t="shared" si="12"/>
        <v>1000</v>
      </c>
      <c r="K19" s="81">
        <f t="shared" si="1"/>
        <v>198.04575</v>
      </c>
      <c r="L19" s="82">
        <f t="shared" si="8"/>
        <v>80.195425</v>
      </c>
      <c r="M19" s="99" t="s">
        <v>418</v>
      </c>
      <c r="N19" s="104">
        <v>440.09</v>
      </c>
      <c r="O19" s="168">
        <f t="shared" si="9"/>
        <v>200</v>
      </c>
      <c r="P19" s="80">
        <f t="shared" si="16"/>
        <v>320.7817</v>
      </c>
      <c r="Q19" s="79">
        <v>2.5</v>
      </c>
      <c r="R19" s="252">
        <f t="shared" si="11"/>
        <v>801.95425</v>
      </c>
      <c r="S19" s="80">
        <f t="shared" si="13"/>
        <v>1000</v>
      </c>
      <c r="T19" s="188">
        <f t="shared" si="14"/>
        <v>198.04575</v>
      </c>
      <c r="U19" s="79" t="str">
        <f t="shared" si="15"/>
        <v>No</v>
      </c>
      <c r="V19" s="59"/>
      <c r="W19" s="85"/>
      <c r="Y19" s="59" t="s">
        <v>84</v>
      </c>
      <c r="Z19" s="335">
        <v>0</v>
      </c>
      <c r="AA19" s="335">
        <v>0</v>
      </c>
      <c r="AB19" s="336">
        <v>1</v>
      </c>
      <c r="AC19" s="336">
        <v>0</v>
      </c>
      <c r="AD19" s="337">
        <v>0</v>
      </c>
      <c r="AE19" s="338">
        <f>SUM(Z19:AD19)</f>
        <v>1</v>
      </c>
      <c r="AF19" s="5"/>
      <c r="AG19" s="5"/>
      <c r="AH19" s="5"/>
      <c r="AI19" s="5"/>
      <c r="AJ19" s="486"/>
      <c r="AK19" s="486"/>
      <c r="AL19" s="486"/>
      <c r="AM19" s="486"/>
      <c r="AO19" s="157" t="s">
        <v>489</v>
      </c>
      <c r="AP19" s="156">
        <v>6</v>
      </c>
      <c r="AQ19" s="156"/>
      <c r="AR19" s="97"/>
    </row>
    <row r="20" spans="1:44" ht="13.5" thickBot="1">
      <c r="A20" s="564"/>
      <c r="B20" s="94" t="s">
        <v>417</v>
      </c>
      <c r="C20" s="93" t="s">
        <v>409</v>
      </c>
      <c r="D20" s="92">
        <v>530.30999999999995</v>
      </c>
      <c r="E20" s="245">
        <f t="shared" si="5"/>
        <v>200</v>
      </c>
      <c r="F20" s="92">
        <v>22.35</v>
      </c>
      <c r="G20" s="82">
        <v>2.5</v>
      </c>
      <c r="H20" s="92">
        <f t="shared" si="6"/>
        <v>55.875</v>
      </c>
      <c r="I20" s="81">
        <f t="shared" si="7"/>
        <v>1</v>
      </c>
      <c r="J20" s="274">
        <f t="shared" si="12"/>
        <v>200</v>
      </c>
      <c r="K20" s="81">
        <f t="shared" si="1"/>
        <v>144.125</v>
      </c>
      <c r="L20" s="82">
        <f t="shared" si="8"/>
        <v>27.9375</v>
      </c>
      <c r="M20" s="88" t="s">
        <v>416</v>
      </c>
      <c r="N20" s="90">
        <v>541.49</v>
      </c>
      <c r="O20" s="168">
        <f t="shared" si="9"/>
        <v>150</v>
      </c>
      <c r="P20" s="80">
        <f t="shared" si="16"/>
        <v>22.35</v>
      </c>
      <c r="Q20" s="79">
        <v>2.5</v>
      </c>
      <c r="R20" s="252">
        <f t="shared" si="11"/>
        <v>55.875</v>
      </c>
      <c r="S20" s="80">
        <f t="shared" si="13"/>
        <v>150</v>
      </c>
      <c r="T20" s="188">
        <f t="shared" si="14"/>
        <v>94.125</v>
      </c>
      <c r="U20" s="79" t="str">
        <f t="shared" si="15"/>
        <v>No</v>
      </c>
      <c r="V20" s="59"/>
      <c r="W20" s="95"/>
      <c r="Y20" s="59" t="s">
        <v>85</v>
      </c>
      <c r="Z20" s="335">
        <v>1</v>
      </c>
      <c r="AA20" s="335">
        <v>5</v>
      </c>
      <c r="AB20" s="335">
        <v>0</v>
      </c>
      <c r="AC20" s="335">
        <v>0</v>
      </c>
      <c r="AD20" s="337">
        <v>0</v>
      </c>
      <c r="AE20" s="59">
        <f t="shared" ref="AE20:AE30" si="17">SUM(Z20:AD20)</f>
        <v>6</v>
      </c>
      <c r="AF20" s="5"/>
      <c r="AG20" s="5"/>
      <c r="AH20" s="5"/>
      <c r="AI20" s="5"/>
      <c r="AJ20" s="486"/>
      <c r="AK20" s="486"/>
      <c r="AL20" s="486"/>
      <c r="AM20" s="486"/>
      <c r="AO20" s="157" t="s">
        <v>382</v>
      </c>
      <c r="AP20" s="156">
        <v>294</v>
      </c>
      <c r="AQ20" s="156"/>
      <c r="AR20" s="97"/>
    </row>
    <row r="21" spans="1:44" ht="13.5" thickBot="1">
      <c r="A21" s="562" t="s">
        <v>411</v>
      </c>
      <c r="B21" s="84" t="s">
        <v>7</v>
      </c>
      <c r="C21" s="83" t="s">
        <v>48</v>
      </c>
      <c r="D21" s="82">
        <v>457.755</v>
      </c>
      <c r="E21" s="243">
        <f t="shared" si="5"/>
        <v>200</v>
      </c>
      <c r="F21" s="82">
        <v>200.1122</v>
      </c>
      <c r="G21" s="82">
        <v>2.5</v>
      </c>
      <c r="H21" s="82">
        <f t="shared" si="6"/>
        <v>500.28050000000002</v>
      </c>
      <c r="I21" s="81">
        <f t="shared" si="7"/>
        <v>3</v>
      </c>
      <c r="J21" s="270">
        <f t="shared" si="12"/>
        <v>600</v>
      </c>
      <c r="K21" s="81">
        <f t="shared" si="1"/>
        <v>99.719499999999982</v>
      </c>
      <c r="L21" s="82">
        <f t="shared" si="8"/>
        <v>83.380083333333332</v>
      </c>
      <c r="M21" s="98" t="s">
        <v>414</v>
      </c>
      <c r="N21" s="80">
        <v>733.18499999999995</v>
      </c>
      <c r="O21" s="168">
        <f t="shared" si="9"/>
        <v>150</v>
      </c>
      <c r="P21" s="80">
        <f t="shared" si="16"/>
        <v>200.1122</v>
      </c>
      <c r="Q21" s="79">
        <v>2.5</v>
      </c>
      <c r="R21" s="251">
        <f t="shared" si="11"/>
        <v>500.28050000000002</v>
      </c>
      <c r="S21" s="80">
        <f t="shared" si="13"/>
        <v>450</v>
      </c>
      <c r="T21" s="188">
        <f t="shared" si="14"/>
        <v>-50.280500000000018</v>
      </c>
      <c r="U21" s="79" t="str">
        <f t="shared" si="15"/>
        <v>Yes</v>
      </c>
      <c r="V21" s="220"/>
      <c r="W21" s="202"/>
      <c r="Y21" s="59" t="s">
        <v>86</v>
      </c>
      <c r="Z21" s="335">
        <v>1</v>
      </c>
      <c r="AA21" s="335">
        <v>1</v>
      </c>
      <c r="AB21" s="335">
        <v>0</v>
      </c>
      <c r="AC21" s="335">
        <v>0</v>
      </c>
      <c r="AD21" s="337">
        <v>0</v>
      </c>
      <c r="AE21" s="59">
        <f t="shared" si="17"/>
        <v>2</v>
      </c>
      <c r="AF21" s="5"/>
      <c r="AG21" s="481" t="s">
        <v>498</v>
      </c>
      <c r="AH21" s="481" t="s">
        <v>499</v>
      </c>
      <c r="AI21" s="340" t="s">
        <v>500</v>
      </c>
      <c r="AJ21" s="486"/>
      <c r="AK21" s="486"/>
      <c r="AL21" s="5"/>
      <c r="AM21" s="5"/>
      <c r="AO21" s="157" t="s">
        <v>327</v>
      </c>
      <c r="AP21" s="156">
        <f>581+405</f>
        <v>986</v>
      </c>
      <c r="AQ21" s="156"/>
      <c r="AR21" s="97"/>
    </row>
    <row r="22" spans="1:44" ht="13.5" thickBot="1">
      <c r="A22" s="564"/>
      <c r="B22" s="94" t="s">
        <v>413</v>
      </c>
      <c r="C22" s="93" t="s">
        <v>74</v>
      </c>
      <c r="D22" s="105">
        <v>632.29</v>
      </c>
      <c r="E22" s="245">
        <f t="shared" si="5"/>
        <v>150</v>
      </c>
      <c r="F22" s="105">
        <v>416.14780000000002</v>
      </c>
      <c r="G22" s="82">
        <v>2.5</v>
      </c>
      <c r="H22" s="92">
        <f t="shared" si="6"/>
        <v>1040.3695</v>
      </c>
      <c r="I22" s="81">
        <f t="shared" si="7"/>
        <v>9</v>
      </c>
      <c r="J22" s="274">
        <f t="shared" si="12"/>
        <v>1350</v>
      </c>
      <c r="K22" s="81">
        <f t="shared" si="1"/>
        <v>309.63049999999998</v>
      </c>
      <c r="L22" s="82">
        <f t="shared" si="8"/>
        <v>77.064407407407415</v>
      </c>
      <c r="M22" s="99" t="s">
        <v>361</v>
      </c>
      <c r="N22" s="104">
        <v>692.19500000000005</v>
      </c>
      <c r="O22" s="168">
        <f t="shared" si="9"/>
        <v>150</v>
      </c>
      <c r="P22" s="80">
        <f t="shared" si="16"/>
        <v>416.14780000000002</v>
      </c>
      <c r="Q22" s="79">
        <v>2.5</v>
      </c>
      <c r="R22" s="252">
        <f t="shared" si="11"/>
        <v>1040.3695</v>
      </c>
      <c r="S22" s="80">
        <f t="shared" si="13"/>
        <v>1350</v>
      </c>
      <c r="T22" s="188">
        <f t="shared" si="14"/>
        <v>309.63049999999998</v>
      </c>
      <c r="U22" s="79" t="str">
        <f t="shared" si="15"/>
        <v>No</v>
      </c>
      <c r="V22" s="219" t="s">
        <v>22</v>
      </c>
      <c r="W22" s="408">
        <v>25</v>
      </c>
      <c r="Y22" s="59" t="s">
        <v>87</v>
      </c>
      <c r="Z22" s="335">
        <v>1</v>
      </c>
      <c r="AA22" s="335">
        <v>5</v>
      </c>
      <c r="AB22" s="335">
        <v>1</v>
      </c>
      <c r="AC22" s="335">
        <v>0</v>
      </c>
      <c r="AD22" s="337">
        <v>0</v>
      </c>
      <c r="AE22" s="59">
        <f t="shared" si="17"/>
        <v>7</v>
      </c>
      <c r="AF22" s="5"/>
      <c r="AG22" s="60" t="s">
        <v>493</v>
      </c>
      <c r="AH22" s="60">
        <v>100</v>
      </c>
      <c r="AI22" s="492">
        <v>15</v>
      </c>
      <c r="AJ22" s="486"/>
      <c r="AK22" s="486"/>
      <c r="AL22" s="5"/>
      <c r="AM22" s="5"/>
      <c r="AO22" s="157" t="s">
        <v>20</v>
      </c>
      <c r="AP22" s="156">
        <v>318</v>
      </c>
      <c r="AQ22" s="156"/>
      <c r="AR22" s="261"/>
    </row>
    <row r="23" spans="1:44" ht="13.5" thickBot="1">
      <c r="A23" s="564"/>
      <c r="B23" s="94" t="s">
        <v>412</v>
      </c>
      <c r="C23" s="93" t="s">
        <v>411</v>
      </c>
      <c r="D23" s="105">
        <v>370.31</v>
      </c>
      <c r="E23" s="245">
        <f t="shared" si="5"/>
        <v>200</v>
      </c>
      <c r="F23" s="105">
        <v>24.103000000000002</v>
      </c>
      <c r="G23" s="82">
        <v>2.5</v>
      </c>
      <c r="H23" s="92">
        <f t="shared" si="6"/>
        <v>60.257500000000007</v>
      </c>
      <c r="I23" s="81">
        <f t="shared" si="7"/>
        <v>1</v>
      </c>
      <c r="J23" s="274">
        <f t="shared" si="12"/>
        <v>200</v>
      </c>
      <c r="K23" s="81">
        <f t="shared" si="1"/>
        <v>139.74250000000001</v>
      </c>
      <c r="L23" s="82">
        <f t="shared" si="8"/>
        <v>30.128750000000004</v>
      </c>
      <c r="M23" s="99" t="s">
        <v>410</v>
      </c>
      <c r="N23" s="104">
        <v>820.63</v>
      </c>
      <c r="O23" s="168">
        <f t="shared" si="9"/>
        <v>150</v>
      </c>
      <c r="P23" s="80">
        <f t="shared" si="16"/>
        <v>24.103000000000002</v>
      </c>
      <c r="Q23" s="79">
        <v>2.5</v>
      </c>
      <c r="R23" s="252">
        <f t="shared" si="11"/>
        <v>60.257500000000007</v>
      </c>
      <c r="S23" s="80">
        <f t="shared" si="13"/>
        <v>150</v>
      </c>
      <c r="T23" s="188">
        <f t="shared" si="14"/>
        <v>89.742499999999993</v>
      </c>
      <c r="U23" s="79" t="str">
        <f t="shared" si="15"/>
        <v>No</v>
      </c>
      <c r="V23" s="219"/>
      <c r="W23" s="408"/>
      <c r="Y23" s="59" t="s">
        <v>88</v>
      </c>
      <c r="Z23" s="335">
        <v>2</v>
      </c>
      <c r="AA23" s="335">
        <v>2</v>
      </c>
      <c r="AB23" s="335">
        <v>0</v>
      </c>
      <c r="AC23" s="335">
        <v>1</v>
      </c>
      <c r="AD23" s="337">
        <v>0</v>
      </c>
      <c r="AE23" s="59">
        <f t="shared" si="17"/>
        <v>5</v>
      </c>
      <c r="AF23" s="329"/>
      <c r="AG23" s="341" t="s">
        <v>494</v>
      </c>
      <c r="AH23" s="341">
        <v>150</v>
      </c>
      <c r="AI23" s="493">
        <v>16.3689</v>
      </c>
      <c r="AJ23" s="486"/>
      <c r="AK23" s="486"/>
      <c r="AL23" s="5"/>
      <c r="AM23" s="486"/>
      <c r="AO23" s="157" t="s">
        <v>490</v>
      </c>
      <c r="AP23" s="156">
        <v>740</v>
      </c>
      <c r="AQ23" s="156"/>
      <c r="AR23" s="261"/>
    </row>
    <row r="24" spans="1:44" ht="13.5" thickBot="1">
      <c r="A24" s="564"/>
      <c r="B24" s="94" t="s">
        <v>394</v>
      </c>
      <c r="C24" s="93" t="s">
        <v>409</v>
      </c>
      <c r="D24" s="92">
        <v>530.30999999999995</v>
      </c>
      <c r="E24" s="244">
        <f t="shared" si="5"/>
        <v>200</v>
      </c>
      <c r="F24" s="92">
        <v>22.35</v>
      </c>
      <c r="G24" s="82">
        <v>2.5</v>
      </c>
      <c r="H24" s="72">
        <f t="shared" si="6"/>
        <v>55.875</v>
      </c>
      <c r="I24" s="81">
        <f t="shared" si="7"/>
        <v>1</v>
      </c>
      <c r="J24" s="272">
        <f t="shared" si="12"/>
        <v>200</v>
      </c>
      <c r="K24" s="81">
        <f t="shared" si="1"/>
        <v>144.125</v>
      </c>
      <c r="L24" s="82">
        <f t="shared" si="8"/>
        <v>27.9375</v>
      </c>
      <c r="M24" s="88" t="s">
        <v>408</v>
      </c>
      <c r="N24" s="90">
        <v>660.63</v>
      </c>
      <c r="O24" s="168">
        <f t="shared" si="9"/>
        <v>150</v>
      </c>
      <c r="P24" s="80">
        <f t="shared" si="16"/>
        <v>22.35</v>
      </c>
      <c r="Q24" s="79">
        <v>2.5</v>
      </c>
      <c r="R24" s="253">
        <f t="shared" si="11"/>
        <v>55.875</v>
      </c>
      <c r="S24" s="80">
        <f t="shared" si="13"/>
        <v>150</v>
      </c>
      <c r="T24" s="188">
        <f t="shared" si="14"/>
        <v>94.125</v>
      </c>
      <c r="U24" s="79" t="str">
        <f t="shared" si="15"/>
        <v>No</v>
      </c>
      <c r="V24" s="218"/>
      <c r="W24" s="217"/>
      <c r="Y24" s="59" t="s">
        <v>89</v>
      </c>
      <c r="Z24" s="335">
        <v>0</v>
      </c>
      <c r="AA24" s="335">
        <v>0</v>
      </c>
      <c r="AB24" s="335">
        <v>0</v>
      </c>
      <c r="AC24" s="335">
        <v>1</v>
      </c>
      <c r="AD24" s="337">
        <v>0</v>
      </c>
      <c r="AE24" s="59">
        <f t="shared" si="17"/>
        <v>1</v>
      </c>
      <c r="AF24" s="328"/>
      <c r="AG24" s="341" t="s">
        <v>495</v>
      </c>
      <c r="AH24" s="341">
        <v>200</v>
      </c>
      <c r="AI24" s="493">
        <v>16.746700000000001</v>
      </c>
      <c r="AJ24" s="486"/>
      <c r="AK24" s="486"/>
      <c r="AL24" s="5"/>
      <c r="AM24" s="486"/>
      <c r="AO24" s="157" t="s">
        <v>31</v>
      </c>
      <c r="AP24" s="156">
        <f>736+560</f>
        <v>1296</v>
      </c>
      <c r="AQ24" s="156"/>
      <c r="AR24" s="261"/>
    </row>
    <row r="25" spans="1:44" ht="13.5" thickBot="1">
      <c r="A25" s="151" t="s">
        <v>407</v>
      </c>
      <c r="B25" s="84" t="s">
        <v>406</v>
      </c>
      <c r="C25" s="150"/>
      <c r="D25" s="82"/>
      <c r="E25" s="92">
        <f t="shared" si="5"/>
        <v>300</v>
      </c>
      <c r="F25" s="82"/>
      <c r="G25" s="82">
        <v>2.5</v>
      </c>
      <c r="H25" s="92">
        <f t="shared" si="6"/>
        <v>0</v>
      </c>
      <c r="I25" s="81">
        <f t="shared" si="7"/>
        <v>0</v>
      </c>
      <c r="J25" s="268"/>
      <c r="K25" s="81">
        <f t="shared" si="1"/>
        <v>0</v>
      </c>
      <c r="L25" s="82"/>
      <c r="M25" s="80"/>
      <c r="N25" s="80"/>
      <c r="O25" s="168">
        <f t="shared" si="9"/>
        <v>300</v>
      </c>
      <c r="P25" s="80"/>
      <c r="Q25" s="79">
        <v>2.5</v>
      </c>
      <c r="R25" s="89">
        <f t="shared" si="11"/>
        <v>0</v>
      </c>
      <c r="S25" s="80"/>
      <c r="T25" s="191"/>
      <c r="U25" s="79"/>
      <c r="V25" s="192"/>
      <c r="W25" s="213"/>
      <c r="Y25" s="59" t="s">
        <v>90</v>
      </c>
      <c r="Z25" s="335">
        <v>1</v>
      </c>
      <c r="AA25" s="335">
        <v>1</v>
      </c>
      <c r="AB25" s="335">
        <v>0</v>
      </c>
      <c r="AC25" s="335">
        <v>0</v>
      </c>
      <c r="AD25" s="337">
        <v>0</v>
      </c>
      <c r="AE25" s="59">
        <f t="shared" si="17"/>
        <v>2</v>
      </c>
      <c r="AF25" s="328"/>
      <c r="AG25" s="341" t="s">
        <v>496</v>
      </c>
      <c r="AH25" s="341">
        <v>250</v>
      </c>
      <c r="AI25" s="493">
        <v>16.886600000000001</v>
      </c>
      <c r="AJ25" s="486"/>
      <c r="AK25" s="486"/>
      <c r="AL25" s="5"/>
      <c r="AM25" s="486"/>
      <c r="AO25" s="157" t="s">
        <v>484</v>
      </c>
      <c r="AP25" s="156">
        <v>125</v>
      </c>
      <c r="AQ25" s="156"/>
      <c r="AR25" s="261"/>
    </row>
    <row r="26" spans="1:44" ht="13.5" thickBot="1">
      <c r="A26" s="575" t="s">
        <v>405</v>
      </c>
      <c r="B26" s="148" t="s">
        <v>14</v>
      </c>
      <c r="C26" s="83" t="s">
        <v>404</v>
      </c>
      <c r="D26" s="82">
        <v>391.72</v>
      </c>
      <c r="E26" s="243">
        <f t="shared" si="5"/>
        <v>200</v>
      </c>
      <c r="F26" s="82">
        <v>664.51419999999996</v>
      </c>
      <c r="G26" s="82">
        <v>2.5</v>
      </c>
      <c r="H26" s="82">
        <f t="shared" si="6"/>
        <v>1661.2855</v>
      </c>
      <c r="I26" s="81">
        <f t="shared" si="7"/>
        <v>10</v>
      </c>
      <c r="J26" s="270">
        <f t="shared" ref="J26:J56" si="18">I26*E26</f>
        <v>2000</v>
      </c>
      <c r="K26" s="81">
        <f t="shared" si="1"/>
        <v>338.71450000000004</v>
      </c>
      <c r="L26" s="82">
        <f t="shared" si="8"/>
        <v>83.064274999999995</v>
      </c>
      <c r="M26" s="98" t="s">
        <v>403</v>
      </c>
      <c r="N26" s="80">
        <v>799.22</v>
      </c>
      <c r="O26" s="168">
        <f t="shared" si="9"/>
        <v>150</v>
      </c>
      <c r="P26" s="80">
        <f>F26</f>
        <v>664.51419999999996</v>
      </c>
      <c r="Q26" s="79">
        <v>2.5</v>
      </c>
      <c r="R26" s="80">
        <f t="shared" si="11"/>
        <v>1661.2855</v>
      </c>
      <c r="S26" s="247">
        <f t="shared" ref="S26:S56" si="19">O26*I26</f>
        <v>1500</v>
      </c>
      <c r="T26" s="191">
        <f t="shared" ref="T26:T56" si="20">S26-R26</f>
        <v>-161.28549999999996</v>
      </c>
      <c r="U26" s="306" t="str">
        <f t="shared" ref="U26:U56" si="21">IF(T26&gt;=0,"No","Yes")</f>
        <v>Yes</v>
      </c>
      <c r="V26" s="298" t="s">
        <v>470</v>
      </c>
      <c r="W26" s="326" t="s">
        <v>502</v>
      </c>
      <c r="Y26" s="59" t="s">
        <v>91</v>
      </c>
      <c r="Z26" s="335">
        <v>0</v>
      </c>
      <c r="AA26" s="335">
        <v>5</v>
      </c>
      <c r="AB26" s="337">
        <v>3</v>
      </c>
      <c r="AC26" s="337">
        <v>0</v>
      </c>
      <c r="AD26" s="337">
        <v>0</v>
      </c>
      <c r="AE26" s="59">
        <f t="shared" si="17"/>
        <v>8</v>
      </c>
      <c r="AF26" s="329"/>
      <c r="AG26" s="342" t="s">
        <v>562</v>
      </c>
      <c r="AH26" s="342">
        <v>300</v>
      </c>
      <c r="AI26" s="494">
        <v>17</v>
      </c>
      <c r="AJ26" s="486"/>
      <c r="AK26" s="486"/>
      <c r="AL26" s="5"/>
      <c r="AM26" s="486"/>
      <c r="AO26" s="157" t="s">
        <v>28</v>
      </c>
      <c r="AP26" s="156">
        <v>595</v>
      </c>
      <c r="AQ26" s="156"/>
      <c r="AR26" s="261"/>
    </row>
    <row r="27" spans="1:44" ht="13.5" thickBot="1">
      <c r="A27" s="576"/>
      <c r="B27" s="74" t="s">
        <v>360</v>
      </c>
      <c r="C27" s="73" t="s">
        <v>55</v>
      </c>
      <c r="D27" s="146">
        <v>566.26</v>
      </c>
      <c r="E27" s="245">
        <f t="shared" si="5"/>
        <v>150</v>
      </c>
      <c r="F27" s="146">
        <v>424.66829999999999</v>
      </c>
      <c r="G27" s="82">
        <v>2.5</v>
      </c>
      <c r="H27" s="92">
        <f t="shared" si="6"/>
        <v>1061.67075</v>
      </c>
      <c r="I27" s="81">
        <f t="shared" si="7"/>
        <v>9</v>
      </c>
      <c r="J27" s="274">
        <f t="shared" si="18"/>
        <v>1350</v>
      </c>
      <c r="K27" s="81">
        <f t="shared" si="1"/>
        <v>288.32925</v>
      </c>
      <c r="L27" s="82">
        <f t="shared" si="8"/>
        <v>78.642277777777778</v>
      </c>
      <c r="M27" s="246" t="s">
        <v>402</v>
      </c>
      <c r="N27" s="145">
        <v>973.76</v>
      </c>
      <c r="O27" s="168">
        <f t="shared" si="9"/>
        <v>150</v>
      </c>
      <c r="P27" s="80">
        <f t="shared" ref="P27:P56" si="22">F27</f>
        <v>424.66829999999999</v>
      </c>
      <c r="Q27" s="79">
        <v>2.5</v>
      </c>
      <c r="R27" s="90">
        <f t="shared" si="11"/>
        <v>1061.67075</v>
      </c>
      <c r="S27" s="249">
        <f t="shared" si="19"/>
        <v>1350</v>
      </c>
      <c r="T27" s="305">
        <f t="shared" si="20"/>
        <v>288.32925</v>
      </c>
      <c r="U27" s="307" t="str">
        <f t="shared" si="21"/>
        <v>No</v>
      </c>
      <c r="V27" s="304" t="s">
        <v>462</v>
      </c>
      <c r="W27" s="327" t="s">
        <v>503</v>
      </c>
      <c r="Y27" s="59" t="s">
        <v>92</v>
      </c>
      <c r="Z27" s="337">
        <v>1</v>
      </c>
      <c r="AA27" s="337">
        <v>1</v>
      </c>
      <c r="AB27" s="337">
        <v>1</v>
      </c>
      <c r="AC27" s="337">
        <v>0</v>
      </c>
      <c r="AD27" s="337">
        <v>0</v>
      </c>
      <c r="AE27" s="59">
        <f t="shared" si="17"/>
        <v>3</v>
      </c>
      <c r="AF27" s="329"/>
      <c r="AG27" s="486"/>
      <c r="AH27" s="486"/>
      <c r="AI27" s="5"/>
      <c r="AJ27" s="486"/>
      <c r="AK27" s="486"/>
      <c r="AL27" s="5"/>
      <c r="AM27" s="486"/>
      <c r="AO27" s="233" t="s">
        <v>30</v>
      </c>
      <c r="AP27" s="232">
        <v>419</v>
      </c>
      <c r="AQ27" s="232"/>
      <c r="AR27" s="262"/>
    </row>
    <row r="28" spans="1:44" ht="13.5" thickBot="1">
      <c r="A28" s="564" t="s">
        <v>401</v>
      </c>
      <c r="B28" s="62" t="s">
        <v>6</v>
      </c>
      <c r="C28" s="111" t="s">
        <v>47</v>
      </c>
      <c r="D28" s="92">
        <v>341.46499999999997</v>
      </c>
      <c r="E28" s="243">
        <f t="shared" si="5"/>
        <v>200</v>
      </c>
      <c r="F28" s="92">
        <v>414.50749999999999</v>
      </c>
      <c r="G28" s="82">
        <v>2.5</v>
      </c>
      <c r="H28" s="82">
        <f t="shared" si="6"/>
        <v>1036.26875</v>
      </c>
      <c r="I28" s="81">
        <f t="shared" si="7"/>
        <v>7</v>
      </c>
      <c r="J28" s="270">
        <f t="shared" si="18"/>
        <v>1400</v>
      </c>
      <c r="K28" s="81">
        <f t="shared" si="1"/>
        <v>363.73125000000005</v>
      </c>
      <c r="L28" s="82">
        <f t="shared" si="8"/>
        <v>74.019196428571419</v>
      </c>
      <c r="M28" s="88" t="s">
        <v>400</v>
      </c>
      <c r="N28" s="90">
        <v>849.47500000000002</v>
      </c>
      <c r="O28" s="168">
        <f t="shared" si="9"/>
        <v>150</v>
      </c>
      <c r="P28" s="80">
        <f t="shared" si="22"/>
        <v>414.50749999999999</v>
      </c>
      <c r="Q28" s="79">
        <v>2.5</v>
      </c>
      <c r="R28" s="80">
        <f t="shared" si="11"/>
        <v>1036.26875</v>
      </c>
      <c r="S28" s="248">
        <f t="shared" si="19"/>
        <v>1050</v>
      </c>
      <c r="T28" s="302">
        <f t="shared" si="20"/>
        <v>13.731250000000045</v>
      </c>
      <c r="U28" s="308" t="str">
        <f t="shared" si="21"/>
        <v>No</v>
      </c>
      <c r="V28" s="298" t="s">
        <v>9</v>
      </c>
      <c r="W28" s="326">
        <v>10</v>
      </c>
      <c r="Y28" s="59" t="s">
        <v>93</v>
      </c>
      <c r="Z28" s="337">
        <v>0</v>
      </c>
      <c r="AA28" s="335">
        <v>2</v>
      </c>
      <c r="AB28" s="337">
        <v>6</v>
      </c>
      <c r="AC28" s="337">
        <v>0</v>
      </c>
      <c r="AD28" s="337">
        <v>0</v>
      </c>
      <c r="AE28" s="59">
        <f t="shared" si="17"/>
        <v>8</v>
      </c>
      <c r="AF28" s="329"/>
      <c r="AG28" s="486"/>
      <c r="AH28" s="486"/>
      <c r="AI28" s="5"/>
      <c r="AJ28" s="486"/>
      <c r="AK28" s="486"/>
      <c r="AL28" s="495"/>
      <c r="AM28" s="486"/>
      <c r="AO28" s="120" t="s">
        <v>369</v>
      </c>
      <c r="AP28" s="236">
        <f>SUM(AP11:AP27)</f>
        <v>6767</v>
      </c>
      <c r="AQ28" s="225"/>
    </row>
    <row r="29" spans="1:44" ht="13.5" thickBot="1">
      <c r="A29" s="564"/>
      <c r="B29" s="62" t="s">
        <v>399</v>
      </c>
      <c r="C29" s="111" t="s">
        <v>384</v>
      </c>
      <c r="D29" s="92">
        <v>894.93</v>
      </c>
      <c r="E29" s="245">
        <f t="shared" si="5"/>
        <v>150</v>
      </c>
      <c r="F29" s="92">
        <v>185.4342</v>
      </c>
      <c r="G29" s="82">
        <v>2.5</v>
      </c>
      <c r="H29" s="92">
        <f t="shared" si="6"/>
        <v>463.58550000000002</v>
      </c>
      <c r="I29" s="81">
        <f t="shared" si="7"/>
        <v>4</v>
      </c>
      <c r="J29" s="274">
        <f t="shared" si="18"/>
        <v>600</v>
      </c>
      <c r="K29" s="81">
        <f t="shared" si="1"/>
        <v>136.41449999999998</v>
      </c>
      <c r="L29" s="82">
        <f t="shared" si="8"/>
        <v>77.264250000000004</v>
      </c>
      <c r="M29" s="88" t="s">
        <v>383</v>
      </c>
      <c r="N29" s="90">
        <v>975.03499999999997</v>
      </c>
      <c r="O29" s="168">
        <f t="shared" si="9"/>
        <v>150</v>
      </c>
      <c r="P29" s="80">
        <f t="shared" si="22"/>
        <v>185.4342</v>
      </c>
      <c r="Q29" s="79">
        <v>2.5</v>
      </c>
      <c r="R29" s="90">
        <f t="shared" si="11"/>
        <v>463.58550000000002</v>
      </c>
      <c r="S29" s="248">
        <f t="shared" si="19"/>
        <v>600</v>
      </c>
      <c r="T29" s="302">
        <f t="shared" si="20"/>
        <v>136.41449999999998</v>
      </c>
      <c r="U29" s="308" t="str">
        <f t="shared" si="21"/>
        <v>No</v>
      </c>
      <c r="V29" s="299" t="s">
        <v>6</v>
      </c>
      <c r="W29" s="254">
        <v>750</v>
      </c>
      <c r="Y29" s="59" t="s">
        <v>94</v>
      </c>
      <c r="Z29" s="337">
        <v>1</v>
      </c>
      <c r="AA29" s="335">
        <v>5</v>
      </c>
      <c r="AB29" s="337">
        <v>4</v>
      </c>
      <c r="AC29" s="337">
        <v>0</v>
      </c>
      <c r="AD29" s="337">
        <v>0</v>
      </c>
      <c r="AE29" s="59">
        <f t="shared" si="17"/>
        <v>10</v>
      </c>
      <c r="AF29" s="18"/>
      <c r="AG29" s="18"/>
      <c r="AH29" s="486"/>
      <c r="AI29" s="5"/>
      <c r="AJ29" s="486"/>
      <c r="AK29" s="486"/>
      <c r="AL29" s="5"/>
      <c r="AM29" s="486"/>
      <c r="AO29" s="17" t="s">
        <v>365</v>
      </c>
      <c r="AP29" s="17" t="e">
        <f>AP28/#REF!</f>
        <v>#REF!</v>
      </c>
      <c r="AQ29" s="17"/>
    </row>
    <row r="30" spans="1:44" ht="13.5" thickBot="1">
      <c r="A30" s="564"/>
      <c r="B30" s="94" t="s">
        <v>398</v>
      </c>
      <c r="C30" s="93" t="s">
        <v>377</v>
      </c>
      <c r="D30" s="105">
        <v>839.23</v>
      </c>
      <c r="E30" s="245">
        <f t="shared" si="5"/>
        <v>150</v>
      </c>
      <c r="F30" s="105">
        <v>213.84829999999999</v>
      </c>
      <c r="G30" s="82">
        <v>2.5</v>
      </c>
      <c r="H30" s="92">
        <f t="shared" si="6"/>
        <v>534.62075000000004</v>
      </c>
      <c r="I30" s="81">
        <f t="shared" si="7"/>
        <v>5</v>
      </c>
      <c r="J30" s="274">
        <f t="shared" si="18"/>
        <v>750</v>
      </c>
      <c r="K30" s="81">
        <f t="shared" si="1"/>
        <v>215.37924999999996</v>
      </c>
      <c r="L30" s="82">
        <f t="shared" si="8"/>
        <v>71.282766666666674</v>
      </c>
      <c r="M30" s="99" t="s">
        <v>397</v>
      </c>
      <c r="N30" s="104">
        <v>1347.24</v>
      </c>
      <c r="O30" s="168">
        <f t="shared" si="9"/>
        <v>100</v>
      </c>
      <c r="P30" s="80">
        <f t="shared" si="22"/>
        <v>213.84829999999999</v>
      </c>
      <c r="Q30" s="79">
        <v>2.5</v>
      </c>
      <c r="R30" s="90">
        <f t="shared" si="11"/>
        <v>534.62075000000004</v>
      </c>
      <c r="S30" s="248">
        <f t="shared" si="19"/>
        <v>500</v>
      </c>
      <c r="T30" s="302">
        <f t="shared" si="20"/>
        <v>-34.620750000000044</v>
      </c>
      <c r="U30" s="308" t="str">
        <f t="shared" si="21"/>
        <v>Yes</v>
      </c>
      <c r="V30" s="300" t="s">
        <v>461</v>
      </c>
      <c r="W30" s="210">
        <v>210</v>
      </c>
      <c r="Y30" s="343" t="s">
        <v>492</v>
      </c>
      <c r="Z30" s="344">
        <v>0</v>
      </c>
      <c r="AA30" s="344">
        <v>0</v>
      </c>
      <c r="AB30" s="344">
        <v>0</v>
      </c>
      <c r="AC30" s="344">
        <v>0</v>
      </c>
      <c r="AD30" s="344">
        <v>0</v>
      </c>
      <c r="AE30" s="343">
        <f t="shared" si="17"/>
        <v>0</v>
      </c>
      <c r="AF30" s="329"/>
      <c r="AG30" s="557" t="s">
        <v>569</v>
      </c>
      <c r="AH30" s="558"/>
      <c r="AI30" s="558"/>
      <c r="AJ30" s="558"/>
      <c r="AK30" s="558"/>
      <c r="AL30" s="559"/>
      <c r="AM30" s="154"/>
    </row>
    <row r="31" spans="1:44" ht="13.5" thickBot="1">
      <c r="A31" s="564"/>
      <c r="B31" s="94" t="s">
        <v>396</v>
      </c>
      <c r="C31" s="93" t="s">
        <v>52</v>
      </c>
      <c r="D31" s="92">
        <v>428.91</v>
      </c>
      <c r="E31" s="245">
        <f t="shared" si="5"/>
        <v>200</v>
      </c>
      <c r="F31" s="92">
        <v>320.7817</v>
      </c>
      <c r="G31" s="82">
        <v>2.5</v>
      </c>
      <c r="H31" s="92">
        <f t="shared" si="6"/>
        <v>801.95425</v>
      </c>
      <c r="I31" s="81">
        <f t="shared" si="7"/>
        <v>5</v>
      </c>
      <c r="J31" s="274">
        <f t="shared" si="18"/>
        <v>1000</v>
      </c>
      <c r="K31" s="81">
        <f t="shared" si="1"/>
        <v>198.04575</v>
      </c>
      <c r="L31" s="82">
        <f t="shared" si="8"/>
        <v>80.195425</v>
      </c>
      <c r="M31" s="88" t="s">
        <v>395</v>
      </c>
      <c r="N31" s="90">
        <v>762.03</v>
      </c>
      <c r="O31" s="168">
        <f t="shared" si="9"/>
        <v>150</v>
      </c>
      <c r="P31" s="80">
        <f t="shared" si="22"/>
        <v>320.7817</v>
      </c>
      <c r="Q31" s="79">
        <v>2.5</v>
      </c>
      <c r="R31" s="90">
        <f t="shared" si="11"/>
        <v>801.95425</v>
      </c>
      <c r="S31" s="248">
        <f t="shared" si="19"/>
        <v>750</v>
      </c>
      <c r="T31" s="302">
        <f t="shared" si="20"/>
        <v>-51.954250000000002</v>
      </c>
      <c r="U31" s="308" t="str">
        <f t="shared" si="21"/>
        <v>Yes</v>
      </c>
      <c r="V31" s="300" t="s">
        <v>14</v>
      </c>
      <c r="W31" s="210">
        <v>300</v>
      </c>
      <c r="Y31" s="290" t="s">
        <v>501</v>
      </c>
      <c r="Z31" s="345">
        <f t="shared" ref="Z31:AE31" si="23">SUM(Z19:Z30)</f>
        <v>8</v>
      </c>
      <c r="AA31" s="345">
        <f t="shared" si="23"/>
        <v>27</v>
      </c>
      <c r="AB31" s="345">
        <f t="shared" si="23"/>
        <v>16</v>
      </c>
      <c r="AC31" s="345">
        <f t="shared" si="23"/>
        <v>2</v>
      </c>
      <c r="AD31" s="345">
        <f t="shared" si="23"/>
        <v>0</v>
      </c>
      <c r="AE31" s="346">
        <f t="shared" si="23"/>
        <v>53</v>
      </c>
      <c r="AF31" s="329"/>
      <c r="AG31" s="331" t="s">
        <v>491</v>
      </c>
      <c r="AH31" s="333" t="s">
        <v>493</v>
      </c>
      <c r="AI31" s="333" t="s">
        <v>494</v>
      </c>
      <c r="AJ31" s="333" t="s">
        <v>495</v>
      </c>
      <c r="AK31" s="333" t="s">
        <v>496</v>
      </c>
      <c r="AL31" s="334" t="s">
        <v>562</v>
      </c>
      <c r="AM31" s="290" t="s">
        <v>415</v>
      </c>
    </row>
    <row r="32" spans="1:44" ht="13.5" thickBot="1">
      <c r="A32" s="564"/>
      <c r="B32" s="94" t="s">
        <v>393</v>
      </c>
      <c r="C32" s="93" t="s">
        <v>56</v>
      </c>
      <c r="D32" s="92">
        <v>268.91000000000003</v>
      </c>
      <c r="E32" s="245">
        <f t="shared" si="5"/>
        <v>250</v>
      </c>
      <c r="F32" s="92">
        <v>277.57420000000002</v>
      </c>
      <c r="G32" s="82">
        <v>2.5</v>
      </c>
      <c r="H32" s="92">
        <f t="shared" si="6"/>
        <v>693.93550000000005</v>
      </c>
      <c r="I32" s="81">
        <f t="shared" si="7"/>
        <v>4</v>
      </c>
      <c r="J32" s="274">
        <f t="shared" si="18"/>
        <v>1000</v>
      </c>
      <c r="K32" s="81">
        <f t="shared" si="1"/>
        <v>306.06449999999995</v>
      </c>
      <c r="L32" s="82">
        <f t="shared" si="8"/>
        <v>69.393550000000005</v>
      </c>
      <c r="M32" s="88" t="s">
        <v>392</v>
      </c>
      <c r="N32" s="90">
        <v>922.03</v>
      </c>
      <c r="O32" s="168">
        <f t="shared" si="9"/>
        <v>150</v>
      </c>
      <c r="P32" s="80">
        <f t="shared" si="22"/>
        <v>277.57420000000002</v>
      </c>
      <c r="Q32" s="79">
        <v>2.5</v>
      </c>
      <c r="R32" s="90">
        <f t="shared" si="11"/>
        <v>693.93550000000005</v>
      </c>
      <c r="S32" s="249">
        <f t="shared" si="19"/>
        <v>600</v>
      </c>
      <c r="T32" s="305">
        <f t="shared" si="20"/>
        <v>-93.935500000000047</v>
      </c>
      <c r="U32" s="307" t="str">
        <f t="shared" si="21"/>
        <v>Yes</v>
      </c>
      <c r="V32" s="301" t="s">
        <v>394</v>
      </c>
      <c r="W32" s="255">
        <v>140</v>
      </c>
      <c r="Y32" s="290" t="s">
        <v>500</v>
      </c>
      <c r="Z32" s="347">
        <f>PRODUCT(Z31*AI22)</f>
        <v>120</v>
      </c>
      <c r="AA32" s="489">
        <f>PRODUCT(AA31*AI23)</f>
        <v>441.96030000000002</v>
      </c>
      <c r="AB32" s="489">
        <f>PRODUCT(AB31*AI24)</f>
        <v>267.94720000000001</v>
      </c>
      <c r="AC32" s="489">
        <f>PRODUCT(AC31*AI25)</f>
        <v>33.773200000000003</v>
      </c>
      <c r="AD32" s="489">
        <f>PRODUCT(AD31*AI26)</f>
        <v>0</v>
      </c>
      <c r="AE32" s="490">
        <f>SUM(Z32:AD32)</f>
        <v>863.6807</v>
      </c>
      <c r="AF32" s="329"/>
      <c r="AG32" s="59" t="s">
        <v>84</v>
      </c>
      <c r="AH32" s="337">
        <f>Z19+Z39</f>
        <v>0</v>
      </c>
      <c r="AI32" s="337">
        <f t="shared" ref="AI32:AL43" si="24">AA19+AA39</f>
        <v>12</v>
      </c>
      <c r="AJ32" s="337">
        <f t="shared" si="24"/>
        <v>5</v>
      </c>
      <c r="AK32" s="337">
        <f t="shared" si="24"/>
        <v>2</v>
      </c>
      <c r="AL32" s="337">
        <f t="shared" si="24"/>
        <v>0</v>
      </c>
      <c r="AM32" s="338">
        <f>SUM(AH32:AL32)</f>
        <v>19</v>
      </c>
    </row>
    <row r="33" spans="1:39" ht="13.5" thickBot="1">
      <c r="A33" s="562" t="s">
        <v>380</v>
      </c>
      <c r="B33" s="84" t="s">
        <v>391</v>
      </c>
      <c r="C33" s="83" t="s">
        <v>390</v>
      </c>
      <c r="D33" s="82">
        <v>774.56</v>
      </c>
      <c r="E33" s="243">
        <f t="shared" si="5"/>
        <v>150</v>
      </c>
      <c r="F33" s="82">
        <v>593.39</v>
      </c>
      <c r="G33" s="82">
        <v>2.5</v>
      </c>
      <c r="H33" s="82">
        <f t="shared" si="6"/>
        <v>1483.4749999999999</v>
      </c>
      <c r="I33" s="81">
        <f t="shared" si="7"/>
        <v>12</v>
      </c>
      <c r="J33" s="270">
        <f t="shared" si="18"/>
        <v>1800</v>
      </c>
      <c r="K33" s="81">
        <f t="shared" si="1"/>
        <v>316.52500000000009</v>
      </c>
      <c r="L33" s="82">
        <f t="shared" si="8"/>
        <v>82.415277777777774</v>
      </c>
      <c r="M33" s="98" t="s">
        <v>389</v>
      </c>
      <c r="N33" s="80">
        <v>778.62</v>
      </c>
      <c r="O33" s="168">
        <f t="shared" si="9"/>
        <v>150</v>
      </c>
      <c r="P33" s="80">
        <f t="shared" si="22"/>
        <v>593.39</v>
      </c>
      <c r="Q33" s="79">
        <v>2.5</v>
      </c>
      <c r="R33" s="251">
        <f t="shared" si="11"/>
        <v>1483.4749999999999</v>
      </c>
      <c r="S33" s="90">
        <f t="shared" si="19"/>
        <v>1800</v>
      </c>
      <c r="T33" s="302">
        <f t="shared" si="20"/>
        <v>316.52500000000009</v>
      </c>
      <c r="U33" s="303" t="str">
        <f t="shared" si="21"/>
        <v>No</v>
      </c>
      <c r="V33" s="197"/>
      <c r="W33" s="103"/>
      <c r="Y33" s="290" t="s">
        <v>499</v>
      </c>
      <c r="Z33" s="347">
        <f>Z31*AH22</f>
        <v>800</v>
      </c>
      <c r="AA33" s="347">
        <f>AA31*AH23</f>
        <v>4050</v>
      </c>
      <c r="AB33" s="347">
        <f>AB31*AH24</f>
        <v>3200</v>
      </c>
      <c r="AC33" s="347">
        <f>AC31*AH25</f>
        <v>500</v>
      </c>
      <c r="AD33" s="347">
        <f>AD31*AH26</f>
        <v>0</v>
      </c>
      <c r="AE33" s="290">
        <f>SUM(Z33:AD33)</f>
        <v>8550</v>
      </c>
      <c r="AF33" s="329"/>
      <c r="AG33" s="59" t="s">
        <v>85</v>
      </c>
      <c r="AH33" s="337">
        <f t="shared" ref="AH33:AH43" si="25">Z20+Z40</f>
        <v>1</v>
      </c>
      <c r="AI33" s="337">
        <f t="shared" si="24"/>
        <v>23</v>
      </c>
      <c r="AJ33" s="337">
        <f t="shared" si="24"/>
        <v>10</v>
      </c>
      <c r="AK33" s="337">
        <f t="shared" si="24"/>
        <v>0</v>
      </c>
      <c r="AL33" s="337">
        <f t="shared" si="24"/>
        <v>7</v>
      </c>
      <c r="AM33" s="59">
        <f t="shared" ref="AM33:AM43" si="26">SUM(AH33:AL33)</f>
        <v>41</v>
      </c>
    </row>
    <row r="34" spans="1:39" ht="13.5" thickBot="1">
      <c r="A34" s="564"/>
      <c r="B34" s="94" t="s">
        <v>385</v>
      </c>
      <c r="C34" s="93" t="s">
        <v>384</v>
      </c>
      <c r="D34" s="105">
        <v>894.93</v>
      </c>
      <c r="E34" s="245">
        <f t="shared" si="5"/>
        <v>150</v>
      </c>
      <c r="F34" s="105">
        <v>185.4342</v>
      </c>
      <c r="G34" s="82">
        <v>2.5</v>
      </c>
      <c r="H34" s="92">
        <f t="shared" si="6"/>
        <v>463.58550000000002</v>
      </c>
      <c r="I34" s="81">
        <f t="shared" si="7"/>
        <v>4</v>
      </c>
      <c r="J34" s="274">
        <f t="shared" si="18"/>
        <v>600</v>
      </c>
      <c r="K34" s="81">
        <f t="shared" si="1"/>
        <v>136.41449999999998</v>
      </c>
      <c r="L34" s="82">
        <f t="shared" si="8"/>
        <v>77.264250000000004</v>
      </c>
      <c r="M34" s="99" t="s">
        <v>383</v>
      </c>
      <c r="N34" s="104">
        <v>975.03499999999997</v>
      </c>
      <c r="O34" s="168">
        <f t="shared" si="9"/>
        <v>150</v>
      </c>
      <c r="P34" s="80">
        <f t="shared" si="22"/>
        <v>185.4342</v>
      </c>
      <c r="Q34" s="79">
        <v>2.5</v>
      </c>
      <c r="R34" s="252">
        <f t="shared" si="11"/>
        <v>463.58550000000002</v>
      </c>
      <c r="S34" s="80">
        <f t="shared" si="19"/>
        <v>600</v>
      </c>
      <c r="T34" s="191">
        <f t="shared" si="20"/>
        <v>136.41449999999998</v>
      </c>
      <c r="U34" s="204" t="str">
        <f t="shared" si="21"/>
        <v>No</v>
      </c>
      <c r="V34" s="195"/>
      <c r="W34" s="102"/>
      <c r="AG34" s="59" t="s">
        <v>86</v>
      </c>
      <c r="AH34" s="337">
        <f t="shared" si="25"/>
        <v>1</v>
      </c>
      <c r="AI34" s="337">
        <f t="shared" si="24"/>
        <v>1</v>
      </c>
      <c r="AJ34" s="337">
        <f t="shared" si="24"/>
        <v>6</v>
      </c>
      <c r="AK34" s="337">
        <f t="shared" si="24"/>
        <v>0</v>
      </c>
      <c r="AL34" s="337">
        <f t="shared" si="24"/>
        <v>4</v>
      </c>
      <c r="AM34" s="59">
        <f t="shared" si="26"/>
        <v>12</v>
      </c>
    </row>
    <row r="35" spans="1:39" ht="13.5" thickBot="1">
      <c r="A35" s="564"/>
      <c r="B35" s="94" t="s">
        <v>381</v>
      </c>
      <c r="C35" s="93" t="s">
        <v>380</v>
      </c>
      <c r="D35" s="92">
        <v>553.46500000000003</v>
      </c>
      <c r="E35" s="245">
        <f t="shared" si="5"/>
        <v>150</v>
      </c>
      <c r="F35" s="92">
        <v>491.47570000000002</v>
      </c>
      <c r="G35" s="82">
        <v>2.5</v>
      </c>
      <c r="H35" s="92">
        <f t="shared" si="6"/>
        <v>1228.6892500000001</v>
      </c>
      <c r="I35" s="81">
        <f t="shared" si="7"/>
        <v>10</v>
      </c>
      <c r="J35" s="274">
        <f t="shared" si="18"/>
        <v>1500</v>
      </c>
      <c r="K35" s="81">
        <f t="shared" si="1"/>
        <v>271.31074999999987</v>
      </c>
      <c r="L35" s="82">
        <f t="shared" si="8"/>
        <v>81.912616666666665</v>
      </c>
      <c r="M35" s="88" t="s">
        <v>379</v>
      </c>
      <c r="N35" s="90">
        <v>660.12</v>
      </c>
      <c r="O35" s="168">
        <f t="shared" si="9"/>
        <v>150</v>
      </c>
      <c r="P35" s="80">
        <f t="shared" si="22"/>
        <v>491.47570000000002</v>
      </c>
      <c r="Q35" s="79">
        <v>2.5</v>
      </c>
      <c r="R35" s="252">
        <f t="shared" si="11"/>
        <v>1228.6892500000001</v>
      </c>
      <c r="S35" s="80">
        <f t="shared" si="19"/>
        <v>1500</v>
      </c>
      <c r="T35" s="191">
        <f t="shared" si="20"/>
        <v>271.31074999999987</v>
      </c>
      <c r="U35" s="204" t="str">
        <f t="shared" si="21"/>
        <v>No</v>
      </c>
      <c r="V35" s="207"/>
      <c r="W35" s="127"/>
      <c r="AG35" s="59" t="s">
        <v>87</v>
      </c>
      <c r="AH35" s="337">
        <f t="shared" si="25"/>
        <v>1</v>
      </c>
      <c r="AI35" s="337">
        <f t="shared" si="24"/>
        <v>36</v>
      </c>
      <c r="AJ35" s="337">
        <f t="shared" si="24"/>
        <v>45</v>
      </c>
      <c r="AK35" s="337">
        <f t="shared" si="24"/>
        <v>25</v>
      </c>
      <c r="AL35" s="337">
        <f t="shared" si="24"/>
        <v>0</v>
      </c>
      <c r="AM35" s="59">
        <f t="shared" si="26"/>
        <v>107</v>
      </c>
    </row>
    <row r="36" spans="1:39" ht="13.5" thickBot="1">
      <c r="A36" s="562" t="s">
        <v>374</v>
      </c>
      <c r="B36" s="84" t="s">
        <v>378</v>
      </c>
      <c r="C36" s="83" t="s">
        <v>377</v>
      </c>
      <c r="D36" s="82">
        <v>839.23</v>
      </c>
      <c r="E36" s="243">
        <f t="shared" si="5"/>
        <v>150</v>
      </c>
      <c r="F36" s="82">
        <v>213.84829999999999</v>
      </c>
      <c r="G36" s="82">
        <v>2.5</v>
      </c>
      <c r="H36" s="82">
        <f t="shared" si="6"/>
        <v>534.62075000000004</v>
      </c>
      <c r="I36" s="81">
        <f t="shared" si="7"/>
        <v>5</v>
      </c>
      <c r="J36" s="270">
        <f t="shared" si="18"/>
        <v>750</v>
      </c>
      <c r="K36" s="81">
        <f t="shared" si="1"/>
        <v>215.37924999999996</v>
      </c>
      <c r="L36" s="82">
        <f t="shared" si="8"/>
        <v>71.282766666666674</v>
      </c>
      <c r="M36" s="98" t="s">
        <v>376</v>
      </c>
      <c r="N36" s="80">
        <v>844.89</v>
      </c>
      <c r="O36" s="168">
        <f t="shared" si="9"/>
        <v>150</v>
      </c>
      <c r="P36" s="80">
        <f t="shared" si="22"/>
        <v>213.84829999999999</v>
      </c>
      <c r="Q36" s="79">
        <v>2.5</v>
      </c>
      <c r="R36" s="251">
        <f t="shared" si="11"/>
        <v>534.62075000000004</v>
      </c>
      <c r="S36" s="80">
        <f t="shared" si="19"/>
        <v>750</v>
      </c>
      <c r="T36" s="191">
        <f t="shared" si="20"/>
        <v>215.37924999999996</v>
      </c>
      <c r="U36" s="204" t="str">
        <f t="shared" si="21"/>
        <v>No</v>
      </c>
      <c r="V36" s="192"/>
      <c r="W36" s="75"/>
      <c r="AD36" s="20"/>
      <c r="AE36" s="57"/>
      <c r="AF36" s="57"/>
      <c r="AG36" s="59" t="s">
        <v>88</v>
      </c>
      <c r="AH36" s="337">
        <f t="shared" si="25"/>
        <v>2</v>
      </c>
      <c r="AI36" s="337">
        <f t="shared" si="24"/>
        <v>2</v>
      </c>
      <c r="AJ36" s="337">
        <f t="shared" si="24"/>
        <v>19</v>
      </c>
      <c r="AK36" s="337">
        <f t="shared" si="24"/>
        <v>2</v>
      </c>
      <c r="AL36" s="337">
        <f t="shared" si="24"/>
        <v>0</v>
      </c>
      <c r="AM36" s="59">
        <f t="shared" si="26"/>
        <v>25</v>
      </c>
    </row>
    <row r="37" spans="1:39" ht="13.5" thickBot="1">
      <c r="A37" s="564"/>
      <c r="B37" s="94" t="s">
        <v>375</v>
      </c>
      <c r="C37" s="93" t="s">
        <v>374</v>
      </c>
      <c r="D37" s="92">
        <v>497.76499999999999</v>
      </c>
      <c r="E37" s="244">
        <f t="shared" si="5"/>
        <v>200</v>
      </c>
      <c r="F37" s="92">
        <v>1151.328</v>
      </c>
      <c r="G37" s="82">
        <v>2.5</v>
      </c>
      <c r="H37" s="72">
        <f t="shared" si="6"/>
        <v>2878.3199999999997</v>
      </c>
      <c r="I37" s="81">
        <f t="shared" si="7"/>
        <v>18</v>
      </c>
      <c r="J37" s="272">
        <f t="shared" si="18"/>
        <v>3600</v>
      </c>
      <c r="K37" s="81">
        <f t="shared" si="1"/>
        <v>721.68000000000029</v>
      </c>
      <c r="L37" s="82">
        <f t="shared" si="8"/>
        <v>79.953333333333319</v>
      </c>
      <c r="M37" s="88" t="s">
        <v>373</v>
      </c>
      <c r="N37" s="90">
        <v>503.42500000000001</v>
      </c>
      <c r="O37" s="168">
        <f t="shared" si="9"/>
        <v>200</v>
      </c>
      <c r="P37" s="80">
        <f t="shared" si="22"/>
        <v>1151.328</v>
      </c>
      <c r="Q37" s="79">
        <v>2.5</v>
      </c>
      <c r="R37" s="253">
        <f t="shared" si="11"/>
        <v>2878.3199999999997</v>
      </c>
      <c r="S37" s="80">
        <f t="shared" si="19"/>
        <v>3600</v>
      </c>
      <c r="T37" s="191">
        <f t="shared" si="20"/>
        <v>721.68000000000029</v>
      </c>
      <c r="U37" s="204" t="str">
        <f t="shared" si="21"/>
        <v>No</v>
      </c>
      <c r="V37" s="190"/>
      <c r="W37" s="65"/>
      <c r="Y37" s="557" t="s">
        <v>568</v>
      </c>
      <c r="Z37" s="558"/>
      <c r="AA37" s="558"/>
      <c r="AB37" s="558"/>
      <c r="AC37" s="558"/>
      <c r="AD37" s="559"/>
      <c r="AE37" s="154"/>
      <c r="AG37" s="59" t="s">
        <v>89</v>
      </c>
      <c r="AH37" s="337">
        <f t="shared" si="25"/>
        <v>0</v>
      </c>
      <c r="AI37" s="337">
        <f t="shared" si="24"/>
        <v>21</v>
      </c>
      <c r="AJ37" s="337">
        <f t="shared" si="24"/>
        <v>2</v>
      </c>
      <c r="AK37" s="337">
        <f t="shared" si="24"/>
        <v>2</v>
      </c>
      <c r="AL37" s="337">
        <f t="shared" si="24"/>
        <v>0</v>
      </c>
      <c r="AM37" s="59">
        <f t="shared" si="26"/>
        <v>25</v>
      </c>
    </row>
    <row r="38" spans="1:39" ht="13.5" thickBot="1">
      <c r="A38" s="324" t="s">
        <v>371</v>
      </c>
      <c r="B38" s="84" t="s">
        <v>372</v>
      </c>
      <c r="C38" s="83" t="s">
        <v>371</v>
      </c>
      <c r="D38" s="82">
        <v>285.27999999999997</v>
      </c>
      <c r="E38" s="92">
        <f t="shared" si="5"/>
        <v>250</v>
      </c>
      <c r="F38" s="82">
        <v>779.52329999999995</v>
      </c>
      <c r="G38" s="82">
        <v>2.5</v>
      </c>
      <c r="H38" s="92">
        <f t="shared" si="6"/>
        <v>1948.8082499999998</v>
      </c>
      <c r="I38" s="81">
        <f t="shared" si="7"/>
        <v>10</v>
      </c>
      <c r="J38" s="242">
        <f t="shared" si="18"/>
        <v>2500</v>
      </c>
      <c r="K38" s="81">
        <f t="shared" si="1"/>
        <v>551.19175000000018</v>
      </c>
      <c r="L38" s="82">
        <f t="shared" si="8"/>
        <v>77.952329999999989</v>
      </c>
      <c r="M38" s="80" t="s">
        <v>370</v>
      </c>
      <c r="N38" s="80">
        <v>539.80499999999995</v>
      </c>
      <c r="O38" s="168">
        <f t="shared" si="9"/>
        <v>150</v>
      </c>
      <c r="P38" s="80">
        <f t="shared" si="22"/>
        <v>779.52329999999995</v>
      </c>
      <c r="Q38" s="79">
        <v>2.5</v>
      </c>
      <c r="R38" s="89">
        <f t="shared" si="11"/>
        <v>1948.8082499999998</v>
      </c>
      <c r="S38" s="80">
        <f t="shared" si="19"/>
        <v>1500</v>
      </c>
      <c r="T38" s="191">
        <f t="shared" si="20"/>
        <v>-448.80824999999982</v>
      </c>
      <c r="U38" s="204" t="str">
        <f t="shared" si="21"/>
        <v>Yes</v>
      </c>
      <c r="V38" s="206" t="s">
        <v>459</v>
      </c>
      <c r="W38" s="205" t="s">
        <v>504</v>
      </c>
      <c r="Y38" s="331" t="s">
        <v>491</v>
      </c>
      <c r="Z38" s="333" t="s">
        <v>493</v>
      </c>
      <c r="AA38" s="333" t="s">
        <v>494</v>
      </c>
      <c r="AB38" s="333" t="s">
        <v>495</v>
      </c>
      <c r="AC38" s="333" t="s">
        <v>496</v>
      </c>
      <c r="AD38" s="334" t="s">
        <v>562</v>
      </c>
      <c r="AE38" s="290" t="s">
        <v>415</v>
      </c>
      <c r="AG38" s="59" t="s">
        <v>90</v>
      </c>
      <c r="AH38" s="337">
        <f t="shared" si="25"/>
        <v>1</v>
      </c>
      <c r="AI38" s="337">
        <f t="shared" si="24"/>
        <v>1</v>
      </c>
      <c r="AJ38" s="337">
        <f t="shared" si="24"/>
        <v>1</v>
      </c>
      <c r="AK38" s="337">
        <f t="shared" si="24"/>
        <v>4</v>
      </c>
      <c r="AL38" s="337">
        <f t="shared" si="24"/>
        <v>3</v>
      </c>
      <c r="AM38" s="59">
        <f t="shared" si="26"/>
        <v>10</v>
      </c>
    </row>
    <row r="39" spans="1:39" ht="13.5" thickBot="1">
      <c r="A39" s="562" t="s">
        <v>60</v>
      </c>
      <c r="B39" s="84" t="s">
        <v>368</v>
      </c>
      <c r="C39" s="83" t="s">
        <v>367</v>
      </c>
      <c r="D39" s="82">
        <v>239.47</v>
      </c>
      <c r="E39" s="243">
        <f t="shared" si="5"/>
        <v>250</v>
      </c>
      <c r="F39" s="82">
        <v>886.15449999999998</v>
      </c>
      <c r="G39" s="82">
        <v>2.5</v>
      </c>
      <c r="H39" s="82">
        <f t="shared" si="6"/>
        <v>2215.38625</v>
      </c>
      <c r="I39" s="81">
        <f t="shared" si="7"/>
        <v>11</v>
      </c>
      <c r="J39" s="270">
        <f t="shared" si="18"/>
        <v>2750</v>
      </c>
      <c r="K39" s="81">
        <f t="shared" si="1"/>
        <v>534.61374999999998</v>
      </c>
      <c r="L39" s="82">
        <f t="shared" si="8"/>
        <v>80.5595</v>
      </c>
      <c r="M39" s="98" t="s">
        <v>366</v>
      </c>
      <c r="N39" s="80">
        <v>585.61500000000001</v>
      </c>
      <c r="O39" s="168">
        <f t="shared" si="9"/>
        <v>150</v>
      </c>
      <c r="P39" s="80">
        <f t="shared" si="22"/>
        <v>886.15449999999998</v>
      </c>
      <c r="Q39" s="79">
        <v>2.5</v>
      </c>
      <c r="R39" s="251">
        <f t="shared" si="11"/>
        <v>2215.38625</v>
      </c>
      <c r="S39" s="80">
        <f t="shared" si="19"/>
        <v>1650</v>
      </c>
      <c r="T39" s="191">
        <f t="shared" si="20"/>
        <v>-565.38625000000002</v>
      </c>
      <c r="U39" s="348" t="str">
        <f t="shared" si="21"/>
        <v>Yes</v>
      </c>
      <c r="V39" s="431" t="s">
        <v>451</v>
      </c>
      <c r="W39" s="202" t="s">
        <v>533</v>
      </c>
      <c r="X39" s="389"/>
      <c r="Y39" s="59" t="s">
        <v>84</v>
      </c>
      <c r="Z39" s="337">
        <v>0</v>
      </c>
      <c r="AA39" s="337">
        <f>12</f>
        <v>12</v>
      </c>
      <c r="AB39" s="487">
        <f>2+2</f>
        <v>4</v>
      </c>
      <c r="AC39" s="487">
        <f>2</f>
        <v>2</v>
      </c>
      <c r="AD39" s="337">
        <v>0</v>
      </c>
      <c r="AE39" s="338">
        <f>SUM(Z39:AD39)</f>
        <v>18</v>
      </c>
      <c r="AG39" s="59" t="s">
        <v>91</v>
      </c>
      <c r="AH39" s="337">
        <f t="shared" si="25"/>
        <v>0</v>
      </c>
      <c r="AI39" s="337">
        <f t="shared" si="24"/>
        <v>29</v>
      </c>
      <c r="AJ39" s="337">
        <f t="shared" si="24"/>
        <v>7</v>
      </c>
      <c r="AK39" s="337">
        <f t="shared" si="24"/>
        <v>2</v>
      </c>
      <c r="AL39" s="337">
        <f t="shared" si="24"/>
        <v>0</v>
      </c>
      <c r="AM39" s="59">
        <f t="shared" si="26"/>
        <v>38</v>
      </c>
    </row>
    <row r="40" spans="1:39" ht="13.5" thickBot="1">
      <c r="A40" s="563"/>
      <c r="B40" s="74" t="s">
        <v>364</v>
      </c>
      <c r="C40" s="73" t="s">
        <v>61</v>
      </c>
      <c r="D40" s="72">
        <v>381.34</v>
      </c>
      <c r="E40" s="245">
        <f t="shared" si="5"/>
        <v>200</v>
      </c>
      <c r="F40" s="72">
        <v>233.80699999999999</v>
      </c>
      <c r="G40" s="82">
        <v>2.5</v>
      </c>
      <c r="H40" s="92">
        <f t="shared" si="6"/>
        <v>584.51749999999993</v>
      </c>
      <c r="I40" s="81">
        <f t="shared" si="7"/>
        <v>4</v>
      </c>
      <c r="J40" s="274">
        <f t="shared" si="18"/>
        <v>800</v>
      </c>
      <c r="K40" s="81">
        <f t="shared" si="1"/>
        <v>215.48250000000007</v>
      </c>
      <c r="L40" s="82">
        <f t="shared" si="8"/>
        <v>73.064687499999991</v>
      </c>
      <c r="M40" s="69" t="s">
        <v>328</v>
      </c>
      <c r="N40" s="70">
        <v>673.16499999999996</v>
      </c>
      <c r="O40" s="168">
        <f t="shared" si="9"/>
        <v>150</v>
      </c>
      <c r="P40" s="80">
        <f t="shared" si="22"/>
        <v>233.80699999999999</v>
      </c>
      <c r="Q40" s="79">
        <v>2.5</v>
      </c>
      <c r="R40" s="252">
        <f t="shared" si="11"/>
        <v>584.51749999999993</v>
      </c>
      <c r="S40" s="80">
        <f t="shared" si="19"/>
        <v>600</v>
      </c>
      <c r="T40" s="191">
        <f t="shared" si="20"/>
        <v>15.482500000000073</v>
      </c>
      <c r="U40" s="348" t="str">
        <f t="shared" si="21"/>
        <v>No</v>
      </c>
      <c r="V40" s="432" t="s">
        <v>474</v>
      </c>
      <c r="W40" s="200" t="s">
        <v>534</v>
      </c>
      <c r="X40" s="389"/>
      <c r="Y40" s="59" t="s">
        <v>85</v>
      </c>
      <c r="Z40" s="337">
        <v>0</v>
      </c>
      <c r="AA40" s="337">
        <f>9+4+5</f>
        <v>18</v>
      </c>
      <c r="AB40" s="337">
        <f>7+3</f>
        <v>10</v>
      </c>
      <c r="AC40" s="337">
        <v>0</v>
      </c>
      <c r="AD40" s="337">
        <f>4+3</f>
        <v>7</v>
      </c>
      <c r="AE40" s="59">
        <f t="shared" ref="AE40:AE50" si="27">SUM(Z40:AD40)</f>
        <v>35</v>
      </c>
      <c r="AG40" s="59" t="s">
        <v>92</v>
      </c>
      <c r="AH40" s="337">
        <f t="shared" si="25"/>
        <v>1</v>
      </c>
      <c r="AI40" s="337">
        <f t="shared" si="24"/>
        <v>10</v>
      </c>
      <c r="AJ40" s="337">
        <f t="shared" si="24"/>
        <v>22</v>
      </c>
      <c r="AK40" s="337">
        <f t="shared" si="24"/>
        <v>0</v>
      </c>
      <c r="AL40" s="337">
        <f t="shared" si="24"/>
        <v>0</v>
      </c>
      <c r="AM40" s="59">
        <f t="shared" si="26"/>
        <v>33</v>
      </c>
    </row>
    <row r="41" spans="1:39" ht="15" customHeight="1" thickBot="1">
      <c r="A41" s="564" t="s">
        <v>363</v>
      </c>
      <c r="B41" s="62" t="s">
        <v>362</v>
      </c>
      <c r="C41" s="111" t="s">
        <v>74</v>
      </c>
      <c r="D41" s="92">
        <v>632.29499999999996</v>
      </c>
      <c r="E41" s="243">
        <f t="shared" si="5"/>
        <v>150</v>
      </c>
      <c r="F41" s="92">
        <v>416.14780000000002</v>
      </c>
      <c r="G41" s="82">
        <v>2.5</v>
      </c>
      <c r="H41" s="82">
        <f t="shared" si="6"/>
        <v>1040.3695</v>
      </c>
      <c r="I41" s="81">
        <f t="shared" si="7"/>
        <v>9</v>
      </c>
      <c r="J41" s="270">
        <f t="shared" si="18"/>
        <v>1350</v>
      </c>
      <c r="K41" s="81">
        <f t="shared" si="1"/>
        <v>309.63049999999998</v>
      </c>
      <c r="L41" s="82">
        <f t="shared" si="8"/>
        <v>77.064407407407415</v>
      </c>
      <c r="M41" s="88" t="s">
        <v>361</v>
      </c>
      <c r="N41" s="90">
        <v>692.19500000000005</v>
      </c>
      <c r="O41" s="168">
        <f t="shared" si="9"/>
        <v>150</v>
      </c>
      <c r="P41" s="80">
        <f t="shared" si="22"/>
        <v>416.14780000000002</v>
      </c>
      <c r="Q41" s="79">
        <v>2.5</v>
      </c>
      <c r="R41" s="251">
        <f t="shared" si="11"/>
        <v>1040.3695</v>
      </c>
      <c r="S41" s="80">
        <f t="shared" si="19"/>
        <v>1350</v>
      </c>
      <c r="T41" s="191">
        <f t="shared" si="20"/>
        <v>309.63049999999998</v>
      </c>
      <c r="U41" s="204" t="str">
        <f t="shared" si="21"/>
        <v>No</v>
      </c>
      <c r="V41" s="620" t="s">
        <v>351</v>
      </c>
      <c r="W41" s="615"/>
      <c r="Y41" s="59" t="s">
        <v>86</v>
      </c>
      <c r="Z41" s="337">
        <v>0</v>
      </c>
      <c r="AA41" s="337">
        <v>0</v>
      </c>
      <c r="AB41" s="335">
        <f>5+1</f>
        <v>6</v>
      </c>
      <c r="AC41" s="337">
        <v>0</v>
      </c>
      <c r="AD41" s="337">
        <f>4</f>
        <v>4</v>
      </c>
      <c r="AE41" s="59">
        <f t="shared" si="27"/>
        <v>10</v>
      </c>
      <c r="AG41" s="59" t="s">
        <v>93</v>
      </c>
      <c r="AH41" s="337">
        <f t="shared" si="25"/>
        <v>0</v>
      </c>
      <c r="AI41" s="337">
        <f t="shared" si="24"/>
        <v>2</v>
      </c>
      <c r="AJ41" s="337">
        <f t="shared" si="24"/>
        <v>9</v>
      </c>
      <c r="AK41" s="337">
        <f t="shared" si="24"/>
        <v>10</v>
      </c>
      <c r="AL41" s="337">
        <f t="shared" si="24"/>
        <v>0</v>
      </c>
      <c r="AM41" s="59">
        <f t="shared" si="26"/>
        <v>21</v>
      </c>
    </row>
    <row r="42" spans="1:39" ht="13.5" thickBot="1">
      <c r="A42" s="564"/>
      <c r="B42" s="94" t="s">
        <v>360</v>
      </c>
      <c r="C42" s="93" t="s">
        <v>55</v>
      </c>
      <c r="D42" s="105">
        <v>566.26</v>
      </c>
      <c r="E42" s="245">
        <f t="shared" si="5"/>
        <v>150</v>
      </c>
      <c r="F42" s="105">
        <v>424.66829999999999</v>
      </c>
      <c r="G42" s="82">
        <v>2.5</v>
      </c>
      <c r="H42" s="92">
        <f t="shared" si="6"/>
        <v>1061.67075</v>
      </c>
      <c r="I42" s="81">
        <f t="shared" si="7"/>
        <v>9</v>
      </c>
      <c r="J42" s="274">
        <f t="shared" si="18"/>
        <v>1350</v>
      </c>
      <c r="K42" s="81">
        <f t="shared" si="1"/>
        <v>288.32925</v>
      </c>
      <c r="L42" s="82">
        <f t="shared" si="8"/>
        <v>78.642277777777778</v>
      </c>
      <c r="M42" s="99" t="s">
        <v>359</v>
      </c>
      <c r="N42" s="104">
        <v>1033.6600000000001</v>
      </c>
      <c r="O42" s="168">
        <f t="shared" si="9"/>
        <v>150</v>
      </c>
      <c r="P42" s="80">
        <f t="shared" si="22"/>
        <v>424.66829999999999</v>
      </c>
      <c r="Q42" s="79">
        <v>2.5</v>
      </c>
      <c r="R42" s="252">
        <f t="shared" si="11"/>
        <v>1061.67075</v>
      </c>
      <c r="S42" s="80">
        <f t="shared" si="19"/>
        <v>1350</v>
      </c>
      <c r="T42" s="191">
        <f t="shared" si="20"/>
        <v>288.32925</v>
      </c>
      <c r="U42" s="204" t="str">
        <f t="shared" si="21"/>
        <v>No</v>
      </c>
      <c r="V42" s="621"/>
      <c r="W42" s="617"/>
      <c r="Y42" s="59" t="s">
        <v>87</v>
      </c>
      <c r="Z42" s="337">
        <v>0</v>
      </c>
      <c r="AA42" s="488">
        <f>12+9+10</f>
        <v>31</v>
      </c>
      <c r="AB42" s="337">
        <f>7+5+10+18+4</f>
        <v>44</v>
      </c>
      <c r="AC42" s="337">
        <f>4+10+11</f>
        <v>25</v>
      </c>
      <c r="AD42" s="337">
        <v>0</v>
      </c>
      <c r="AE42" s="59">
        <f t="shared" si="27"/>
        <v>100</v>
      </c>
      <c r="AG42" s="59" t="s">
        <v>94</v>
      </c>
      <c r="AH42" s="337">
        <f t="shared" si="25"/>
        <v>1</v>
      </c>
      <c r="AI42" s="337">
        <f t="shared" si="24"/>
        <v>7</v>
      </c>
      <c r="AJ42" s="337">
        <f t="shared" si="24"/>
        <v>8</v>
      </c>
      <c r="AK42" s="337">
        <f t="shared" si="24"/>
        <v>11</v>
      </c>
      <c r="AL42" s="337">
        <f t="shared" si="24"/>
        <v>0</v>
      </c>
      <c r="AM42" s="59">
        <f t="shared" si="26"/>
        <v>27</v>
      </c>
    </row>
    <row r="43" spans="1:39" ht="13.5" thickBot="1">
      <c r="A43" s="564"/>
      <c r="B43" s="94" t="s">
        <v>358</v>
      </c>
      <c r="C43" s="93" t="s">
        <v>62</v>
      </c>
      <c r="D43" s="92">
        <v>174.54</v>
      </c>
      <c r="E43" s="244">
        <f t="shared" si="5"/>
        <v>250</v>
      </c>
      <c r="F43" s="92">
        <v>80.336669999999998</v>
      </c>
      <c r="G43" s="82">
        <v>2.5</v>
      </c>
      <c r="H43" s="72">
        <f t="shared" si="6"/>
        <v>200.84167500000001</v>
      </c>
      <c r="I43" s="81">
        <f t="shared" si="7"/>
        <v>1</v>
      </c>
      <c r="J43" s="272">
        <f t="shared" si="18"/>
        <v>250</v>
      </c>
      <c r="K43" s="81">
        <f t="shared" si="1"/>
        <v>49.158324999999991</v>
      </c>
      <c r="L43" s="82">
        <f t="shared" si="8"/>
        <v>80.336669999999998</v>
      </c>
      <c r="M43" s="88" t="s">
        <v>357</v>
      </c>
      <c r="N43" s="90">
        <v>811.21</v>
      </c>
      <c r="O43" s="168">
        <f t="shared" si="9"/>
        <v>150</v>
      </c>
      <c r="P43" s="80">
        <f t="shared" si="22"/>
        <v>80.336669999999998</v>
      </c>
      <c r="Q43" s="79">
        <v>2.5</v>
      </c>
      <c r="R43" s="253">
        <f t="shared" si="11"/>
        <v>200.84167500000001</v>
      </c>
      <c r="S43" s="80">
        <f t="shared" si="19"/>
        <v>150</v>
      </c>
      <c r="T43" s="191">
        <f t="shared" si="20"/>
        <v>-50.841675000000009</v>
      </c>
      <c r="U43" s="204" t="str">
        <f t="shared" si="21"/>
        <v>Yes</v>
      </c>
      <c r="V43" s="622"/>
      <c r="W43" s="619"/>
      <c r="Y43" s="59" t="s">
        <v>88</v>
      </c>
      <c r="Z43" s="337">
        <v>0</v>
      </c>
      <c r="AA43" s="337">
        <v>0</v>
      </c>
      <c r="AB43" s="337">
        <f>2+3+1+10+1+2</f>
        <v>19</v>
      </c>
      <c r="AC43" s="337">
        <f>1</f>
        <v>1</v>
      </c>
      <c r="AD43" s="337">
        <v>0</v>
      </c>
      <c r="AE43" s="59">
        <f t="shared" si="27"/>
        <v>20</v>
      </c>
      <c r="AG43" s="343" t="s">
        <v>492</v>
      </c>
      <c r="AH43" s="337">
        <f t="shared" si="25"/>
        <v>0</v>
      </c>
      <c r="AI43" s="337">
        <f t="shared" si="24"/>
        <v>1</v>
      </c>
      <c r="AJ43" s="337">
        <f t="shared" si="24"/>
        <v>4</v>
      </c>
      <c r="AK43" s="337">
        <f t="shared" si="24"/>
        <v>0</v>
      </c>
      <c r="AL43" s="337">
        <f t="shared" si="24"/>
        <v>0</v>
      </c>
      <c r="AM43" s="343">
        <f t="shared" si="26"/>
        <v>5</v>
      </c>
    </row>
    <row r="44" spans="1:39" ht="13.5" thickBot="1">
      <c r="A44" s="324" t="s">
        <v>355</v>
      </c>
      <c r="B44" s="84" t="s">
        <v>356</v>
      </c>
      <c r="C44" s="83" t="s">
        <v>355</v>
      </c>
      <c r="D44" s="82">
        <v>517.28</v>
      </c>
      <c r="E44" s="92">
        <f t="shared" si="5"/>
        <v>200</v>
      </c>
      <c r="F44" s="82">
        <v>67.241829999999993</v>
      </c>
      <c r="G44" s="82">
        <v>2.5</v>
      </c>
      <c r="H44" s="92">
        <f t="shared" si="6"/>
        <v>168.10457499999998</v>
      </c>
      <c r="I44" s="81">
        <f t="shared" si="7"/>
        <v>2</v>
      </c>
      <c r="J44" s="242">
        <f t="shared" si="18"/>
        <v>400</v>
      </c>
      <c r="K44" s="81">
        <f t="shared" si="1"/>
        <v>231.89542500000002</v>
      </c>
      <c r="L44" s="82">
        <f t="shared" si="8"/>
        <v>42.026143749999996</v>
      </c>
      <c r="M44" s="80" t="s">
        <v>354</v>
      </c>
      <c r="N44" s="80">
        <v>607.995</v>
      </c>
      <c r="O44" s="168">
        <f t="shared" si="9"/>
        <v>150</v>
      </c>
      <c r="P44" s="80">
        <f t="shared" si="22"/>
        <v>67.241829999999993</v>
      </c>
      <c r="Q44" s="79">
        <v>2.5</v>
      </c>
      <c r="R44" s="89">
        <f t="shared" si="11"/>
        <v>168.10457499999998</v>
      </c>
      <c r="S44" s="80">
        <f t="shared" si="19"/>
        <v>300</v>
      </c>
      <c r="T44" s="191">
        <f t="shared" si="20"/>
        <v>131.89542500000002</v>
      </c>
      <c r="U44" s="204" t="str">
        <f t="shared" si="21"/>
        <v>No</v>
      </c>
      <c r="V44" s="199"/>
      <c r="W44" s="198"/>
      <c r="Y44" s="59" t="s">
        <v>89</v>
      </c>
      <c r="Z44" s="337">
        <v>0</v>
      </c>
      <c r="AA44" s="337">
        <f>9+9+3</f>
        <v>21</v>
      </c>
      <c r="AB44" s="337">
        <f>2</f>
        <v>2</v>
      </c>
      <c r="AC44" s="337">
        <f>1</f>
        <v>1</v>
      </c>
      <c r="AD44" s="337">
        <v>0</v>
      </c>
      <c r="AE44" s="59">
        <f t="shared" si="27"/>
        <v>24</v>
      </c>
      <c r="AG44" s="290" t="s">
        <v>501</v>
      </c>
      <c r="AH44" s="345">
        <f t="shared" ref="AH44:AM44" si="28">SUM(AH32:AH43)</f>
        <v>8</v>
      </c>
      <c r="AI44" s="345">
        <f t="shared" si="28"/>
        <v>145</v>
      </c>
      <c r="AJ44" s="345">
        <f t="shared" si="28"/>
        <v>138</v>
      </c>
      <c r="AK44" s="345">
        <f t="shared" si="28"/>
        <v>58</v>
      </c>
      <c r="AL44" s="345">
        <f t="shared" si="28"/>
        <v>14</v>
      </c>
      <c r="AM44" s="346">
        <f t="shared" si="28"/>
        <v>363</v>
      </c>
    </row>
    <row r="45" spans="1:39" ht="13.5" thickBot="1">
      <c r="A45" s="562" t="s">
        <v>349</v>
      </c>
      <c r="B45" s="84" t="s">
        <v>353</v>
      </c>
      <c r="C45" s="83" t="s">
        <v>342</v>
      </c>
      <c r="D45" s="82">
        <v>592.98500000000001</v>
      </c>
      <c r="E45" s="243">
        <f t="shared" si="5"/>
        <v>150</v>
      </c>
      <c r="F45" s="82">
        <v>175.91919999999999</v>
      </c>
      <c r="G45" s="82">
        <v>2.5</v>
      </c>
      <c r="H45" s="82">
        <f t="shared" si="6"/>
        <v>439.798</v>
      </c>
      <c r="I45" s="81">
        <f t="shared" si="7"/>
        <v>4</v>
      </c>
      <c r="J45" s="270">
        <f t="shared" si="18"/>
        <v>600</v>
      </c>
      <c r="K45" s="81">
        <f t="shared" si="1"/>
        <v>160.202</v>
      </c>
      <c r="L45" s="82">
        <f t="shared" si="8"/>
        <v>73.299666666666667</v>
      </c>
      <c r="M45" s="98" t="s">
        <v>352</v>
      </c>
      <c r="N45" s="80">
        <v>1051.23</v>
      </c>
      <c r="O45" s="168">
        <f t="shared" si="9"/>
        <v>150</v>
      </c>
      <c r="P45" s="80">
        <f t="shared" si="22"/>
        <v>175.91919999999999</v>
      </c>
      <c r="Q45" s="79">
        <v>2.5</v>
      </c>
      <c r="R45" s="251">
        <f t="shared" si="11"/>
        <v>439.798</v>
      </c>
      <c r="S45" s="80">
        <f t="shared" si="19"/>
        <v>600</v>
      </c>
      <c r="T45" s="191">
        <f t="shared" si="20"/>
        <v>160.202</v>
      </c>
      <c r="U45" s="204" t="str">
        <f t="shared" si="21"/>
        <v>No</v>
      </c>
      <c r="V45" s="197"/>
      <c r="W45" s="103"/>
      <c r="Y45" s="59" t="s">
        <v>90</v>
      </c>
      <c r="Z45" s="337">
        <v>0</v>
      </c>
      <c r="AA45" s="335">
        <v>0</v>
      </c>
      <c r="AB45" s="335">
        <f>1</f>
        <v>1</v>
      </c>
      <c r="AC45" s="337">
        <f>4</f>
        <v>4</v>
      </c>
      <c r="AD45" s="337">
        <f>3</f>
        <v>3</v>
      </c>
      <c r="AE45" s="59">
        <f t="shared" si="27"/>
        <v>8</v>
      </c>
      <c r="AG45" s="290" t="s">
        <v>500</v>
      </c>
      <c r="AH45" s="347">
        <f>PRODUCT(AH44*AI22)</f>
        <v>120</v>
      </c>
      <c r="AI45" s="489">
        <f>PRODUCT(AI44*AI23)</f>
        <v>2373.4904999999999</v>
      </c>
      <c r="AJ45" s="489">
        <f>PRODUCT(AJ44*AI24)</f>
        <v>2311.0446000000002</v>
      </c>
      <c r="AK45" s="489">
        <f>PRODUCT(AK44*AI25)</f>
        <v>979.42280000000005</v>
      </c>
      <c r="AL45" s="489">
        <f>PRODUCT(AL44*AI26)</f>
        <v>238</v>
      </c>
      <c r="AM45" s="490">
        <f>SUM(AH45:AL45)</f>
        <v>6021.9579000000003</v>
      </c>
    </row>
    <row r="46" spans="1:39" ht="13.5" thickBot="1">
      <c r="A46" s="564"/>
      <c r="B46" s="94" t="s">
        <v>350</v>
      </c>
      <c r="C46" s="93" t="s">
        <v>349</v>
      </c>
      <c r="D46" s="105">
        <v>374.84</v>
      </c>
      <c r="E46" s="245">
        <f t="shared" si="5"/>
        <v>200</v>
      </c>
      <c r="F46" s="105">
        <v>115.1143</v>
      </c>
      <c r="G46" s="82">
        <v>2.5</v>
      </c>
      <c r="H46" s="92">
        <f t="shared" si="6"/>
        <v>287.78575000000001</v>
      </c>
      <c r="I46" s="81">
        <f t="shared" si="7"/>
        <v>2</v>
      </c>
      <c r="J46" s="274">
        <f t="shared" si="18"/>
        <v>400</v>
      </c>
      <c r="K46" s="81">
        <f t="shared" si="1"/>
        <v>112.21424999999999</v>
      </c>
      <c r="L46" s="82">
        <f t="shared" si="8"/>
        <v>71.946437500000002</v>
      </c>
      <c r="M46" s="99" t="s">
        <v>348</v>
      </c>
      <c r="N46" s="104">
        <v>838.745</v>
      </c>
      <c r="O46" s="168">
        <f t="shared" si="9"/>
        <v>150</v>
      </c>
      <c r="P46" s="80">
        <f t="shared" si="22"/>
        <v>115.1143</v>
      </c>
      <c r="Q46" s="79">
        <v>2.5</v>
      </c>
      <c r="R46" s="252">
        <f t="shared" si="11"/>
        <v>287.78575000000001</v>
      </c>
      <c r="S46" s="80">
        <f t="shared" si="19"/>
        <v>300</v>
      </c>
      <c r="T46" s="191">
        <f t="shared" si="20"/>
        <v>12.214249999999993</v>
      </c>
      <c r="U46" s="204" t="str">
        <f t="shared" si="21"/>
        <v>No</v>
      </c>
      <c r="V46" s="196"/>
      <c r="W46" s="193"/>
      <c r="Y46" s="59" t="s">
        <v>91</v>
      </c>
      <c r="Z46" s="337">
        <v>0</v>
      </c>
      <c r="AA46" s="335">
        <f>4+10+3+4+2+1</f>
        <v>24</v>
      </c>
      <c r="AB46" s="337">
        <f>2+2</f>
        <v>4</v>
      </c>
      <c r="AC46" s="337">
        <f>2</f>
        <v>2</v>
      </c>
      <c r="AD46" s="337">
        <v>0</v>
      </c>
      <c r="AE46" s="59">
        <f t="shared" si="27"/>
        <v>30</v>
      </c>
      <c r="AG46" s="290" t="s">
        <v>563</v>
      </c>
      <c r="AH46" s="347">
        <f>AH44*AH22</f>
        <v>800</v>
      </c>
      <c r="AI46" s="347">
        <f>AI44*AH23</f>
        <v>21750</v>
      </c>
      <c r="AJ46" s="347">
        <f>AJ44*AH24</f>
        <v>27600</v>
      </c>
      <c r="AK46" s="347">
        <f>AK44*AH25</f>
        <v>14500</v>
      </c>
      <c r="AL46" s="347">
        <f>AL44*AH26</f>
        <v>4200</v>
      </c>
      <c r="AM46" s="290">
        <f>SUM(AH46:AL46)</f>
        <v>68850</v>
      </c>
    </row>
    <row r="47" spans="1:39" ht="13.5" thickBot="1">
      <c r="A47" s="564"/>
      <c r="B47" s="94" t="s">
        <v>347</v>
      </c>
      <c r="C47" s="93" t="s">
        <v>335</v>
      </c>
      <c r="D47" s="105">
        <v>675.17499999999995</v>
      </c>
      <c r="E47" s="245">
        <f t="shared" si="5"/>
        <v>150</v>
      </c>
      <c r="F47" s="105">
        <v>87.5685</v>
      </c>
      <c r="G47" s="82">
        <v>2.5</v>
      </c>
      <c r="H47" s="92">
        <f t="shared" si="6"/>
        <v>218.92124999999999</v>
      </c>
      <c r="I47" s="81">
        <f t="shared" si="7"/>
        <v>2</v>
      </c>
      <c r="J47" s="274">
        <f t="shared" si="18"/>
        <v>300</v>
      </c>
      <c r="K47" s="81">
        <f t="shared" si="1"/>
        <v>81.078750000000014</v>
      </c>
      <c r="L47" s="82">
        <f t="shared" si="8"/>
        <v>72.973749999999995</v>
      </c>
      <c r="M47" s="99" t="s">
        <v>346</v>
      </c>
      <c r="N47" s="104">
        <v>792.93499999999995</v>
      </c>
      <c r="O47" s="168">
        <f t="shared" si="9"/>
        <v>150</v>
      </c>
      <c r="P47" s="80">
        <f t="shared" si="22"/>
        <v>87.5685</v>
      </c>
      <c r="Q47" s="79">
        <v>2.5</v>
      </c>
      <c r="R47" s="252">
        <f t="shared" si="11"/>
        <v>218.92124999999999</v>
      </c>
      <c r="S47" s="80">
        <f t="shared" si="19"/>
        <v>300</v>
      </c>
      <c r="T47" s="191">
        <f t="shared" si="20"/>
        <v>81.078750000000014</v>
      </c>
      <c r="U47" s="204" t="str">
        <f t="shared" si="21"/>
        <v>No</v>
      </c>
      <c r="V47" s="196"/>
      <c r="W47" s="193"/>
      <c r="Y47" s="59" t="s">
        <v>92</v>
      </c>
      <c r="Z47" s="337">
        <v>0</v>
      </c>
      <c r="AA47" s="335">
        <f>5+4</f>
        <v>9</v>
      </c>
      <c r="AB47" s="337">
        <f>18+3</f>
        <v>21</v>
      </c>
      <c r="AC47" s="337">
        <v>0</v>
      </c>
      <c r="AD47" s="337">
        <v>0</v>
      </c>
      <c r="AE47" s="59">
        <f t="shared" si="27"/>
        <v>30</v>
      </c>
      <c r="AG47" s="5"/>
      <c r="AH47" s="486"/>
      <c r="AI47" s="335"/>
      <c r="AJ47" s="335"/>
      <c r="AK47" s="337"/>
      <c r="AL47" s="337"/>
      <c r="AM47" s="337"/>
    </row>
    <row r="48" spans="1:39" ht="13.5" thickBot="1">
      <c r="A48" s="564"/>
      <c r="B48" s="94" t="s">
        <v>339</v>
      </c>
      <c r="C48" s="93" t="s">
        <v>338</v>
      </c>
      <c r="D48" s="92">
        <v>768.38499999999999</v>
      </c>
      <c r="E48" s="245">
        <f t="shared" si="5"/>
        <v>150</v>
      </c>
      <c r="F48" s="92">
        <v>46.164000000000001</v>
      </c>
      <c r="G48" s="82">
        <v>2.5</v>
      </c>
      <c r="H48" s="92">
        <f t="shared" si="6"/>
        <v>115.41</v>
      </c>
      <c r="I48" s="81">
        <f t="shared" si="7"/>
        <v>1</v>
      </c>
      <c r="J48" s="274">
        <f t="shared" si="18"/>
        <v>150</v>
      </c>
      <c r="K48" s="81">
        <f t="shared" si="1"/>
        <v>34.590000000000003</v>
      </c>
      <c r="L48" s="82">
        <f t="shared" si="8"/>
        <v>76.94</v>
      </c>
      <c r="M48" s="88" t="s">
        <v>345</v>
      </c>
      <c r="N48" s="90">
        <v>934.80499999999995</v>
      </c>
      <c r="O48" s="168">
        <f t="shared" si="9"/>
        <v>150</v>
      </c>
      <c r="P48" s="80">
        <f t="shared" si="22"/>
        <v>46.164000000000001</v>
      </c>
      <c r="Q48" s="79">
        <v>2.5</v>
      </c>
      <c r="R48" s="252">
        <f t="shared" si="11"/>
        <v>115.41</v>
      </c>
      <c r="S48" s="80">
        <f t="shared" si="19"/>
        <v>150</v>
      </c>
      <c r="T48" s="191">
        <f t="shared" si="20"/>
        <v>34.590000000000003</v>
      </c>
      <c r="U48" s="204" t="str">
        <f t="shared" si="21"/>
        <v>No</v>
      </c>
      <c r="V48" s="195"/>
      <c r="W48" s="102"/>
      <c r="Y48" s="59" t="s">
        <v>93</v>
      </c>
      <c r="Z48" s="337">
        <v>0</v>
      </c>
      <c r="AA48" s="335">
        <v>0</v>
      </c>
      <c r="AB48" s="337">
        <f>2+1</f>
        <v>3</v>
      </c>
      <c r="AC48" s="337">
        <f>10</f>
        <v>10</v>
      </c>
      <c r="AD48" s="337">
        <v>0</v>
      </c>
      <c r="AE48" s="59">
        <f t="shared" si="27"/>
        <v>13</v>
      </c>
      <c r="AG48" s="5"/>
      <c r="AH48" s="5"/>
      <c r="AI48" s="5"/>
      <c r="AJ48" s="5"/>
      <c r="AK48" s="5"/>
      <c r="AL48" s="5"/>
      <c r="AM48" s="5"/>
    </row>
    <row r="49" spans="1:39" ht="15.75" thickBot="1">
      <c r="A49" s="562" t="s">
        <v>344</v>
      </c>
      <c r="B49" s="84" t="s">
        <v>343</v>
      </c>
      <c r="C49" s="83" t="s">
        <v>342</v>
      </c>
      <c r="D49" s="82">
        <v>592.98500000000001</v>
      </c>
      <c r="E49" s="243">
        <f t="shared" si="5"/>
        <v>150</v>
      </c>
      <c r="F49" s="82">
        <v>175.91919999999999</v>
      </c>
      <c r="G49" s="82">
        <v>2.5</v>
      </c>
      <c r="H49" s="82">
        <f t="shared" si="6"/>
        <v>439.798</v>
      </c>
      <c r="I49" s="81">
        <f t="shared" si="7"/>
        <v>4</v>
      </c>
      <c r="J49" s="270">
        <f t="shared" si="18"/>
        <v>600</v>
      </c>
      <c r="K49" s="81">
        <f t="shared" si="1"/>
        <v>160.202</v>
      </c>
      <c r="L49" s="82">
        <f t="shared" si="8"/>
        <v>73.299666666666667</v>
      </c>
      <c r="M49" s="98" t="s">
        <v>341</v>
      </c>
      <c r="N49" s="80">
        <v>992.44500000000005</v>
      </c>
      <c r="O49" s="168">
        <f t="shared" si="9"/>
        <v>150</v>
      </c>
      <c r="P49" s="80">
        <f t="shared" si="22"/>
        <v>175.91919999999999</v>
      </c>
      <c r="Q49" s="79">
        <v>2.5</v>
      </c>
      <c r="R49" s="251">
        <f t="shared" si="11"/>
        <v>439.798</v>
      </c>
      <c r="S49" s="80">
        <f t="shared" si="19"/>
        <v>600</v>
      </c>
      <c r="T49" s="191">
        <f t="shared" si="20"/>
        <v>160.202</v>
      </c>
      <c r="U49" s="204" t="str">
        <f t="shared" si="21"/>
        <v>No</v>
      </c>
      <c r="V49" s="189"/>
      <c r="W49" s="103"/>
      <c r="Y49" s="59" t="s">
        <v>94</v>
      </c>
      <c r="Z49" s="337">
        <v>0</v>
      </c>
      <c r="AA49" s="488">
        <f>2</f>
        <v>2</v>
      </c>
      <c r="AB49" s="337">
        <f>3+1</f>
        <v>4</v>
      </c>
      <c r="AC49" s="337">
        <f>11</f>
        <v>11</v>
      </c>
      <c r="AD49" s="337">
        <v>0</v>
      </c>
      <c r="AE49" s="59">
        <f t="shared" si="27"/>
        <v>17</v>
      </c>
      <c r="AG49" s="435">
        <f>AE31+AE51</f>
        <v>363</v>
      </c>
      <c r="AH49" s="5"/>
      <c r="AI49" s="5"/>
      <c r="AJ49" s="5"/>
      <c r="AK49" s="5"/>
      <c r="AL49" s="5"/>
      <c r="AM49" s="5"/>
    </row>
    <row r="50" spans="1:39" ht="15.75" thickBot="1">
      <c r="A50" s="564"/>
      <c r="B50" s="94" t="s">
        <v>339</v>
      </c>
      <c r="C50" s="93" t="s">
        <v>338</v>
      </c>
      <c r="D50" s="92">
        <v>768.38499999999999</v>
      </c>
      <c r="E50" s="245">
        <f t="shared" si="5"/>
        <v>150</v>
      </c>
      <c r="F50" s="92">
        <v>46.164000000000001</v>
      </c>
      <c r="G50" s="82">
        <v>2.5</v>
      </c>
      <c r="H50" s="92">
        <f t="shared" si="6"/>
        <v>115.41</v>
      </c>
      <c r="I50" s="81">
        <f t="shared" si="7"/>
        <v>1</v>
      </c>
      <c r="J50" s="274">
        <f t="shared" si="18"/>
        <v>150</v>
      </c>
      <c r="K50" s="81">
        <f t="shared" si="1"/>
        <v>34.590000000000003</v>
      </c>
      <c r="L50" s="82">
        <f t="shared" si="8"/>
        <v>76.94</v>
      </c>
      <c r="M50" s="88" t="s">
        <v>337</v>
      </c>
      <c r="N50" s="90">
        <v>817.04499999999996</v>
      </c>
      <c r="O50" s="168">
        <f t="shared" si="9"/>
        <v>150</v>
      </c>
      <c r="P50" s="80">
        <f t="shared" si="22"/>
        <v>46.164000000000001</v>
      </c>
      <c r="Q50" s="79">
        <v>2.5</v>
      </c>
      <c r="R50" s="252">
        <f t="shared" si="11"/>
        <v>115.41</v>
      </c>
      <c r="S50" s="80">
        <f t="shared" si="19"/>
        <v>150</v>
      </c>
      <c r="T50" s="191">
        <f t="shared" si="20"/>
        <v>34.590000000000003</v>
      </c>
      <c r="U50" s="204" t="str">
        <f t="shared" si="21"/>
        <v>No</v>
      </c>
      <c r="V50" s="194"/>
      <c r="W50" s="193"/>
      <c r="Y50" s="343" t="s">
        <v>492</v>
      </c>
      <c r="Z50" s="337">
        <v>0</v>
      </c>
      <c r="AA50" s="344">
        <f>1</f>
        <v>1</v>
      </c>
      <c r="AB50" s="344">
        <f>4</f>
        <v>4</v>
      </c>
      <c r="AC50" s="344">
        <v>0</v>
      </c>
      <c r="AD50" s="337">
        <v>0</v>
      </c>
      <c r="AE50" s="343">
        <f t="shared" si="27"/>
        <v>5</v>
      </c>
      <c r="AG50" s="496">
        <f t="shared" ref="AG50:AG51" si="29">AE32+AE52</f>
        <v>6021.9578999999994</v>
      </c>
      <c r="AH50" s="5"/>
      <c r="AI50" s="5"/>
      <c r="AJ50" s="5"/>
      <c r="AK50" s="5"/>
      <c r="AL50" s="5"/>
      <c r="AM50" s="5"/>
    </row>
    <row r="51" spans="1:39" ht="15.75" thickBot="1">
      <c r="A51" s="562" t="s">
        <v>340</v>
      </c>
      <c r="B51" s="84" t="s">
        <v>339</v>
      </c>
      <c r="C51" s="83" t="s">
        <v>338</v>
      </c>
      <c r="D51" s="82">
        <v>768.38499999999999</v>
      </c>
      <c r="E51" s="243">
        <f t="shared" si="5"/>
        <v>150</v>
      </c>
      <c r="F51" s="82">
        <v>46.164000000000001</v>
      </c>
      <c r="G51" s="82">
        <v>2.5</v>
      </c>
      <c r="H51" s="82">
        <f t="shared" si="6"/>
        <v>115.41</v>
      </c>
      <c r="I51" s="81">
        <f t="shared" si="7"/>
        <v>1</v>
      </c>
      <c r="J51" s="270">
        <f t="shared" si="18"/>
        <v>150</v>
      </c>
      <c r="K51" s="81">
        <f t="shared" si="1"/>
        <v>34.590000000000003</v>
      </c>
      <c r="L51" s="82">
        <f t="shared" si="8"/>
        <v>76.94</v>
      </c>
      <c r="M51" s="98" t="s">
        <v>337</v>
      </c>
      <c r="N51" s="80">
        <v>817.04499999999996</v>
      </c>
      <c r="O51" s="168">
        <f t="shared" si="9"/>
        <v>150</v>
      </c>
      <c r="P51" s="80">
        <f t="shared" si="22"/>
        <v>46.164000000000001</v>
      </c>
      <c r="Q51" s="79">
        <v>2.5</v>
      </c>
      <c r="R51" s="251">
        <f t="shared" si="11"/>
        <v>115.41</v>
      </c>
      <c r="S51" s="80">
        <f t="shared" si="19"/>
        <v>150</v>
      </c>
      <c r="T51" s="191">
        <f t="shared" si="20"/>
        <v>34.590000000000003</v>
      </c>
      <c r="U51" s="204" t="str">
        <f t="shared" si="21"/>
        <v>No</v>
      </c>
      <c r="V51" s="192"/>
      <c r="W51" s="75"/>
      <c r="Y51" s="290" t="s">
        <v>501</v>
      </c>
      <c r="Z51" s="345">
        <f t="shared" ref="Z51:AE51" si="30">SUM(Z39:Z50)</f>
        <v>0</v>
      </c>
      <c r="AA51" s="345">
        <f t="shared" si="30"/>
        <v>118</v>
      </c>
      <c r="AB51" s="345">
        <f t="shared" si="30"/>
        <v>122</v>
      </c>
      <c r="AC51" s="345">
        <f t="shared" si="30"/>
        <v>56</v>
      </c>
      <c r="AD51" s="345">
        <f t="shared" si="30"/>
        <v>14</v>
      </c>
      <c r="AE51" s="346">
        <f t="shared" si="30"/>
        <v>310</v>
      </c>
      <c r="AG51" s="435">
        <f t="shared" si="29"/>
        <v>68850</v>
      </c>
      <c r="AH51" s="5"/>
      <c r="AI51" s="5"/>
      <c r="AJ51" s="5"/>
      <c r="AK51" s="5"/>
      <c r="AL51" s="5"/>
      <c r="AM51" s="5"/>
    </row>
    <row r="52" spans="1:39" ht="13.5" thickBot="1">
      <c r="A52" s="564"/>
      <c r="B52" s="94" t="s">
        <v>30</v>
      </c>
      <c r="C52" s="93" t="s">
        <v>326</v>
      </c>
      <c r="D52" s="92">
        <v>317.27</v>
      </c>
      <c r="E52" s="245">
        <f t="shared" si="5"/>
        <v>200</v>
      </c>
      <c r="F52" s="92">
        <v>136.87530000000001</v>
      </c>
      <c r="G52" s="82">
        <v>2.5</v>
      </c>
      <c r="H52" s="92">
        <f t="shared" si="6"/>
        <v>342.18825000000004</v>
      </c>
      <c r="I52" s="81">
        <f t="shared" si="7"/>
        <v>3</v>
      </c>
      <c r="J52" s="274">
        <f t="shared" si="18"/>
        <v>600</v>
      </c>
      <c r="K52" s="81">
        <f t="shared" si="1"/>
        <v>257.81174999999996</v>
      </c>
      <c r="L52" s="82">
        <f t="shared" si="8"/>
        <v>57.031375000000004</v>
      </c>
      <c r="M52" s="88" t="s">
        <v>325</v>
      </c>
      <c r="N52" s="90">
        <v>518.48</v>
      </c>
      <c r="O52" s="168">
        <f t="shared" si="9"/>
        <v>200</v>
      </c>
      <c r="P52" s="80">
        <f t="shared" si="22"/>
        <v>136.87530000000001</v>
      </c>
      <c r="Q52" s="79">
        <v>2.5</v>
      </c>
      <c r="R52" s="252">
        <f t="shared" si="11"/>
        <v>342.18825000000004</v>
      </c>
      <c r="S52" s="80">
        <f t="shared" si="19"/>
        <v>600</v>
      </c>
      <c r="T52" s="191">
        <f t="shared" si="20"/>
        <v>257.81174999999996</v>
      </c>
      <c r="U52" s="204" t="str">
        <f t="shared" si="21"/>
        <v>No</v>
      </c>
      <c r="V52" s="190"/>
      <c r="W52" s="65"/>
      <c r="Y52" s="290" t="s">
        <v>500</v>
      </c>
      <c r="Z52" s="489">
        <f>PRODUCT(Z51*AI22)</f>
        <v>0</v>
      </c>
      <c r="AA52" s="489">
        <f>PRODUCT(AA51*AI23)</f>
        <v>1931.5301999999999</v>
      </c>
      <c r="AB52" s="489">
        <f>PRODUCT(AB51*AI24)</f>
        <v>2043.0974000000001</v>
      </c>
      <c r="AC52" s="489">
        <f>PRODUCT(AC51*AI25)</f>
        <v>945.64960000000008</v>
      </c>
      <c r="AD52" s="489">
        <f>PRODUCT(AD51*AI26)</f>
        <v>238</v>
      </c>
      <c r="AE52" s="490">
        <f>SUM(Z52:AD52)</f>
        <v>5158.2771999999995</v>
      </c>
      <c r="AG52" s="5"/>
      <c r="AH52" s="5"/>
      <c r="AI52" s="5"/>
      <c r="AJ52" s="5"/>
      <c r="AK52" s="5"/>
      <c r="AL52" s="5"/>
      <c r="AM52" s="5"/>
    </row>
    <row r="53" spans="1:39" ht="13.5" thickBot="1">
      <c r="A53" s="562" t="s">
        <v>336</v>
      </c>
      <c r="B53" s="84" t="s">
        <v>28</v>
      </c>
      <c r="C53" s="83" t="s">
        <v>335</v>
      </c>
      <c r="D53" s="82">
        <v>675.17499999999995</v>
      </c>
      <c r="E53" s="243">
        <f t="shared" si="5"/>
        <v>150</v>
      </c>
      <c r="F53" s="82">
        <v>87.5685</v>
      </c>
      <c r="G53" s="82">
        <v>2.5</v>
      </c>
      <c r="H53" s="82">
        <f t="shared" si="6"/>
        <v>218.92124999999999</v>
      </c>
      <c r="I53" s="81">
        <f t="shared" si="7"/>
        <v>2</v>
      </c>
      <c r="J53" s="270">
        <f t="shared" si="18"/>
        <v>300</v>
      </c>
      <c r="K53" s="81">
        <f t="shared" si="1"/>
        <v>81.078750000000014</v>
      </c>
      <c r="L53" s="82">
        <f t="shared" si="8"/>
        <v>72.973749999999995</v>
      </c>
      <c r="M53" s="98" t="s">
        <v>334</v>
      </c>
      <c r="N53" s="80">
        <v>792.93499999999995</v>
      </c>
      <c r="O53" s="168">
        <f t="shared" si="9"/>
        <v>150</v>
      </c>
      <c r="P53" s="80">
        <f t="shared" si="22"/>
        <v>87.5685</v>
      </c>
      <c r="Q53" s="79">
        <v>2.5</v>
      </c>
      <c r="R53" s="251">
        <f t="shared" si="11"/>
        <v>218.92124999999999</v>
      </c>
      <c r="S53" s="80">
        <f t="shared" si="19"/>
        <v>300</v>
      </c>
      <c r="T53" s="191">
        <f t="shared" si="20"/>
        <v>81.078750000000014</v>
      </c>
      <c r="U53" s="204" t="str">
        <f t="shared" si="21"/>
        <v>No</v>
      </c>
      <c r="V53" s="59"/>
      <c r="W53" s="97"/>
      <c r="Y53" s="290" t="s">
        <v>563</v>
      </c>
      <c r="Z53" s="347">
        <f>Z51*AH22</f>
        <v>0</v>
      </c>
      <c r="AA53" s="347">
        <f>AA51*AH23</f>
        <v>17700</v>
      </c>
      <c r="AB53" s="347">
        <f>AB51*AH24</f>
        <v>24400</v>
      </c>
      <c r="AC53" s="347">
        <f>AC51*AH25</f>
        <v>14000</v>
      </c>
      <c r="AD53" s="347">
        <f>AD51*AH26</f>
        <v>4200</v>
      </c>
      <c r="AE53" s="290">
        <f>SUM(Z53:AD53)</f>
        <v>60300</v>
      </c>
    </row>
    <row r="54" spans="1:39" ht="13.5" thickBot="1">
      <c r="A54" s="564"/>
      <c r="B54" s="94" t="s">
        <v>333</v>
      </c>
      <c r="C54" s="93" t="s">
        <v>332</v>
      </c>
      <c r="D54" s="92">
        <v>300.33499999999998</v>
      </c>
      <c r="E54" s="244">
        <f t="shared" si="5"/>
        <v>200</v>
      </c>
      <c r="F54" s="92">
        <v>33.29833</v>
      </c>
      <c r="G54" s="82">
        <v>2.5</v>
      </c>
      <c r="H54" s="92">
        <f t="shared" si="6"/>
        <v>83.245824999999996</v>
      </c>
      <c r="I54" s="81">
        <f t="shared" si="7"/>
        <v>1</v>
      </c>
      <c r="J54" s="272">
        <f t="shared" si="18"/>
        <v>200</v>
      </c>
      <c r="K54" s="81">
        <f t="shared" si="1"/>
        <v>116.754175</v>
      </c>
      <c r="L54" s="82">
        <f t="shared" si="8"/>
        <v>41.622912499999998</v>
      </c>
      <c r="M54" s="88" t="s">
        <v>331</v>
      </c>
      <c r="N54" s="90">
        <v>524.75</v>
      </c>
      <c r="O54" s="168">
        <f t="shared" si="9"/>
        <v>200</v>
      </c>
      <c r="P54" s="80">
        <f t="shared" si="22"/>
        <v>33.29833</v>
      </c>
      <c r="Q54" s="79">
        <v>2.5</v>
      </c>
      <c r="R54" s="252">
        <f t="shared" si="11"/>
        <v>83.245824999999996</v>
      </c>
      <c r="S54" s="80">
        <f t="shared" si="19"/>
        <v>200</v>
      </c>
      <c r="T54" s="191">
        <f t="shared" si="20"/>
        <v>116.754175</v>
      </c>
      <c r="U54" s="204" t="str">
        <f t="shared" si="21"/>
        <v>No</v>
      </c>
      <c r="V54" s="59"/>
      <c r="W54" s="97"/>
      <c r="Y54" s="5"/>
      <c r="Z54" s="5"/>
      <c r="AA54" s="5"/>
      <c r="AB54" s="5"/>
      <c r="AC54" s="5"/>
      <c r="AD54" s="5"/>
      <c r="AE54" s="5"/>
    </row>
    <row r="55" spans="1:39" ht="13.5" thickBot="1">
      <c r="A55" s="562" t="s">
        <v>330</v>
      </c>
      <c r="B55" s="84" t="s">
        <v>329</v>
      </c>
      <c r="C55" s="83" t="s">
        <v>61</v>
      </c>
      <c r="D55" s="82">
        <v>381.34</v>
      </c>
      <c r="E55" s="243">
        <f t="shared" si="5"/>
        <v>200</v>
      </c>
      <c r="F55" s="82">
        <v>233.80699999999999</v>
      </c>
      <c r="G55" s="82">
        <v>2.5</v>
      </c>
      <c r="H55" s="82">
        <f t="shared" si="6"/>
        <v>584.51749999999993</v>
      </c>
      <c r="I55" s="81">
        <f t="shared" si="7"/>
        <v>4</v>
      </c>
      <c r="J55" s="270">
        <f t="shared" si="18"/>
        <v>800</v>
      </c>
      <c r="K55" s="81">
        <f t="shared" si="1"/>
        <v>215.48250000000007</v>
      </c>
      <c r="L55" s="82">
        <f t="shared" si="8"/>
        <v>73.064687499999991</v>
      </c>
      <c r="M55" s="98" t="s">
        <v>328</v>
      </c>
      <c r="N55" s="80">
        <v>673.16499999999996</v>
      </c>
      <c r="O55" s="168">
        <f t="shared" si="9"/>
        <v>150</v>
      </c>
      <c r="P55" s="80">
        <f t="shared" si="22"/>
        <v>233.80699999999999</v>
      </c>
      <c r="Q55" s="79">
        <v>2.5</v>
      </c>
      <c r="R55" s="251">
        <f t="shared" si="11"/>
        <v>584.51749999999993</v>
      </c>
      <c r="S55" s="80">
        <f t="shared" si="19"/>
        <v>600</v>
      </c>
      <c r="T55" s="191">
        <f t="shared" si="20"/>
        <v>15.482500000000073</v>
      </c>
      <c r="U55" s="204" t="str">
        <f t="shared" si="21"/>
        <v>No</v>
      </c>
      <c r="V55" s="189"/>
      <c r="W55" s="103"/>
    </row>
    <row r="56" spans="1:39" ht="13.5" thickBot="1">
      <c r="A56" s="563"/>
      <c r="B56" s="74" t="s">
        <v>30</v>
      </c>
      <c r="C56" s="73" t="s">
        <v>326</v>
      </c>
      <c r="D56" s="72">
        <v>317.27</v>
      </c>
      <c r="E56" s="244">
        <f t="shared" si="5"/>
        <v>200</v>
      </c>
      <c r="F56" s="72">
        <v>136.87530000000001</v>
      </c>
      <c r="G56" s="82">
        <v>2.5</v>
      </c>
      <c r="H56" s="72">
        <f t="shared" si="6"/>
        <v>342.18825000000004</v>
      </c>
      <c r="I56" s="81">
        <f t="shared" si="7"/>
        <v>3</v>
      </c>
      <c r="J56" s="272">
        <f t="shared" si="18"/>
        <v>600</v>
      </c>
      <c r="K56" s="81">
        <f t="shared" si="1"/>
        <v>257.81174999999996</v>
      </c>
      <c r="L56" s="82">
        <f t="shared" si="8"/>
        <v>57.031375000000004</v>
      </c>
      <c r="M56" s="69" t="s">
        <v>325</v>
      </c>
      <c r="N56" s="70">
        <v>518.48</v>
      </c>
      <c r="O56" s="168">
        <f t="shared" si="9"/>
        <v>200</v>
      </c>
      <c r="P56" s="80">
        <f t="shared" si="22"/>
        <v>136.87530000000001</v>
      </c>
      <c r="Q56" s="79">
        <v>2.5</v>
      </c>
      <c r="R56" s="253">
        <f t="shared" si="11"/>
        <v>342.18825000000004</v>
      </c>
      <c r="S56" s="80">
        <f t="shared" si="19"/>
        <v>600</v>
      </c>
      <c r="T56" s="191">
        <f t="shared" si="20"/>
        <v>257.81174999999996</v>
      </c>
      <c r="U56" s="204" t="str">
        <f t="shared" si="21"/>
        <v>No</v>
      </c>
      <c r="V56" s="187"/>
      <c r="W56" s="186"/>
    </row>
    <row r="57" spans="1:39">
      <c r="D57" s="235" t="s">
        <v>415</v>
      </c>
      <c r="E57" s="266"/>
      <c r="I57" s="266" t="s">
        <v>415</v>
      </c>
      <c r="J57" s="266">
        <f>SUM(J3:J56)</f>
        <v>46150</v>
      </c>
      <c r="K57" s="266"/>
      <c r="L57" s="266"/>
    </row>
    <row r="58" spans="1:39">
      <c r="E58" s="266"/>
      <c r="I58" s="266"/>
      <c r="J58" s="266"/>
      <c r="K58" s="266"/>
      <c r="L58" s="266"/>
    </row>
    <row r="59" spans="1:39">
      <c r="E59" s="266"/>
      <c r="I59" s="266"/>
      <c r="J59" s="266"/>
      <c r="K59" s="266"/>
      <c r="L59" s="266"/>
    </row>
    <row r="60" spans="1:39">
      <c r="E60" s="266"/>
      <c r="I60" s="266"/>
      <c r="J60" s="266"/>
      <c r="K60" s="266"/>
      <c r="L60" s="266"/>
    </row>
    <row r="61" spans="1:39">
      <c r="E61" s="266"/>
      <c r="I61" s="266"/>
      <c r="J61" s="266"/>
      <c r="K61" s="266"/>
      <c r="L61" s="266"/>
    </row>
    <row r="62" spans="1:39">
      <c r="E62" s="266"/>
      <c r="I62" s="266"/>
      <c r="J62" s="266"/>
      <c r="K62" s="266"/>
      <c r="L62" s="266"/>
    </row>
    <row r="63" spans="1:39">
      <c r="E63" s="266"/>
      <c r="I63" s="266"/>
      <c r="J63" s="266"/>
      <c r="K63" s="266"/>
      <c r="L63" s="266"/>
    </row>
    <row r="64" spans="1:39">
      <c r="E64" s="266"/>
      <c r="I64" s="266"/>
      <c r="J64" s="266"/>
      <c r="K64" s="266"/>
      <c r="L64" s="266"/>
    </row>
    <row r="65" spans="5:12">
      <c r="E65" s="266"/>
      <c r="I65" s="266"/>
    </row>
    <row r="66" spans="5:12">
      <c r="E66" s="266"/>
      <c r="I66" s="266"/>
    </row>
    <row r="67" spans="5:12">
      <c r="E67" s="266"/>
      <c r="I67" s="266"/>
    </row>
    <row r="68" spans="5:12">
      <c r="E68" s="266"/>
      <c r="I68" s="266"/>
      <c r="J68" s="266"/>
      <c r="K68" s="266"/>
      <c r="L68" s="266"/>
    </row>
    <row r="69" spans="5:12">
      <c r="E69" s="266"/>
      <c r="I69" s="266"/>
      <c r="J69" s="266"/>
      <c r="K69" s="266"/>
      <c r="L69" s="266"/>
    </row>
    <row r="70" spans="5:12">
      <c r="E70" s="266"/>
      <c r="I70" s="266"/>
      <c r="J70" s="266"/>
      <c r="K70" s="266"/>
      <c r="L70" s="266"/>
    </row>
    <row r="71" spans="5:12">
      <c r="E71" s="266"/>
      <c r="I71" s="266"/>
      <c r="J71" s="266"/>
      <c r="K71" s="266"/>
      <c r="L71" s="266"/>
    </row>
    <row r="72" spans="5:12">
      <c r="E72" s="266"/>
      <c r="I72" s="266"/>
      <c r="J72" s="266"/>
      <c r="K72" s="266"/>
      <c r="L72" s="266"/>
    </row>
    <row r="73" spans="5:12">
      <c r="E73" s="266"/>
      <c r="I73" s="266"/>
      <c r="J73" s="266"/>
      <c r="K73" s="266"/>
      <c r="L73" s="266"/>
    </row>
    <row r="74" spans="5:12">
      <c r="E74" s="266"/>
      <c r="I74" s="266"/>
      <c r="J74" s="266"/>
      <c r="K74" s="266"/>
      <c r="L74" s="266"/>
    </row>
    <row r="75" spans="5:12">
      <c r="E75" s="266"/>
      <c r="I75" s="266"/>
      <c r="J75" s="266"/>
      <c r="K75" s="266"/>
      <c r="L75" s="266"/>
    </row>
    <row r="76" spans="5:12">
      <c r="E76" s="266"/>
      <c r="I76" s="266"/>
      <c r="J76" s="266"/>
      <c r="K76" s="266"/>
      <c r="L76" s="266"/>
    </row>
    <row r="77" spans="5:12">
      <c r="E77" s="266"/>
      <c r="I77" s="266"/>
      <c r="J77" s="266"/>
      <c r="K77" s="266"/>
      <c r="L77" s="266"/>
    </row>
    <row r="78" spans="5:12">
      <c r="E78" s="266"/>
      <c r="I78" s="266"/>
      <c r="J78" s="266"/>
      <c r="K78" s="266"/>
      <c r="L78" s="266"/>
    </row>
    <row r="79" spans="5:12">
      <c r="E79" s="266"/>
      <c r="I79" s="266"/>
      <c r="J79" s="266"/>
      <c r="K79" s="266"/>
      <c r="L79" s="266"/>
    </row>
    <row r="80" spans="5:12">
      <c r="E80" s="266"/>
      <c r="I80" s="266"/>
      <c r="J80" s="266"/>
      <c r="K80" s="266"/>
      <c r="L80" s="266"/>
    </row>
    <row r="81" spans="5:12">
      <c r="E81" s="266"/>
      <c r="I81" s="266"/>
      <c r="J81" s="266"/>
      <c r="K81" s="266"/>
      <c r="L81" s="266"/>
    </row>
    <row r="82" spans="5:12">
      <c r="E82" s="266"/>
      <c r="I82" s="266"/>
      <c r="J82" s="266"/>
      <c r="K82" s="266"/>
      <c r="L82" s="266"/>
    </row>
    <row r="83" spans="5:12">
      <c r="E83" s="266"/>
      <c r="I83" s="266"/>
      <c r="J83" s="266"/>
      <c r="K83" s="266"/>
      <c r="L83" s="266"/>
    </row>
    <row r="84" spans="5:12">
      <c r="E84" s="266"/>
      <c r="I84" s="266"/>
      <c r="J84" s="266"/>
      <c r="K84" s="266"/>
      <c r="L84" s="266"/>
    </row>
    <row r="85" spans="5:12">
      <c r="E85" s="266"/>
      <c r="I85" s="266"/>
      <c r="J85" s="266"/>
      <c r="K85" s="266"/>
      <c r="L85" s="266"/>
    </row>
    <row r="86" spans="5:12">
      <c r="E86" s="266"/>
      <c r="I86" s="266"/>
      <c r="J86" s="266"/>
      <c r="K86" s="266"/>
      <c r="L86" s="266"/>
    </row>
    <row r="87" spans="5:12">
      <c r="E87" s="266"/>
      <c r="I87" s="266"/>
      <c r="J87" s="266"/>
      <c r="K87" s="266"/>
      <c r="L87" s="266"/>
    </row>
    <row r="88" spans="5:12">
      <c r="E88" s="266"/>
      <c r="I88" s="266"/>
      <c r="J88" s="266"/>
      <c r="K88" s="266"/>
      <c r="L88" s="266"/>
    </row>
    <row r="89" spans="5:12">
      <c r="E89" s="266"/>
      <c r="I89" s="266"/>
      <c r="J89" s="266"/>
      <c r="K89" s="266"/>
      <c r="L89" s="266"/>
    </row>
    <row r="90" spans="5:12">
      <c r="E90" s="266"/>
      <c r="I90" s="266"/>
      <c r="J90" s="266"/>
      <c r="K90" s="266"/>
      <c r="L90" s="266"/>
    </row>
    <row r="91" spans="5:12">
      <c r="E91" s="266"/>
      <c r="I91" s="266"/>
      <c r="J91" s="266"/>
      <c r="K91" s="266"/>
      <c r="L91" s="266"/>
    </row>
    <row r="92" spans="5:12">
      <c r="E92" s="266"/>
      <c r="I92" s="266"/>
      <c r="J92" s="266"/>
      <c r="K92" s="266"/>
      <c r="L92" s="266"/>
    </row>
    <row r="93" spans="5:12">
      <c r="E93" s="266"/>
      <c r="I93" s="266"/>
      <c r="J93" s="266"/>
      <c r="K93" s="266"/>
      <c r="L93" s="266"/>
    </row>
    <row r="94" spans="5:12">
      <c r="E94" s="266"/>
      <c r="I94" s="266"/>
      <c r="J94" s="266"/>
      <c r="K94" s="266"/>
      <c r="L94" s="266"/>
    </row>
    <row r="95" spans="5:12">
      <c r="E95" s="266"/>
      <c r="I95" s="266"/>
      <c r="J95" s="266"/>
      <c r="K95" s="266"/>
      <c r="L95" s="266"/>
    </row>
    <row r="96" spans="5:12">
      <c r="E96" s="266"/>
      <c r="I96" s="266"/>
      <c r="J96" s="266"/>
      <c r="K96" s="266"/>
      <c r="L96" s="266"/>
    </row>
    <row r="97" spans="5:12">
      <c r="E97" s="266"/>
      <c r="I97" s="266"/>
      <c r="J97" s="266"/>
      <c r="K97" s="266"/>
      <c r="L97" s="266"/>
    </row>
    <row r="98" spans="5:12">
      <c r="E98" s="266"/>
      <c r="I98" s="266"/>
      <c r="J98" s="266"/>
      <c r="K98" s="266"/>
      <c r="L98" s="266"/>
    </row>
    <row r="99" spans="5:12">
      <c r="E99" s="266"/>
      <c r="I99" s="266"/>
      <c r="J99" s="266"/>
      <c r="K99" s="266"/>
      <c r="L99" s="266"/>
    </row>
    <row r="100" spans="5:12">
      <c r="E100" s="266"/>
      <c r="I100" s="266"/>
      <c r="J100" s="266"/>
      <c r="K100" s="266"/>
      <c r="L100" s="266"/>
    </row>
    <row r="101" spans="5:12">
      <c r="E101" s="266"/>
      <c r="I101" s="266"/>
      <c r="J101" s="266"/>
      <c r="K101" s="266"/>
      <c r="L101" s="266"/>
    </row>
    <row r="102" spans="5:12">
      <c r="E102" s="266"/>
      <c r="I102" s="266"/>
      <c r="J102" s="266"/>
      <c r="K102" s="266"/>
      <c r="L102" s="266"/>
    </row>
    <row r="103" spans="5:12">
      <c r="E103" s="266"/>
      <c r="I103" s="266"/>
      <c r="J103" s="266"/>
      <c r="K103" s="266"/>
      <c r="L103" s="266"/>
    </row>
    <row r="104" spans="5:12">
      <c r="E104" s="266"/>
      <c r="I104" s="266"/>
      <c r="J104" s="266"/>
      <c r="K104" s="266"/>
      <c r="L104" s="266"/>
    </row>
    <row r="105" spans="5:12">
      <c r="E105" s="266"/>
      <c r="I105" s="266"/>
      <c r="J105" s="266"/>
      <c r="K105" s="266"/>
      <c r="L105" s="266"/>
    </row>
    <row r="106" spans="5:12">
      <c r="E106" s="266"/>
      <c r="I106" s="266"/>
      <c r="J106" s="266"/>
      <c r="K106" s="266"/>
      <c r="L106" s="266"/>
    </row>
    <row r="107" spans="5:12">
      <c r="E107" s="266"/>
      <c r="I107" s="266"/>
      <c r="J107" s="266"/>
      <c r="K107" s="266"/>
      <c r="L107" s="266"/>
    </row>
    <row r="108" spans="5:12">
      <c r="E108" s="266"/>
      <c r="I108" s="266"/>
      <c r="J108" s="266"/>
      <c r="K108" s="266"/>
      <c r="L108" s="266"/>
    </row>
    <row r="109" spans="5:12">
      <c r="E109" s="266"/>
      <c r="I109" s="266"/>
      <c r="J109" s="266"/>
      <c r="K109" s="266"/>
      <c r="L109" s="266"/>
    </row>
    <row r="110" spans="5:12">
      <c r="E110" s="266"/>
      <c r="I110" s="266"/>
      <c r="J110" s="266"/>
      <c r="K110" s="266"/>
      <c r="L110" s="266"/>
    </row>
    <row r="111" spans="5:12">
      <c r="E111" s="266"/>
      <c r="I111" s="266"/>
      <c r="J111" s="266"/>
      <c r="K111" s="266"/>
      <c r="L111" s="266"/>
    </row>
    <row r="112" spans="5:12">
      <c r="E112" s="266"/>
      <c r="I112" s="266"/>
      <c r="J112" s="266"/>
      <c r="K112" s="266"/>
      <c r="L112" s="266"/>
    </row>
    <row r="113" spans="5:12">
      <c r="E113" s="266"/>
      <c r="I113" s="266"/>
      <c r="J113" s="266"/>
      <c r="K113" s="266"/>
      <c r="L113" s="266"/>
    </row>
    <row r="114" spans="5:12">
      <c r="E114" s="266"/>
      <c r="I114" s="266"/>
      <c r="J114" s="266"/>
      <c r="K114" s="266"/>
      <c r="L114" s="266"/>
    </row>
    <row r="115" spans="5:12">
      <c r="E115" s="266"/>
      <c r="I115" s="266"/>
      <c r="J115" s="266"/>
      <c r="K115" s="266"/>
      <c r="L115" s="266"/>
    </row>
    <row r="116" spans="5:12">
      <c r="E116" s="266"/>
      <c r="I116" s="266"/>
      <c r="J116" s="266"/>
      <c r="K116" s="266"/>
      <c r="L116" s="266"/>
    </row>
    <row r="117" spans="5:12">
      <c r="E117" s="266"/>
      <c r="I117" s="266"/>
      <c r="J117" s="266"/>
      <c r="K117" s="266"/>
      <c r="L117" s="266"/>
    </row>
    <row r="118" spans="5:12">
      <c r="E118" s="266"/>
      <c r="I118" s="266"/>
      <c r="J118" s="266"/>
      <c r="K118" s="266"/>
      <c r="L118" s="266"/>
    </row>
    <row r="119" spans="5:12">
      <c r="E119" s="266"/>
      <c r="I119" s="266"/>
      <c r="J119" s="266"/>
      <c r="K119" s="266"/>
      <c r="L119" s="266"/>
    </row>
    <row r="120" spans="5:12">
      <c r="E120" s="266"/>
      <c r="I120" s="266"/>
      <c r="J120" s="266"/>
      <c r="K120" s="266"/>
      <c r="L120" s="266"/>
    </row>
    <row r="121" spans="5:12">
      <c r="E121" s="266"/>
      <c r="I121" s="266"/>
      <c r="J121" s="266"/>
      <c r="K121" s="266"/>
      <c r="L121" s="266"/>
    </row>
    <row r="122" spans="5:12">
      <c r="E122" s="266"/>
      <c r="I122" s="266"/>
      <c r="J122" s="266"/>
      <c r="K122" s="266"/>
      <c r="L122" s="266"/>
    </row>
    <row r="123" spans="5:12">
      <c r="E123" s="266"/>
      <c r="I123" s="266"/>
      <c r="J123" s="266"/>
      <c r="K123" s="266"/>
      <c r="L123" s="266"/>
    </row>
    <row r="124" spans="5:12">
      <c r="E124" s="266"/>
      <c r="I124" s="266"/>
      <c r="J124" s="266"/>
      <c r="K124" s="266"/>
      <c r="L124" s="266"/>
    </row>
    <row r="125" spans="5:12">
      <c r="E125" s="266"/>
      <c r="I125" s="266"/>
      <c r="J125" s="266"/>
      <c r="K125" s="266"/>
      <c r="L125" s="266"/>
    </row>
    <row r="126" spans="5:12">
      <c r="E126" s="266"/>
      <c r="I126" s="266"/>
      <c r="J126" s="266"/>
      <c r="K126" s="266"/>
      <c r="L126" s="266"/>
    </row>
    <row r="127" spans="5:12">
      <c r="E127" s="266"/>
      <c r="I127" s="266"/>
      <c r="J127" s="266"/>
      <c r="K127" s="266"/>
      <c r="L127" s="266"/>
    </row>
    <row r="128" spans="5:12">
      <c r="E128" s="266"/>
      <c r="I128" s="266"/>
      <c r="J128" s="266"/>
      <c r="K128" s="266"/>
      <c r="L128" s="266"/>
    </row>
    <row r="129" spans="5:12">
      <c r="E129" s="266"/>
      <c r="I129" s="266"/>
      <c r="J129" s="266"/>
      <c r="K129" s="266"/>
      <c r="L129" s="266"/>
    </row>
    <row r="130" spans="5:12">
      <c r="E130" s="266"/>
      <c r="I130" s="266"/>
      <c r="J130" s="266"/>
      <c r="K130" s="266"/>
      <c r="L130" s="266"/>
    </row>
    <row r="131" spans="5:12">
      <c r="E131" s="266"/>
      <c r="I131" s="266"/>
      <c r="J131" s="266"/>
      <c r="K131" s="266"/>
      <c r="L131" s="266"/>
    </row>
    <row r="132" spans="5:12">
      <c r="E132" s="266"/>
      <c r="I132" s="266"/>
      <c r="J132" s="266"/>
      <c r="K132" s="266"/>
      <c r="L132" s="266"/>
    </row>
    <row r="133" spans="5:12">
      <c r="E133" s="266"/>
      <c r="I133" s="266"/>
      <c r="J133" s="266"/>
      <c r="K133" s="266"/>
      <c r="L133" s="266"/>
    </row>
    <row r="134" spans="5:12">
      <c r="E134" s="266"/>
      <c r="I134" s="266"/>
      <c r="J134" s="266"/>
      <c r="K134" s="266"/>
      <c r="L134" s="266"/>
    </row>
    <row r="135" spans="5:12">
      <c r="E135" s="266"/>
      <c r="I135" s="266"/>
      <c r="J135" s="266"/>
      <c r="K135" s="266"/>
      <c r="L135" s="266"/>
    </row>
    <row r="136" spans="5:12">
      <c r="E136" s="266"/>
      <c r="I136" s="266"/>
      <c r="J136" s="266"/>
      <c r="K136" s="266"/>
      <c r="L136" s="266"/>
    </row>
    <row r="137" spans="5:12">
      <c r="E137" s="266"/>
      <c r="I137" s="266"/>
      <c r="J137" s="266"/>
      <c r="K137" s="266"/>
      <c r="L137" s="266"/>
    </row>
    <row r="138" spans="5:12">
      <c r="E138" s="266"/>
      <c r="I138" s="266"/>
      <c r="J138" s="266"/>
      <c r="K138" s="266"/>
      <c r="L138" s="266"/>
    </row>
    <row r="139" spans="5:12">
      <c r="E139" s="266"/>
      <c r="I139" s="266"/>
      <c r="J139" s="266"/>
      <c r="K139" s="266"/>
      <c r="L139" s="266"/>
    </row>
    <row r="140" spans="5:12">
      <c r="E140" s="266"/>
      <c r="I140" s="266"/>
      <c r="J140" s="266"/>
      <c r="K140" s="266"/>
      <c r="L140" s="266"/>
    </row>
    <row r="141" spans="5:12">
      <c r="E141" s="266"/>
      <c r="I141" s="266"/>
      <c r="J141" s="266"/>
      <c r="K141" s="266"/>
      <c r="L141" s="266"/>
    </row>
    <row r="142" spans="5:12">
      <c r="E142" s="266"/>
      <c r="I142" s="266"/>
      <c r="J142" s="266"/>
      <c r="K142" s="266"/>
      <c r="L142" s="266"/>
    </row>
    <row r="143" spans="5:12">
      <c r="E143" s="266"/>
      <c r="I143" s="266"/>
      <c r="J143" s="266"/>
      <c r="K143" s="266"/>
      <c r="L143" s="266"/>
    </row>
    <row r="144" spans="5:12">
      <c r="E144" s="266"/>
      <c r="I144" s="266"/>
      <c r="J144" s="266"/>
      <c r="K144" s="266"/>
      <c r="L144" s="266"/>
    </row>
    <row r="145" spans="5:12">
      <c r="E145" s="266"/>
      <c r="I145" s="266"/>
      <c r="J145" s="266"/>
      <c r="K145" s="266"/>
      <c r="L145" s="266"/>
    </row>
    <row r="146" spans="5:12">
      <c r="E146" s="266"/>
      <c r="I146" s="266"/>
      <c r="J146" s="266"/>
      <c r="K146" s="266"/>
      <c r="L146" s="266"/>
    </row>
    <row r="147" spans="5:12">
      <c r="E147" s="266"/>
      <c r="I147" s="266"/>
      <c r="J147" s="266"/>
      <c r="K147" s="266"/>
      <c r="L147" s="266"/>
    </row>
    <row r="148" spans="5:12">
      <c r="E148" s="266"/>
      <c r="I148" s="266"/>
      <c r="J148" s="266"/>
      <c r="K148" s="266"/>
      <c r="L148" s="266"/>
    </row>
    <row r="149" spans="5:12">
      <c r="E149" s="266"/>
      <c r="I149" s="266"/>
      <c r="J149" s="266"/>
      <c r="K149" s="266"/>
      <c r="L149" s="266"/>
    </row>
    <row r="150" spans="5:12">
      <c r="E150" s="266"/>
      <c r="I150" s="266"/>
      <c r="J150" s="266"/>
      <c r="K150" s="266"/>
      <c r="L150" s="266"/>
    </row>
    <row r="151" spans="5:12">
      <c r="E151" s="266"/>
      <c r="I151" s="266"/>
      <c r="J151" s="266"/>
      <c r="K151" s="266"/>
      <c r="L151" s="266"/>
    </row>
    <row r="152" spans="5:12">
      <c r="E152" s="266"/>
      <c r="I152" s="266"/>
      <c r="J152" s="266"/>
      <c r="K152" s="266"/>
      <c r="L152" s="266"/>
    </row>
    <row r="153" spans="5:12">
      <c r="E153" s="266"/>
      <c r="I153" s="266"/>
      <c r="J153" s="266"/>
      <c r="K153" s="266"/>
      <c r="L153" s="266"/>
    </row>
    <row r="154" spans="5:12">
      <c r="E154" s="266"/>
      <c r="I154" s="266"/>
      <c r="J154" s="266"/>
      <c r="K154" s="266"/>
      <c r="L154" s="266"/>
    </row>
    <row r="155" spans="5:12">
      <c r="E155" s="266"/>
      <c r="I155" s="266"/>
      <c r="J155" s="266"/>
      <c r="K155" s="266"/>
      <c r="L155" s="266"/>
    </row>
    <row r="156" spans="5:12">
      <c r="E156" s="266"/>
      <c r="I156" s="266"/>
      <c r="J156" s="266"/>
      <c r="K156" s="266"/>
      <c r="L156" s="266"/>
    </row>
    <row r="157" spans="5:12">
      <c r="E157" s="266"/>
      <c r="I157" s="266"/>
      <c r="J157" s="266"/>
      <c r="K157" s="266"/>
      <c r="L157" s="266"/>
    </row>
    <row r="158" spans="5:12">
      <c r="E158" s="266"/>
      <c r="I158" s="266"/>
      <c r="J158" s="266"/>
      <c r="K158" s="266"/>
      <c r="L158" s="266"/>
    </row>
    <row r="159" spans="5:12">
      <c r="E159" s="266"/>
      <c r="I159" s="266"/>
      <c r="J159" s="266"/>
      <c r="K159" s="266"/>
      <c r="L159" s="266"/>
    </row>
    <row r="160" spans="5:12">
      <c r="E160" s="266"/>
      <c r="I160" s="266"/>
      <c r="J160" s="266"/>
      <c r="K160" s="266"/>
      <c r="L160" s="266"/>
    </row>
    <row r="161" spans="5:12">
      <c r="E161" s="266"/>
      <c r="I161" s="266"/>
      <c r="J161" s="266"/>
      <c r="K161" s="266"/>
      <c r="L161" s="266"/>
    </row>
    <row r="162" spans="5:12">
      <c r="E162" s="266"/>
      <c r="I162" s="266"/>
      <c r="J162" s="266"/>
      <c r="K162" s="266"/>
      <c r="L162" s="266"/>
    </row>
    <row r="163" spans="5:12">
      <c r="E163" s="266"/>
      <c r="I163" s="266"/>
      <c r="J163" s="266"/>
      <c r="K163" s="266"/>
      <c r="L163" s="266"/>
    </row>
    <row r="164" spans="5:12">
      <c r="E164" s="266"/>
      <c r="I164" s="266"/>
      <c r="J164" s="266"/>
      <c r="K164" s="266"/>
      <c r="L164" s="266"/>
    </row>
    <row r="165" spans="5:12">
      <c r="E165" s="266"/>
      <c r="I165" s="266"/>
      <c r="J165" s="266"/>
      <c r="K165" s="266"/>
      <c r="L165" s="266"/>
    </row>
    <row r="166" spans="5:12">
      <c r="E166" s="266"/>
      <c r="I166" s="266"/>
      <c r="J166" s="266"/>
      <c r="K166" s="266"/>
      <c r="L166" s="266"/>
    </row>
    <row r="167" spans="5:12">
      <c r="E167" s="266"/>
      <c r="I167" s="266"/>
      <c r="J167" s="266"/>
      <c r="K167" s="266"/>
      <c r="L167" s="266"/>
    </row>
    <row r="168" spans="5:12">
      <c r="E168" s="266"/>
      <c r="I168" s="266"/>
      <c r="J168" s="266"/>
      <c r="K168" s="266"/>
      <c r="L168" s="266"/>
    </row>
    <row r="169" spans="5:12">
      <c r="E169" s="266"/>
      <c r="I169" s="266"/>
      <c r="J169" s="266"/>
      <c r="K169" s="266"/>
      <c r="L169" s="266"/>
    </row>
    <row r="170" spans="5:12">
      <c r="E170" s="266"/>
      <c r="I170" s="266"/>
      <c r="J170" s="266"/>
      <c r="K170" s="266"/>
      <c r="L170" s="266"/>
    </row>
    <row r="171" spans="5:12">
      <c r="E171" s="266"/>
      <c r="I171" s="266"/>
      <c r="J171" s="266"/>
      <c r="K171" s="266"/>
      <c r="L171" s="266"/>
    </row>
    <row r="172" spans="5:12">
      <c r="E172" s="266"/>
      <c r="I172" s="266"/>
      <c r="J172" s="266"/>
      <c r="K172" s="266"/>
      <c r="L172" s="266"/>
    </row>
    <row r="173" spans="5:12">
      <c r="E173" s="266"/>
      <c r="I173" s="266"/>
      <c r="J173" s="266"/>
      <c r="K173" s="266"/>
      <c r="L173" s="266"/>
    </row>
    <row r="174" spans="5:12">
      <c r="E174" s="266"/>
      <c r="I174" s="266"/>
      <c r="J174" s="266"/>
      <c r="K174" s="266"/>
      <c r="L174" s="266"/>
    </row>
    <row r="175" spans="5:12">
      <c r="E175" s="266"/>
      <c r="I175" s="266"/>
      <c r="J175" s="266"/>
      <c r="K175" s="266"/>
      <c r="L175" s="266"/>
    </row>
    <row r="176" spans="5:12">
      <c r="E176" s="266"/>
      <c r="I176" s="266"/>
      <c r="J176" s="266"/>
      <c r="K176" s="266"/>
      <c r="L176" s="266"/>
    </row>
    <row r="177" spans="5:12">
      <c r="E177" s="266"/>
      <c r="I177" s="266"/>
      <c r="J177" s="266"/>
      <c r="K177" s="266"/>
      <c r="L177" s="266"/>
    </row>
    <row r="178" spans="5:12">
      <c r="E178" s="266"/>
      <c r="I178" s="266"/>
      <c r="J178" s="266"/>
      <c r="K178" s="266"/>
      <c r="L178" s="266"/>
    </row>
    <row r="179" spans="5:12">
      <c r="E179" s="266"/>
      <c r="I179" s="266"/>
      <c r="J179" s="266"/>
      <c r="K179" s="266"/>
      <c r="L179" s="266"/>
    </row>
  </sheetData>
  <mergeCells count="23">
    <mergeCell ref="V6:W8"/>
    <mergeCell ref="V41:W43"/>
    <mergeCell ref="C1:K1"/>
    <mergeCell ref="A4:A5"/>
    <mergeCell ref="A6:A8"/>
    <mergeCell ref="A9:A13"/>
    <mergeCell ref="M1:U1"/>
    <mergeCell ref="AG30:AL30"/>
    <mergeCell ref="Y37:AD37"/>
    <mergeCell ref="A51:A52"/>
    <mergeCell ref="A53:A54"/>
    <mergeCell ref="A55:A56"/>
    <mergeCell ref="A28:A32"/>
    <mergeCell ref="A33:A35"/>
    <mergeCell ref="A36:A37"/>
    <mergeCell ref="A39:A40"/>
    <mergeCell ref="Y17:AD17"/>
    <mergeCell ref="A41:A43"/>
    <mergeCell ref="A45:A48"/>
    <mergeCell ref="A49:A50"/>
    <mergeCell ref="A15:A20"/>
    <mergeCell ref="A21:A24"/>
    <mergeCell ref="A26:A27"/>
  </mergeCells>
  <conditionalFormatting sqref="T3:T56">
    <cfRule type="cellIs" dxfId="79" priority="9" operator="lessThan">
      <formula>0</formula>
    </cfRule>
  </conditionalFormatting>
  <conditionalFormatting sqref="U3:U56">
    <cfRule type="containsText" dxfId="78" priority="8" operator="containsText" text="Yes">
      <formula>NOT(ISERROR(SEARCH("Yes",U3)))</formula>
    </cfRule>
  </conditionalFormatting>
  <conditionalFormatting sqref="S3:S56">
    <cfRule type="expression" dxfId="77" priority="7">
      <formula>(S3&lt;O3)</formula>
    </cfRule>
  </conditionalFormatting>
  <conditionalFormatting sqref="Z19:AE30">
    <cfRule type="cellIs" dxfId="76" priority="6" operator="greaterThan">
      <formula>0</formula>
    </cfRule>
  </conditionalFormatting>
  <conditionalFormatting sqref="AI47:AM47">
    <cfRule type="cellIs" dxfId="75" priority="5" operator="greaterThan">
      <formula>0</formula>
    </cfRule>
  </conditionalFormatting>
  <conditionalFormatting sqref="AH32:AM43">
    <cfRule type="cellIs" dxfId="74" priority="4" operator="greaterThan">
      <formula>0</formula>
    </cfRule>
  </conditionalFormatting>
  <conditionalFormatting sqref="AE39:AE50">
    <cfRule type="cellIs" dxfId="73" priority="3" operator="greaterThan">
      <formula>0</formula>
    </cfRule>
  </conditionalFormatting>
  <conditionalFormatting sqref="AA39:AD50">
    <cfRule type="cellIs" dxfId="72" priority="2" operator="greaterThan">
      <formula>0</formula>
    </cfRule>
  </conditionalFormatting>
  <conditionalFormatting sqref="Z39:Z50">
    <cfRule type="cellIs" dxfId="71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7"/>
  <sheetViews>
    <sheetView topLeftCell="U29" zoomScale="110" zoomScaleNormal="110" workbookViewId="0">
      <selection activeCell="X51" sqref="X51:AD67"/>
    </sheetView>
  </sheetViews>
  <sheetFormatPr defaultRowHeight="15"/>
  <cols>
    <col min="2" max="2" width="23.7109375" customWidth="1"/>
    <col min="3" max="3" width="21.42578125" customWidth="1"/>
    <col min="4" max="4" width="30" customWidth="1"/>
    <col min="5" max="5" width="23.7109375" customWidth="1"/>
    <col min="6" max="6" width="13.28515625" customWidth="1"/>
    <col min="7" max="7" width="25.42578125" customWidth="1"/>
    <col min="8" max="8" width="27.140625" customWidth="1"/>
    <col min="9" max="9" width="20.7109375" customWidth="1"/>
    <col min="10" max="10" width="16.42578125" customWidth="1"/>
    <col min="11" max="11" width="22.42578125" customWidth="1"/>
    <col min="12" max="12" width="23.85546875" customWidth="1"/>
    <col min="13" max="13" width="25.85546875" customWidth="1"/>
    <col min="14" max="14" width="17.28515625" customWidth="1"/>
    <col min="15" max="15" width="22" customWidth="1"/>
    <col min="16" max="16" width="14" customWidth="1"/>
    <col min="17" max="17" width="22.5703125" customWidth="1"/>
    <col min="18" max="18" width="25.85546875" customWidth="1"/>
    <col min="19" max="19" width="22.5703125" customWidth="1"/>
    <col min="20" max="20" width="20.7109375" customWidth="1"/>
    <col min="21" max="21" width="23.42578125" customWidth="1"/>
    <col min="22" max="22" width="37.140625" customWidth="1"/>
    <col min="24" max="24" width="14" customWidth="1"/>
    <col min="25" max="25" width="24.85546875" customWidth="1"/>
  </cols>
  <sheetData>
    <row r="1" spans="1:26" ht="15.75" thickBot="1">
      <c r="A1" s="185"/>
      <c r="B1" s="572" t="s">
        <v>450</v>
      </c>
      <c r="C1" s="573"/>
      <c r="D1" s="573"/>
      <c r="E1" s="573"/>
      <c r="F1" s="573"/>
      <c r="G1" s="573"/>
      <c r="H1" s="573"/>
      <c r="I1" s="573"/>
      <c r="J1" s="574"/>
      <c r="K1" s="309"/>
      <c r="L1" s="570" t="s">
        <v>449</v>
      </c>
      <c r="M1" s="571"/>
      <c r="N1" s="571"/>
      <c r="O1" s="571"/>
      <c r="P1" s="571"/>
      <c r="Q1" s="571"/>
      <c r="R1" s="571"/>
      <c r="S1" s="571"/>
      <c r="T1" s="571"/>
      <c r="U1" s="433" t="s">
        <v>506</v>
      </c>
      <c r="V1" s="434" t="s">
        <v>485</v>
      </c>
    </row>
    <row r="2" spans="1:26" ht="15.75" thickBot="1">
      <c r="A2" s="183" t="s">
        <v>447</v>
      </c>
      <c r="B2" s="182" t="s">
        <v>446</v>
      </c>
      <c r="C2" s="181" t="s">
        <v>34</v>
      </c>
      <c r="D2" s="181" t="s">
        <v>463</v>
      </c>
      <c r="E2" s="181" t="s">
        <v>445</v>
      </c>
      <c r="F2" s="181" t="s">
        <v>456</v>
      </c>
      <c r="G2" s="181" t="s">
        <v>457</v>
      </c>
      <c r="H2" s="181" t="s">
        <v>464</v>
      </c>
      <c r="I2" s="181" t="s">
        <v>33</v>
      </c>
      <c r="J2" s="180" t="s">
        <v>442</v>
      </c>
      <c r="K2" s="231" t="s">
        <v>455</v>
      </c>
      <c r="L2" s="179" t="s">
        <v>444</v>
      </c>
      <c r="M2" s="179" t="s">
        <v>34</v>
      </c>
      <c r="N2" s="179" t="s">
        <v>41</v>
      </c>
      <c r="O2" s="178" t="s">
        <v>443</v>
      </c>
      <c r="P2" s="177" t="s">
        <v>456</v>
      </c>
      <c r="Q2" s="250" t="s">
        <v>458</v>
      </c>
      <c r="R2" s="177" t="s">
        <v>33</v>
      </c>
      <c r="S2" s="179" t="s">
        <v>442</v>
      </c>
      <c r="T2" s="222" t="s">
        <v>482</v>
      </c>
    </row>
    <row r="3" spans="1:26" ht="15.75" thickBot="1">
      <c r="A3" s="172" t="s">
        <v>435</v>
      </c>
      <c r="B3" s="171" t="s">
        <v>434</v>
      </c>
      <c r="C3" s="170">
        <v>386.9</v>
      </c>
      <c r="D3" s="82">
        <f>IF(C3&lt;135,300, IF(AND(C3&gt;135,C3&lt;288),250, IF(AND(C3&gt;288,C3&lt;537),200,IF(AND(C3&gt;537,C3&lt;1096),150,100))))</f>
        <v>200</v>
      </c>
      <c r="E3" s="170">
        <v>131.95400000000001</v>
      </c>
      <c r="F3" s="82">
        <v>2.5</v>
      </c>
      <c r="G3" s="82">
        <f>F3*E3</f>
        <v>329.88499999999999</v>
      </c>
      <c r="H3" s="81">
        <f>CEILING(G3/(0.84*D3),1)</f>
        <v>2</v>
      </c>
      <c r="I3" s="269">
        <f t="shared" ref="I3:I13" si="0">D3*H3</f>
        <v>400</v>
      </c>
      <c r="J3" s="81">
        <f t="shared" ref="J3:J56" si="1">I3-G3</f>
        <v>70.115000000000009</v>
      </c>
      <c r="K3" s="82">
        <f>G3/I3 * 100</f>
        <v>82.471249999999998</v>
      </c>
      <c r="L3" s="168" t="s">
        <v>433</v>
      </c>
      <c r="M3" s="168">
        <v>598.85</v>
      </c>
      <c r="N3" s="168">
        <f>IF(M3&lt;135,300, IF(AND(M3&gt;135,M3&lt;288),250, IF(AND(M3&gt;288,M3&lt;537),200,IF(AND(M3&gt;537,M3&lt;1096),150,100))))</f>
        <v>150</v>
      </c>
      <c r="O3" s="168">
        <f>E3</f>
        <v>131.95400000000001</v>
      </c>
      <c r="P3" s="79">
        <v>2.5</v>
      </c>
      <c r="Q3" s="79">
        <f>O3*P3</f>
        <v>329.88499999999999</v>
      </c>
      <c r="R3" s="168">
        <f t="shared" ref="R3:R13" si="2">N3*H3</f>
        <v>300</v>
      </c>
      <c r="S3" s="228">
        <f t="shared" ref="S3:S13" si="3">R3-Q3</f>
        <v>-29.884999999999991</v>
      </c>
      <c r="T3" s="167">
        <f>IF(S3&lt;-1, CEILING((Q3-R3)/N3,1),0)</f>
        <v>1</v>
      </c>
      <c r="U3" s="435" t="s">
        <v>2</v>
      </c>
      <c r="V3" s="435">
        <f t="shared" ref="V3:V34" si="4">IF(S3&lt;0, -1*S3,0)</f>
        <v>29.884999999999991</v>
      </c>
    </row>
    <row r="4" spans="1:26" ht="15.75" thickBot="1">
      <c r="A4" s="165" t="s">
        <v>3</v>
      </c>
      <c r="B4" s="164" t="s">
        <v>44</v>
      </c>
      <c r="C4" s="163">
        <v>424.31</v>
      </c>
      <c r="D4" s="243">
        <f t="shared" ref="D4:D56" si="5">IF(C4&lt;135,300, IF(AND(C4&gt;135,C4&lt;288),250, IF(AND(C4&gt;288,C4&lt;537),200,IF(AND(C4&gt;537,C4&lt;1096),150,100))))</f>
        <v>200</v>
      </c>
      <c r="E4" s="163">
        <v>79.758499999999998</v>
      </c>
      <c r="F4" s="82">
        <v>2.5</v>
      </c>
      <c r="G4" s="82">
        <f t="shared" ref="G4:G56" si="6">F4*E4</f>
        <v>199.39625000000001</v>
      </c>
      <c r="H4" s="81">
        <f t="shared" ref="H4:H56" si="7">CEILING(G4/(0.84*D4),1)</f>
        <v>2</v>
      </c>
      <c r="I4" s="270">
        <f t="shared" si="0"/>
        <v>400</v>
      </c>
      <c r="J4" s="81">
        <f t="shared" si="1"/>
        <v>200.60374999999999</v>
      </c>
      <c r="K4" s="82">
        <f t="shared" ref="K4:K56" si="8">G4/I4 * 100</f>
        <v>49.849062500000002</v>
      </c>
      <c r="L4" s="161" t="s">
        <v>432</v>
      </c>
      <c r="M4" s="162">
        <v>561.44000000000005</v>
      </c>
      <c r="N4" s="168">
        <f t="shared" ref="N4:N56" si="9">IF(M4&lt;135,300, IF(AND(M4&gt;135,M4&lt;288),250, IF(AND(M4&gt;288,M4&lt;537),200,IF(AND(M4&gt;537,M4&lt;1096),150,100))))</f>
        <v>150</v>
      </c>
      <c r="O4" s="168">
        <f t="shared" ref="O4:O13" si="10">E4</f>
        <v>79.758499999999998</v>
      </c>
      <c r="P4" s="79">
        <v>2.5</v>
      </c>
      <c r="Q4" s="251">
        <f t="shared" ref="Q4:Q56" si="11">O4*P4</f>
        <v>199.39625000000001</v>
      </c>
      <c r="R4" s="168">
        <f t="shared" si="2"/>
        <v>300</v>
      </c>
      <c r="S4" s="228">
        <f t="shared" si="3"/>
        <v>100.60374999999999</v>
      </c>
      <c r="T4" s="167">
        <f t="shared" ref="T4:T13" si="12">IF(S4&lt;-1, CEILING((Q4-R4)/N4,1),0)</f>
        <v>0</v>
      </c>
      <c r="U4" s="435"/>
      <c r="V4" s="435">
        <f t="shared" si="4"/>
        <v>0</v>
      </c>
    </row>
    <row r="5" spans="1:26" ht="15.75" thickBot="1">
      <c r="A5" s="62" t="s">
        <v>25</v>
      </c>
      <c r="B5" s="111" t="s">
        <v>65</v>
      </c>
      <c r="C5" s="92">
        <v>645.40499999999997</v>
      </c>
      <c r="D5" s="245">
        <f t="shared" si="5"/>
        <v>150</v>
      </c>
      <c r="E5" s="92">
        <v>101.52370000000001</v>
      </c>
      <c r="F5" s="82">
        <v>2.5</v>
      </c>
      <c r="G5" s="92">
        <f t="shared" si="6"/>
        <v>253.80925000000002</v>
      </c>
      <c r="H5" s="81">
        <f t="shared" si="7"/>
        <v>3</v>
      </c>
      <c r="I5" s="274">
        <f t="shared" si="0"/>
        <v>450</v>
      </c>
      <c r="J5" s="81">
        <f t="shared" si="1"/>
        <v>196.19074999999998</v>
      </c>
      <c r="K5" s="82">
        <f t="shared" si="8"/>
        <v>56.402055555555563</v>
      </c>
      <c r="L5" s="88" t="s">
        <v>427</v>
      </c>
      <c r="M5" s="90">
        <v>691.82</v>
      </c>
      <c r="N5" s="168">
        <f t="shared" si="9"/>
        <v>150</v>
      </c>
      <c r="O5" s="168">
        <f t="shared" si="10"/>
        <v>101.52370000000001</v>
      </c>
      <c r="P5" s="79">
        <v>2.5</v>
      </c>
      <c r="Q5" s="252">
        <f t="shared" si="11"/>
        <v>253.80925000000002</v>
      </c>
      <c r="R5" s="168">
        <f t="shared" si="2"/>
        <v>450</v>
      </c>
      <c r="S5" s="228">
        <f t="shared" si="3"/>
        <v>196.19074999999998</v>
      </c>
      <c r="T5" s="167">
        <f t="shared" si="12"/>
        <v>0</v>
      </c>
      <c r="U5" s="435"/>
      <c r="V5" s="435">
        <f t="shared" si="4"/>
        <v>0</v>
      </c>
      <c r="X5" s="310" t="s">
        <v>452</v>
      </c>
      <c r="Y5" s="311"/>
      <c r="Z5" s="312"/>
    </row>
    <row r="6" spans="1:26" ht="15.75" thickBot="1">
      <c r="A6" s="84" t="s">
        <v>430</v>
      </c>
      <c r="B6" s="83" t="s">
        <v>390</v>
      </c>
      <c r="C6" s="82">
        <v>774.56</v>
      </c>
      <c r="D6" s="243">
        <f t="shared" si="5"/>
        <v>150</v>
      </c>
      <c r="E6" s="82">
        <v>593.39</v>
      </c>
      <c r="F6" s="82">
        <v>2.5</v>
      </c>
      <c r="G6" s="82">
        <f t="shared" si="6"/>
        <v>1483.4749999999999</v>
      </c>
      <c r="H6" s="81">
        <f t="shared" si="7"/>
        <v>12</v>
      </c>
      <c r="I6" s="270">
        <f t="shared" si="0"/>
        <v>1800</v>
      </c>
      <c r="J6" s="81">
        <f t="shared" si="1"/>
        <v>316.52500000000009</v>
      </c>
      <c r="K6" s="82">
        <f t="shared" si="8"/>
        <v>82.415277777777774</v>
      </c>
      <c r="L6" s="98" t="s">
        <v>429</v>
      </c>
      <c r="M6" s="80">
        <v>778.62</v>
      </c>
      <c r="N6" s="168">
        <f t="shared" si="9"/>
        <v>150</v>
      </c>
      <c r="O6" s="168">
        <f t="shared" si="10"/>
        <v>593.39</v>
      </c>
      <c r="P6" s="79">
        <v>2.5</v>
      </c>
      <c r="Q6" s="251">
        <f t="shared" si="11"/>
        <v>1483.4749999999999</v>
      </c>
      <c r="R6" s="168">
        <f t="shared" si="2"/>
        <v>1800</v>
      </c>
      <c r="S6" s="228">
        <f t="shared" si="3"/>
        <v>316.52500000000009</v>
      </c>
      <c r="T6" s="167">
        <f t="shared" si="12"/>
        <v>0</v>
      </c>
      <c r="U6" s="435"/>
      <c r="V6" s="435">
        <f t="shared" si="4"/>
        <v>0</v>
      </c>
      <c r="X6" s="87"/>
      <c r="Y6" s="266"/>
      <c r="Z6" s="97"/>
    </row>
    <row r="7" spans="1:26" ht="15.75" thickBot="1">
      <c r="A7" s="94" t="s">
        <v>4</v>
      </c>
      <c r="B7" s="93" t="s">
        <v>45</v>
      </c>
      <c r="C7" s="105">
        <v>221.095</v>
      </c>
      <c r="D7" s="245">
        <f t="shared" si="5"/>
        <v>250</v>
      </c>
      <c r="E7" s="105">
        <v>165.54</v>
      </c>
      <c r="F7" s="82">
        <v>2.5</v>
      </c>
      <c r="G7" s="92">
        <f t="shared" si="6"/>
        <v>413.84999999999997</v>
      </c>
      <c r="H7" s="81">
        <f t="shared" si="7"/>
        <v>2</v>
      </c>
      <c r="I7" s="274">
        <f t="shared" si="0"/>
        <v>500</v>
      </c>
      <c r="J7" s="81">
        <f t="shared" si="1"/>
        <v>86.150000000000034</v>
      </c>
      <c r="K7" s="82">
        <f t="shared" si="8"/>
        <v>82.769999999999982</v>
      </c>
      <c r="L7" s="99" t="s">
        <v>428</v>
      </c>
      <c r="M7" s="104">
        <v>904.18</v>
      </c>
      <c r="N7" s="168">
        <f t="shared" si="9"/>
        <v>150</v>
      </c>
      <c r="O7" s="168">
        <f t="shared" si="10"/>
        <v>165.54</v>
      </c>
      <c r="P7" s="79">
        <v>2.5</v>
      </c>
      <c r="Q7" s="252">
        <f t="shared" si="11"/>
        <v>413.84999999999997</v>
      </c>
      <c r="R7" s="168">
        <f t="shared" si="2"/>
        <v>300</v>
      </c>
      <c r="S7" s="228">
        <f t="shared" si="3"/>
        <v>-113.84999999999997</v>
      </c>
      <c r="T7" s="167">
        <f t="shared" si="12"/>
        <v>1</v>
      </c>
      <c r="U7" s="435" t="s">
        <v>507</v>
      </c>
      <c r="V7" s="435">
        <f t="shared" si="4"/>
        <v>113.84999999999997</v>
      </c>
      <c r="X7" s="131" t="s">
        <v>388</v>
      </c>
      <c r="Y7" s="130" t="s">
        <v>387</v>
      </c>
      <c r="Z7" s="129" t="s">
        <v>386</v>
      </c>
    </row>
    <row r="8" spans="1:26" ht="15.75" thickBot="1">
      <c r="A8" s="94" t="s">
        <v>25</v>
      </c>
      <c r="B8" s="93" t="s">
        <v>65</v>
      </c>
      <c r="C8" s="92">
        <v>645.40499999999997</v>
      </c>
      <c r="D8" s="245">
        <f t="shared" si="5"/>
        <v>150</v>
      </c>
      <c r="E8" s="92">
        <v>101.52370000000001</v>
      </c>
      <c r="F8" s="82">
        <v>2.5</v>
      </c>
      <c r="G8" s="92">
        <f t="shared" si="6"/>
        <v>253.80925000000002</v>
      </c>
      <c r="H8" s="81">
        <f t="shared" si="7"/>
        <v>3</v>
      </c>
      <c r="I8" s="274">
        <f t="shared" si="0"/>
        <v>450</v>
      </c>
      <c r="J8" s="81">
        <f t="shared" si="1"/>
        <v>196.19074999999998</v>
      </c>
      <c r="K8" s="82">
        <f t="shared" si="8"/>
        <v>56.402055555555563</v>
      </c>
      <c r="L8" s="88" t="s">
        <v>427</v>
      </c>
      <c r="M8" s="90">
        <v>691.82</v>
      </c>
      <c r="N8" s="168">
        <f t="shared" si="9"/>
        <v>150</v>
      </c>
      <c r="O8" s="168">
        <f t="shared" si="10"/>
        <v>101.52370000000001</v>
      </c>
      <c r="P8" s="79">
        <v>2.5</v>
      </c>
      <c r="Q8" s="252">
        <f t="shared" si="11"/>
        <v>253.80925000000002</v>
      </c>
      <c r="R8" s="168">
        <f t="shared" si="2"/>
        <v>450</v>
      </c>
      <c r="S8" s="228">
        <f t="shared" si="3"/>
        <v>196.19074999999998</v>
      </c>
      <c r="T8" s="167">
        <f t="shared" si="12"/>
        <v>0</v>
      </c>
      <c r="U8" s="435"/>
      <c r="V8" s="435">
        <f t="shared" si="4"/>
        <v>0</v>
      </c>
      <c r="X8" s="316" t="s">
        <v>14</v>
      </c>
      <c r="Y8" s="317">
        <v>161.29</v>
      </c>
      <c r="Z8" s="312"/>
    </row>
    <row r="9" spans="1:26" ht="15.75" thickBot="1">
      <c r="A9" s="84" t="s">
        <v>5</v>
      </c>
      <c r="B9" s="83" t="s">
        <v>46</v>
      </c>
      <c r="C9" s="82">
        <v>87.444999999999993</v>
      </c>
      <c r="D9" s="243">
        <f t="shared" si="5"/>
        <v>300</v>
      </c>
      <c r="E9" s="82">
        <v>330.03719999999998</v>
      </c>
      <c r="F9" s="82">
        <v>2.5</v>
      </c>
      <c r="G9" s="82">
        <f t="shared" si="6"/>
        <v>825.09299999999996</v>
      </c>
      <c r="H9" s="81">
        <f t="shared" si="7"/>
        <v>4</v>
      </c>
      <c r="I9" s="270">
        <f t="shared" si="0"/>
        <v>1200</v>
      </c>
      <c r="J9" s="81">
        <f t="shared" si="1"/>
        <v>374.90700000000004</v>
      </c>
      <c r="K9" s="82">
        <f t="shared" si="8"/>
        <v>68.757750000000001</v>
      </c>
      <c r="L9" s="98" t="s">
        <v>426</v>
      </c>
      <c r="M9" s="80">
        <v>243.73500000000001</v>
      </c>
      <c r="N9" s="168">
        <f t="shared" si="9"/>
        <v>250</v>
      </c>
      <c r="O9" s="168">
        <f t="shared" si="10"/>
        <v>330.03719999999998</v>
      </c>
      <c r="P9" s="79">
        <v>2.5</v>
      </c>
      <c r="Q9" s="251">
        <f t="shared" si="11"/>
        <v>825.09299999999996</v>
      </c>
      <c r="R9" s="168">
        <f t="shared" si="2"/>
        <v>1000</v>
      </c>
      <c r="S9" s="228">
        <f t="shared" si="3"/>
        <v>174.90700000000004</v>
      </c>
      <c r="T9" s="167">
        <f t="shared" si="12"/>
        <v>0</v>
      </c>
      <c r="U9" s="435"/>
      <c r="V9" s="435">
        <f t="shared" si="4"/>
        <v>0</v>
      </c>
      <c r="X9" s="157" t="s">
        <v>11</v>
      </c>
      <c r="Y9" s="156">
        <v>34.619999999999997</v>
      </c>
      <c r="Z9" s="97"/>
    </row>
    <row r="10" spans="1:26" ht="15.75" thickBot="1">
      <c r="A10" s="94" t="s">
        <v>7</v>
      </c>
      <c r="B10" s="93" t="s">
        <v>48</v>
      </c>
      <c r="C10" s="105">
        <v>457.755</v>
      </c>
      <c r="D10" s="245">
        <f t="shared" si="5"/>
        <v>200</v>
      </c>
      <c r="E10" s="105">
        <v>200.11</v>
      </c>
      <c r="F10" s="82">
        <v>2.5</v>
      </c>
      <c r="G10" s="92">
        <f t="shared" si="6"/>
        <v>500.27500000000003</v>
      </c>
      <c r="H10" s="81">
        <f t="shared" si="7"/>
        <v>3</v>
      </c>
      <c r="I10" s="274">
        <f t="shared" si="0"/>
        <v>600</v>
      </c>
      <c r="J10" s="81">
        <f t="shared" si="1"/>
        <v>99.724999999999966</v>
      </c>
      <c r="K10" s="82">
        <f t="shared" si="8"/>
        <v>83.379166666666677</v>
      </c>
      <c r="L10" s="99" t="s">
        <v>425</v>
      </c>
      <c r="M10" s="104">
        <v>614.06500000000005</v>
      </c>
      <c r="N10" s="168">
        <f t="shared" si="9"/>
        <v>150</v>
      </c>
      <c r="O10" s="168">
        <f t="shared" si="10"/>
        <v>200.11</v>
      </c>
      <c r="P10" s="79">
        <v>2.5</v>
      </c>
      <c r="Q10" s="252">
        <f t="shared" si="11"/>
        <v>500.27500000000003</v>
      </c>
      <c r="R10" s="168">
        <f t="shared" si="2"/>
        <v>450</v>
      </c>
      <c r="S10" s="228">
        <f t="shared" si="3"/>
        <v>-50.275000000000034</v>
      </c>
      <c r="T10" s="167">
        <f t="shared" si="12"/>
        <v>1</v>
      </c>
      <c r="U10" s="435" t="s">
        <v>7</v>
      </c>
      <c r="V10" s="435">
        <f t="shared" si="4"/>
        <v>50.275000000000034</v>
      </c>
      <c r="X10" s="157" t="s">
        <v>12</v>
      </c>
      <c r="Y10" s="156">
        <v>51.95</v>
      </c>
      <c r="Z10" s="97"/>
    </row>
    <row r="11" spans="1:26" ht="15.75" thickBot="1">
      <c r="A11" s="94" t="s">
        <v>8</v>
      </c>
      <c r="B11" s="93" t="s">
        <v>74</v>
      </c>
      <c r="C11" s="105">
        <v>632.29</v>
      </c>
      <c r="D11" s="245">
        <f t="shared" si="5"/>
        <v>150</v>
      </c>
      <c r="E11" s="105">
        <v>416.14780000000002</v>
      </c>
      <c r="F11" s="82">
        <v>2.5</v>
      </c>
      <c r="G11" s="92">
        <f t="shared" si="6"/>
        <v>1040.3695</v>
      </c>
      <c r="H11" s="81">
        <f t="shared" si="7"/>
        <v>9</v>
      </c>
      <c r="I11" s="274">
        <f t="shared" si="0"/>
        <v>1350</v>
      </c>
      <c r="J11" s="81">
        <f t="shared" si="1"/>
        <v>309.63049999999998</v>
      </c>
      <c r="K11" s="82">
        <f t="shared" si="8"/>
        <v>77.064407407407415</v>
      </c>
      <c r="L11" s="99" t="s">
        <v>424</v>
      </c>
      <c r="M11" s="104">
        <v>692.19500000000005</v>
      </c>
      <c r="N11" s="168">
        <f t="shared" si="9"/>
        <v>150</v>
      </c>
      <c r="O11" s="168">
        <f t="shared" si="10"/>
        <v>416.14780000000002</v>
      </c>
      <c r="P11" s="79">
        <v>2.5</v>
      </c>
      <c r="Q11" s="252">
        <f t="shared" si="11"/>
        <v>1040.3695</v>
      </c>
      <c r="R11" s="168">
        <f t="shared" si="2"/>
        <v>1350</v>
      </c>
      <c r="S11" s="228">
        <f t="shared" si="3"/>
        <v>309.63049999999998</v>
      </c>
      <c r="T11" s="167">
        <f t="shared" si="12"/>
        <v>0</v>
      </c>
      <c r="U11" s="435"/>
      <c r="V11" s="435">
        <f t="shared" si="4"/>
        <v>0</v>
      </c>
      <c r="X11" s="157" t="s">
        <v>393</v>
      </c>
      <c r="Y11" s="156">
        <v>93.93</v>
      </c>
      <c r="Z11" s="97"/>
    </row>
    <row r="12" spans="1:26" ht="15.75" thickBot="1">
      <c r="A12" s="94" t="s">
        <v>12</v>
      </c>
      <c r="B12" s="93" t="s">
        <v>52</v>
      </c>
      <c r="C12" s="105">
        <v>428.91</v>
      </c>
      <c r="D12" s="245">
        <f t="shared" si="5"/>
        <v>200</v>
      </c>
      <c r="E12" s="105">
        <v>320.77999999999997</v>
      </c>
      <c r="F12" s="82">
        <v>2.5</v>
      </c>
      <c r="G12" s="92">
        <f t="shared" si="6"/>
        <v>801.94999999999993</v>
      </c>
      <c r="H12" s="81">
        <f t="shared" si="7"/>
        <v>5</v>
      </c>
      <c r="I12" s="274">
        <f t="shared" si="0"/>
        <v>1000</v>
      </c>
      <c r="J12" s="81">
        <f t="shared" si="1"/>
        <v>198.05000000000007</v>
      </c>
      <c r="K12" s="82">
        <f t="shared" si="8"/>
        <v>80.194999999999993</v>
      </c>
      <c r="L12" s="99" t="s">
        <v>418</v>
      </c>
      <c r="M12" s="104">
        <v>440.09</v>
      </c>
      <c r="N12" s="168">
        <f t="shared" si="9"/>
        <v>200</v>
      </c>
      <c r="O12" s="168">
        <f t="shared" si="10"/>
        <v>320.77999999999997</v>
      </c>
      <c r="P12" s="79">
        <v>2.5</v>
      </c>
      <c r="Q12" s="252">
        <f t="shared" si="11"/>
        <v>801.94999999999993</v>
      </c>
      <c r="R12" s="168">
        <f t="shared" si="2"/>
        <v>1000</v>
      </c>
      <c r="S12" s="228">
        <f t="shared" si="3"/>
        <v>198.05000000000007</v>
      </c>
      <c r="T12" s="167">
        <f t="shared" si="12"/>
        <v>0</v>
      </c>
      <c r="U12" s="435"/>
      <c r="V12" s="435">
        <f t="shared" si="4"/>
        <v>0</v>
      </c>
      <c r="X12" s="157" t="s">
        <v>19</v>
      </c>
      <c r="Y12" s="156">
        <v>448.81</v>
      </c>
      <c r="Z12" s="97"/>
    </row>
    <row r="13" spans="1:26" ht="15.75" thickBot="1">
      <c r="A13" s="94" t="s">
        <v>394</v>
      </c>
      <c r="B13" s="93" t="s">
        <v>63</v>
      </c>
      <c r="C13" s="92">
        <v>530.30999999999995</v>
      </c>
      <c r="D13" s="244">
        <f t="shared" si="5"/>
        <v>200</v>
      </c>
      <c r="E13" s="92">
        <v>22.35</v>
      </c>
      <c r="F13" s="82">
        <v>2.5</v>
      </c>
      <c r="G13" s="72">
        <f t="shared" si="6"/>
        <v>55.875</v>
      </c>
      <c r="H13" s="81">
        <f t="shared" si="7"/>
        <v>1</v>
      </c>
      <c r="I13" s="272">
        <f t="shared" si="0"/>
        <v>200</v>
      </c>
      <c r="J13" s="81">
        <f t="shared" si="1"/>
        <v>144.125</v>
      </c>
      <c r="K13" s="82">
        <f t="shared" si="8"/>
        <v>27.9375</v>
      </c>
      <c r="L13" s="88" t="s">
        <v>416</v>
      </c>
      <c r="M13" s="90">
        <v>541.49</v>
      </c>
      <c r="N13" s="168">
        <f t="shared" si="9"/>
        <v>150</v>
      </c>
      <c r="O13" s="168">
        <f t="shared" si="10"/>
        <v>22.35</v>
      </c>
      <c r="P13" s="79">
        <v>2.5</v>
      </c>
      <c r="Q13" s="253">
        <f t="shared" si="11"/>
        <v>55.875</v>
      </c>
      <c r="R13" s="168">
        <f t="shared" si="2"/>
        <v>150</v>
      </c>
      <c r="S13" s="228">
        <f t="shared" si="3"/>
        <v>94.125</v>
      </c>
      <c r="T13" s="167">
        <f t="shared" si="12"/>
        <v>0</v>
      </c>
      <c r="U13" s="435"/>
      <c r="V13" s="435">
        <f t="shared" si="4"/>
        <v>0</v>
      </c>
      <c r="X13" s="233" t="s">
        <v>20</v>
      </c>
      <c r="Y13" s="232">
        <v>565.38</v>
      </c>
      <c r="Z13" s="86"/>
    </row>
    <row r="14" spans="1:26" ht="15.75" thickBot="1">
      <c r="A14" s="84" t="s">
        <v>351</v>
      </c>
      <c r="B14" s="150"/>
      <c r="C14" s="82"/>
      <c r="D14" s="92">
        <f t="shared" si="5"/>
        <v>300</v>
      </c>
      <c r="E14" s="82"/>
      <c r="F14" s="82">
        <v>2.5</v>
      </c>
      <c r="G14" s="92">
        <f t="shared" si="6"/>
        <v>0</v>
      </c>
      <c r="H14" s="81">
        <f t="shared" si="7"/>
        <v>0</v>
      </c>
      <c r="I14" s="268"/>
      <c r="J14" s="81">
        <f t="shared" si="1"/>
        <v>0</v>
      </c>
      <c r="K14" s="82"/>
      <c r="L14" s="80"/>
      <c r="M14" s="80"/>
      <c r="N14" s="168">
        <f t="shared" si="9"/>
        <v>300</v>
      </c>
      <c r="O14" s="80"/>
      <c r="P14" s="79">
        <v>2.5</v>
      </c>
      <c r="Q14" s="89">
        <f t="shared" si="11"/>
        <v>0</v>
      </c>
      <c r="R14" s="80"/>
      <c r="S14" s="191"/>
      <c r="T14" s="79"/>
      <c r="U14" s="435"/>
      <c r="V14" s="435">
        <f t="shared" si="4"/>
        <v>0</v>
      </c>
      <c r="X14" s="157" t="s">
        <v>2</v>
      </c>
      <c r="Y14" s="156">
        <v>29.885000000000002</v>
      </c>
    </row>
    <row r="15" spans="1:26" ht="15.75" thickBot="1">
      <c r="A15" s="84" t="s">
        <v>423</v>
      </c>
      <c r="B15" s="83" t="s">
        <v>47</v>
      </c>
      <c r="C15" s="82">
        <v>341.36500000000001</v>
      </c>
      <c r="D15" s="243">
        <f t="shared" si="5"/>
        <v>200</v>
      </c>
      <c r="E15" s="82">
        <v>414.50749999999999</v>
      </c>
      <c r="F15" s="82">
        <v>2.5</v>
      </c>
      <c r="G15" s="82">
        <f t="shared" si="6"/>
        <v>1036.26875</v>
      </c>
      <c r="H15" s="81">
        <f t="shared" si="7"/>
        <v>7</v>
      </c>
      <c r="I15" s="270">
        <f t="shared" ref="I15:I24" si="13">H15*D15</f>
        <v>1400</v>
      </c>
      <c r="J15" s="81">
        <f t="shared" si="1"/>
        <v>363.73125000000005</v>
      </c>
      <c r="K15" s="82">
        <f t="shared" si="8"/>
        <v>74.019196428571419</v>
      </c>
      <c r="L15" s="98" t="s">
        <v>422</v>
      </c>
      <c r="M15" s="80">
        <v>527.53499999999997</v>
      </c>
      <c r="N15" s="168">
        <f t="shared" si="9"/>
        <v>200</v>
      </c>
      <c r="O15" s="80">
        <f>E15</f>
        <v>414.50749999999999</v>
      </c>
      <c r="P15" s="79">
        <v>2.5</v>
      </c>
      <c r="Q15" s="251">
        <f t="shared" si="11"/>
        <v>1036.26875</v>
      </c>
      <c r="R15" s="80">
        <f t="shared" ref="R15:R24" si="14">N15*H15</f>
        <v>1400</v>
      </c>
      <c r="S15" s="188">
        <f t="shared" ref="S15:S24" si="15">R15-Q15</f>
        <v>363.73125000000005</v>
      </c>
      <c r="T15" s="79">
        <f>IF(S15&lt;-1, CEILING((Q15-R15)/N15,1),0)</f>
        <v>0</v>
      </c>
      <c r="U15" s="435"/>
      <c r="V15" s="435">
        <f t="shared" si="4"/>
        <v>0</v>
      </c>
      <c r="X15" s="157" t="s">
        <v>4</v>
      </c>
      <c r="Y15" s="156">
        <v>113.85</v>
      </c>
    </row>
    <row r="16" spans="1:26" ht="15.75" thickBot="1">
      <c r="A16" s="94" t="s">
        <v>9</v>
      </c>
      <c r="B16" s="93" t="s">
        <v>421</v>
      </c>
      <c r="C16" s="105">
        <v>72.555000000000007</v>
      </c>
      <c r="D16" s="245">
        <f t="shared" si="5"/>
        <v>300</v>
      </c>
      <c r="E16" s="105">
        <v>249.06020000000001</v>
      </c>
      <c r="F16" s="82">
        <v>2.5</v>
      </c>
      <c r="G16" s="92">
        <f t="shared" si="6"/>
        <v>622.65049999999997</v>
      </c>
      <c r="H16" s="81">
        <f t="shared" si="7"/>
        <v>3</v>
      </c>
      <c r="I16" s="274">
        <f t="shared" si="13"/>
        <v>900</v>
      </c>
      <c r="J16" s="81">
        <f t="shared" si="1"/>
        <v>277.34950000000003</v>
      </c>
      <c r="K16" s="82">
        <f t="shared" si="8"/>
        <v>69.183388888888885</v>
      </c>
      <c r="L16" s="99" t="s">
        <v>420</v>
      </c>
      <c r="M16" s="104">
        <v>258.625</v>
      </c>
      <c r="N16" s="168">
        <f t="shared" si="9"/>
        <v>250</v>
      </c>
      <c r="O16" s="80">
        <f t="shared" ref="O16:O24" si="16">E16</f>
        <v>249.06020000000001</v>
      </c>
      <c r="P16" s="79">
        <v>2.5</v>
      </c>
      <c r="Q16" s="252">
        <f t="shared" si="11"/>
        <v>622.65049999999997</v>
      </c>
      <c r="R16" s="80">
        <f t="shared" si="14"/>
        <v>750</v>
      </c>
      <c r="S16" s="188">
        <f t="shared" si="15"/>
        <v>127.34950000000003</v>
      </c>
      <c r="T16" s="79">
        <f t="shared" ref="T16:T24" si="17">IF(S16&lt;-1, CEILING((Q16-R16)/N16,1),0)</f>
        <v>0</v>
      </c>
      <c r="U16" s="435"/>
      <c r="V16" s="435">
        <f t="shared" si="4"/>
        <v>0</v>
      </c>
      <c r="X16" s="157" t="s">
        <v>535</v>
      </c>
      <c r="Y16" s="156">
        <v>100.5</v>
      </c>
    </row>
    <row r="17" spans="1:38" ht="15.75" thickBot="1">
      <c r="A17" s="94" t="s">
        <v>10</v>
      </c>
      <c r="B17" s="93" t="s">
        <v>384</v>
      </c>
      <c r="C17" s="105">
        <v>894.93</v>
      </c>
      <c r="D17" s="245">
        <f t="shared" si="5"/>
        <v>150</v>
      </c>
      <c r="E17" s="105">
        <v>185.4342</v>
      </c>
      <c r="F17" s="82">
        <v>2.5</v>
      </c>
      <c r="G17" s="92">
        <f t="shared" si="6"/>
        <v>463.58550000000002</v>
      </c>
      <c r="H17" s="81">
        <f t="shared" si="7"/>
        <v>4</v>
      </c>
      <c r="I17" s="274">
        <f t="shared" si="13"/>
        <v>600</v>
      </c>
      <c r="J17" s="81">
        <f t="shared" si="1"/>
        <v>136.41449999999998</v>
      </c>
      <c r="K17" s="82">
        <f t="shared" si="8"/>
        <v>77.264250000000004</v>
      </c>
      <c r="L17" s="99" t="s">
        <v>383</v>
      </c>
      <c r="M17" s="104">
        <v>975.03499999999997</v>
      </c>
      <c r="N17" s="168">
        <f t="shared" si="9"/>
        <v>150</v>
      </c>
      <c r="O17" s="80">
        <f t="shared" si="16"/>
        <v>185.4342</v>
      </c>
      <c r="P17" s="79">
        <v>2.5</v>
      </c>
      <c r="Q17" s="252">
        <f t="shared" si="11"/>
        <v>463.58550000000002</v>
      </c>
      <c r="R17" s="80">
        <f t="shared" si="14"/>
        <v>600</v>
      </c>
      <c r="S17" s="188">
        <f t="shared" si="15"/>
        <v>136.41449999999998</v>
      </c>
      <c r="T17" s="79">
        <f t="shared" si="17"/>
        <v>0</v>
      </c>
      <c r="U17" s="435"/>
      <c r="V17" s="435">
        <f t="shared" si="4"/>
        <v>0</v>
      </c>
      <c r="X17" s="157" t="s">
        <v>22</v>
      </c>
      <c r="Y17" s="156">
        <v>50.85</v>
      </c>
    </row>
    <row r="18" spans="1:38" ht="15.75" thickBot="1">
      <c r="A18" s="94" t="s">
        <v>11</v>
      </c>
      <c r="B18" s="93" t="s">
        <v>377</v>
      </c>
      <c r="C18" s="105">
        <v>839.23</v>
      </c>
      <c r="D18" s="245">
        <f t="shared" si="5"/>
        <v>150</v>
      </c>
      <c r="E18" s="105">
        <v>213.84829999999999</v>
      </c>
      <c r="F18" s="82">
        <v>2.5</v>
      </c>
      <c r="G18" s="92">
        <f t="shared" si="6"/>
        <v>534.62075000000004</v>
      </c>
      <c r="H18" s="81">
        <f t="shared" si="7"/>
        <v>5</v>
      </c>
      <c r="I18" s="274">
        <f t="shared" si="13"/>
        <v>750</v>
      </c>
      <c r="J18" s="81">
        <f t="shared" si="1"/>
        <v>215.37924999999996</v>
      </c>
      <c r="K18" s="82">
        <f t="shared" si="8"/>
        <v>71.282766666666674</v>
      </c>
      <c r="L18" s="99" t="s">
        <v>419</v>
      </c>
      <c r="M18" s="104">
        <v>1025.3</v>
      </c>
      <c r="N18" s="168">
        <f t="shared" si="9"/>
        <v>150</v>
      </c>
      <c r="O18" s="80">
        <f t="shared" si="16"/>
        <v>213.84829999999999</v>
      </c>
      <c r="P18" s="79">
        <v>2.5</v>
      </c>
      <c r="Q18" s="252">
        <f t="shared" si="11"/>
        <v>534.62075000000004</v>
      </c>
      <c r="R18" s="80">
        <f t="shared" si="14"/>
        <v>750</v>
      </c>
      <c r="S18" s="188">
        <f t="shared" si="15"/>
        <v>215.37924999999996</v>
      </c>
      <c r="T18" s="79">
        <f t="shared" si="17"/>
        <v>0</v>
      </c>
      <c r="U18" s="435"/>
      <c r="V18" s="435">
        <f t="shared" si="4"/>
        <v>0</v>
      </c>
      <c r="X18" s="120" t="s">
        <v>369</v>
      </c>
      <c r="Y18" s="236">
        <f>SUM(Y8:Y17)</f>
        <v>1651.0649999999998</v>
      </c>
      <c r="Z18" s="209"/>
    </row>
    <row r="19" spans="1:38" ht="15.75" thickBot="1">
      <c r="A19" s="94" t="s">
        <v>12</v>
      </c>
      <c r="B19" s="93" t="s">
        <v>52</v>
      </c>
      <c r="C19" s="105">
        <v>428.91</v>
      </c>
      <c r="D19" s="245">
        <f t="shared" si="5"/>
        <v>200</v>
      </c>
      <c r="E19" s="105">
        <v>320.7817</v>
      </c>
      <c r="F19" s="82">
        <v>2.5</v>
      </c>
      <c r="G19" s="92">
        <f t="shared" si="6"/>
        <v>801.95425</v>
      </c>
      <c r="H19" s="81">
        <f t="shared" si="7"/>
        <v>5</v>
      </c>
      <c r="I19" s="274">
        <f t="shared" si="13"/>
        <v>1000</v>
      </c>
      <c r="J19" s="81">
        <f t="shared" si="1"/>
        <v>198.04575</v>
      </c>
      <c r="K19" s="82">
        <f t="shared" si="8"/>
        <v>80.195425</v>
      </c>
      <c r="L19" s="99" t="s">
        <v>418</v>
      </c>
      <c r="M19" s="104">
        <v>440.09</v>
      </c>
      <c r="N19" s="168">
        <f t="shared" si="9"/>
        <v>200</v>
      </c>
      <c r="O19" s="80">
        <f t="shared" si="16"/>
        <v>320.7817</v>
      </c>
      <c r="P19" s="79">
        <v>2.5</v>
      </c>
      <c r="Q19" s="252">
        <f t="shared" si="11"/>
        <v>801.95425</v>
      </c>
      <c r="R19" s="80">
        <f t="shared" si="14"/>
        <v>1000</v>
      </c>
      <c r="S19" s="188">
        <f t="shared" si="15"/>
        <v>198.04575</v>
      </c>
      <c r="T19" s="79">
        <f t="shared" si="17"/>
        <v>0</v>
      </c>
      <c r="U19" s="435"/>
      <c r="V19" s="435">
        <f t="shared" si="4"/>
        <v>0</v>
      </c>
      <c r="X19" s="17" t="s">
        <v>365</v>
      </c>
      <c r="Y19" s="17">
        <f>Y18/J54</f>
        <v>14.141378670184597</v>
      </c>
      <c r="Z19" s="208"/>
    </row>
    <row r="20" spans="1:38" ht="15.75" thickBot="1">
      <c r="A20" s="94" t="s">
        <v>417</v>
      </c>
      <c r="B20" s="93" t="s">
        <v>409</v>
      </c>
      <c r="C20" s="92">
        <v>530.30999999999995</v>
      </c>
      <c r="D20" s="245">
        <f t="shared" si="5"/>
        <v>200</v>
      </c>
      <c r="E20" s="92">
        <v>22.35</v>
      </c>
      <c r="F20" s="82">
        <v>2.5</v>
      </c>
      <c r="G20" s="92">
        <f t="shared" si="6"/>
        <v>55.875</v>
      </c>
      <c r="H20" s="81">
        <f t="shared" si="7"/>
        <v>1</v>
      </c>
      <c r="I20" s="274">
        <f t="shared" si="13"/>
        <v>200</v>
      </c>
      <c r="J20" s="81">
        <f t="shared" si="1"/>
        <v>144.125</v>
      </c>
      <c r="K20" s="82">
        <f t="shared" si="8"/>
        <v>27.9375</v>
      </c>
      <c r="L20" s="88" t="s">
        <v>416</v>
      </c>
      <c r="M20" s="90">
        <v>541.49</v>
      </c>
      <c r="N20" s="168">
        <f t="shared" si="9"/>
        <v>150</v>
      </c>
      <c r="O20" s="80">
        <f t="shared" si="16"/>
        <v>22.35</v>
      </c>
      <c r="P20" s="79">
        <v>2.5</v>
      </c>
      <c r="Q20" s="252">
        <f t="shared" si="11"/>
        <v>55.875</v>
      </c>
      <c r="R20" s="80">
        <f t="shared" si="14"/>
        <v>150</v>
      </c>
      <c r="S20" s="188">
        <f t="shared" si="15"/>
        <v>94.125</v>
      </c>
      <c r="T20" s="79">
        <f t="shared" si="17"/>
        <v>0</v>
      </c>
      <c r="U20" s="435"/>
      <c r="V20" s="435">
        <f t="shared" si="4"/>
        <v>0</v>
      </c>
    </row>
    <row r="21" spans="1:38" ht="15.75" thickBot="1">
      <c r="A21" s="84" t="s">
        <v>7</v>
      </c>
      <c r="B21" s="83" t="s">
        <v>48</v>
      </c>
      <c r="C21" s="82">
        <v>457.755</v>
      </c>
      <c r="D21" s="243">
        <f t="shared" si="5"/>
        <v>200</v>
      </c>
      <c r="E21" s="82">
        <v>200.1122</v>
      </c>
      <c r="F21" s="82">
        <v>2.5</v>
      </c>
      <c r="G21" s="82">
        <f t="shared" si="6"/>
        <v>500.28050000000002</v>
      </c>
      <c r="H21" s="81">
        <f t="shared" si="7"/>
        <v>3</v>
      </c>
      <c r="I21" s="270">
        <f t="shared" si="13"/>
        <v>600</v>
      </c>
      <c r="J21" s="81">
        <f t="shared" si="1"/>
        <v>99.719499999999982</v>
      </c>
      <c r="K21" s="82">
        <f t="shared" si="8"/>
        <v>83.380083333333332</v>
      </c>
      <c r="L21" s="98" t="s">
        <v>414</v>
      </c>
      <c r="M21" s="80">
        <v>733.18499999999995</v>
      </c>
      <c r="N21" s="168">
        <f t="shared" si="9"/>
        <v>150</v>
      </c>
      <c r="O21" s="80">
        <f t="shared" si="16"/>
        <v>200.1122</v>
      </c>
      <c r="P21" s="79">
        <v>2.5</v>
      </c>
      <c r="Q21" s="251">
        <f t="shared" si="11"/>
        <v>500.28050000000002</v>
      </c>
      <c r="R21" s="80">
        <f t="shared" si="14"/>
        <v>450</v>
      </c>
      <c r="S21" s="188">
        <f t="shared" si="15"/>
        <v>-50.280500000000018</v>
      </c>
      <c r="T21" s="79">
        <f t="shared" si="17"/>
        <v>1</v>
      </c>
      <c r="U21" s="435" t="s">
        <v>7</v>
      </c>
      <c r="V21" s="435">
        <f t="shared" si="4"/>
        <v>50.280500000000018</v>
      </c>
    </row>
    <row r="22" spans="1:38" ht="15.75" thickBot="1">
      <c r="A22" s="94" t="s">
        <v>413</v>
      </c>
      <c r="B22" s="93" t="s">
        <v>74</v>
      </c>
      <c r="C22" s="105">
        <v>632.29</v>
      </c>
      <c r="D22" s="245">
        <f t="shared" si="5"/>
        <v>150</v>
      </c>
      <c r="E22" s="105">
        <v>416.14780000000002</v>
      </c>
      <c r="F22" s="82">
        <v>2.5</v>
      </c>
      <c r="G22" s="92">
        <f t="shared" si="6"/>
        <v>1040.3695</v>
      </c>
      <c r="H22" s="81">
        <f t="shared" si="7"/>
        <v>9</v>
      </c>
      <c r="I22" s="274">
        <f t="shared" si="13"/>
        <v>1350</v>
      </c>
      <c r="J22" s="81">
        <f t="shared" si="1"/>
        <v>309.63049999999998</v>
      </c>
      <c r="K22" s="82">
        <f t="shared" si="8"/>
        <v>77.064407407407415</v>
      </c>
      <c r="L22" s="99" t="s">
        <v>361</v>
      </c>
      <c r="M22" s="104">
        <v>692.19500000000005</v>
      </c>
      <c r="N22" s="168">
        <f t="shared" si="9"/>
        <v>150</v>
      </c>
      <c r="O22" s="80">
        <f t="shared" si="16"/>
        <v>416.14780000000002</v>
      </c>
      <c r="P22" s="79">
        <v>2.5</v>
      </c>
      <c r="Q22" s="252">
        <f t="shared" si="11"/>
        <v>1040.3695</v>
      </c>
      <c r="R22" s="80">
        <f t="shared" si="14"/>
        <v>1350</v>
      </c>
      <c r="S22" s="188">
        <f t="shared" si="15"/>
        <v>309.63049999999998</v>
      </c>
      <c r="T22" s="79">
        <f t="shared" si="17"/>
        <v>0</v>
      </c>
      <c r="U22" s="435"/>
      <c r="V22" s="435">
        <f t="shared" si="4"/>
        <v>0</v>
      </c>
    </row>
    <row r="23" spans="1:38" ht="15.75" thickBot="1">
      <c r="A23" s="94" t="s">
        <v>412</v>
      </c>
      <c r="B23" s="93" t="s">
        <v>411</v>
      </c>
      <c r="C23" s="105">
        <v>370.31</v>
      </c>
      <c r="D23" s="245">
        <f t="shared" si="5"/>
        <v>200</v>
      </c>
      <c r="E23" s="105">
        <v>24.103000000000002</v>
      </c>
      <c r="F23" s="82">
        <v>2.5</v>
      </c>
      <c r="G23" s="92">
        <f t="shared" si="6"/>
        <v>60.257500000000007</v>
      </c>
      <c r="H23" s="81">
        <f t="shared" si="7"/>
        <v>1</v>
      </c>
      <c r="I23" s="274">
        <f t="shared" si="13"/>
        <v>200</v>
      </c>
      <c r="J23" s="81">
        <f t="shared" si="1"/>
        <v>139.74250000000001</v>
      </c>
      <c r="K23" s="82">
        <f t="shared" si="8"/>
        <v>30.128750000000004</v>
      </c>
      <c r="L23" s="99" t="s">
        <v>410</v>
      </c>
      <c r="M23" s="104">
        <v>820.63</v>
      </c>
      <c r="N23" s="168">
        <f t="shared" si="9"/>
        <v>150</v>
      </c>
      <c r="O23" s="80">
        <f t="shared" si="16"/>
        <v>24.103000000000002</v>
      </c>
      <c r="P23" s="79">
        <v>2.5</v>
      </c>
      <c r="Q23" s="252">
        <f t="shared" si="11"/>
        <v>60.257500000000007</v>
      </c>
      <c r="R23" s="80">
        <f t="shared" si="14"/>
        <v>150</v>
      </c>
      <c r="S23" s="188">
        <f t="shared" si="15"/>
        <v>89.742499999999993</v>
      </c>
      <c r="T23" s="79">
        <f t="shared" si="17"/>
        <v>0</v>
      </c>
      <c r="U23" s="435"/>
      <c r="V23" s="435">
        <f t="shared" si="4"/>
        <v>0</v>
      </c>
    </row>
    <row r="24" spans="1:38" ht="15.75" thickBot="1">
      <c r="A24" s="94" t="s">
        <v>394</v>
      </c>
      <c r="B24" s="93" t="s">
        <v>409</v>
      </c>
      <c r="C24" s="92">
        <v>530.30999999999995</v>
      </c>
      <c r="D24" s="244">
        <f t="shared" si="5"/>
        <v>200</v>
      </c>
      <c r="E24" s="92">
        <v>22.35</v>
      </c>
      <c r="F24" s="82">
        <v>2.5</v>
      </c>
      <c r="G24" s="72">
        <f t="shared" si="6"/>
        <v>55.875</v>
      </c>
      <c r="H24" s="81">
        <f t="shared" si="7"/>
        <v>1</v>
      </c>
      <c r="I24" s="272">
        <f t="shared" si="13"/>
        <v>200</v>
      </c>
      <c r="J24" s="81">
        <f t="shared" si="1"/>
        <v>144.125</v>
      </c>
      <c r="K24" s="82">
        <f t="shared" si="8"/>
        <v>27.9375</v>
      </c>
      <c r="L24" s="88" t="s">
        <v>408</v>
      </c>
      <c r="M24" s="90">
        <v>660.63</v>
      </c>
      <c r="N24" s="168">
        <f t="shared" si="9"/>
        <v>150</v>
      </c>
      <c r="O24" s="80">
        <f t="shared" si="16"/>
        <v>22.35</v>
      </c>
      <c r="P24" s="79">
        <v>2.5</v>
      </c>
      <c r="Q24" s="253">
        <f t="shared" si="11"/>
        <v>55.875</v>
      </c>
      <c r="R24" s="80">
        <f t="shared" si="14"/>
        <v>150</v>
      </c>
      <c r="S24" s="188">
        <f t="shared" si="15"/>
        <v>94.125</v>
      </c>
      <c r="T24" s="79">
        <f t="shared" si="17"/>
        <v>0</v>
      </c>
      <c r="U24" s="435"/>
      <c r="V24" s="435">
        <f t="shared" si="4"/>
        <v>0</v>
      </c>
    </row>
    <row r="25" spans="1:38" ht="15.75" thickBot="1">
      <c r="A25" s="84" t="s">
        <v>406</v>
      </c>
      <c r="B25" s="150"/>
      <c r="C25" s="82"/>
      <c r="D25" s="92">
        <f t="shared" si="5"/>
        <v>300</v>
      </c>
      <c r="E25" s="82"/>
      <c r="F25" s="82">
        <v>2.5</v>
      </c>
      <c r="G25" s="92">
        <f t="shared" si="6"/>
        <v>0</v>
      </c>
      <c r="H25" s="81">
        <f t="shared" si="7"/>
        <v>0</v>
      </c>
      <c r="I25" s="268"/>
      <c r="J25" s="81">
        <f t="shared" si="1"/>
        <v>0</v>
      </c>
      <c r="K25" s="82"/>
      <c r="L25" s="80"/>
      <c r="M25" s="80"/>
      <c r="N25" s="168">
        <f t="shared" si="9"/>
        <v>300</v>
      </c>
      <c r="O25" s="80"/>
      <c r="P25" s="79">
        <v>2.5</v>
      </c>
      <c r="Q25" s="89">
        <f t="shared" si="11"/>
        <v>0</v>
      </c>
      <c r="R25" s="80"/>
      <c r="S25" s="191"/>
      <c r="T25" s="79"/>
      <c r="U25" s="435"/>
      <c r="V25" s="435">
        <f t="shared" si="4"/>
        <v>0</v>
      </c>
    </row>
    <row r="26" spans="1:38" ht="15.75" thickBot="1">
      <c r="A26" s="148" t="s">
        <v>14</v>
      </c>
      <c r="B26" s="83" t="s">
        <v>404</v>
      </c>
      <c r="C26" s="82">
        <v>391.72</v>
      </c>
      <c r="D26" s="243">
        <f t="shared" si="5"/>
        <v>200</v>
      </c>
      <c r="E26" s="82">
        <v>664.51419999999996</v>
      </c>
      <c r="F26" s="82">
        <v>2.5</v>
      </c>
      <c r="G26" s="82">
        <f t="shared" si="6"/>
        <v>1661.2855</v>
      </c>
      <c r="H26" s="81">
        <f t="shared" si="7"/>
        <v>10</v>
      </c>
      <c r="I26" s="270">
        <f t="shared" ref="I26:I56" si="18">H26*D26</f>
        <v>2000</v>
      </c>
      <c r="J26" s="81">
        <f t="shared" si="1"/>
        <v>338.71450000000004</v>
      </c>
      <c r="K26" s="82">
        <f t="shared" si="8"/>
        <v>83.064274999999995</v>
      </c>
      <c r="L26" s="98" t="s">
        <v>403</v>
      </c>
      <c r="M26" s="80">
        <v>799.22</v>
      </c>
      <c r="N26" s="168">
        <f t="shared" si="9"/>
        <v>150</v>
      </c>
      <c r="O26" s="80">
        <f>E26</f>
        <v>664.51419999999996</v>
      </c>
      <c r="P26" s="79">
        <v>2.5</v>
      </c>
      <c r="Q26" s="80">
        <f t="shared" si="11"/>
        <v>1661.2855</v>
      </c>
      <c r="R26" s="247">
        <f t="shared" ref="R26:R56" si="19">N26*H26</f>
        <v>1500</v>
      </c>
      <c r="S26" s="191">
        <f t="shared" ref="S26:S56" si="20">R26-Q26</f>
        <v>-161.28549999999996</v>
      </c>
      <c r="T26" s="79">
        <f>IF(S26&lt;-1, CEILING((Q26-R26)/N26,1),0)</f>
        <v>2</v>
      </c>
      <c r="U26" s="435" t="s">
        <v>14</v>
      </c>
      <c r="V26" s="435">
        <f t="shared" si="4"/>
        <v>161.28549999999996</v>
      </c>
    </row>
    <row r="27" spans="1:38" ht="15.75" thickBot="1">
      <c r="A27" s="74" t="s">
        <v>360</v>
      </c>
      <c r="B27" s="73" t="s">
        <v>55</v>
      </c>
      <c r="C27" s="146">
        <v>566.26</v>
      </c>
      <c r="D27" s="245">
        <f t="shared" si="5"/>
        <v>150</v>
      </c>
      <c r="E27" s="146">
        <v>424.66829999999999</v>
      </c>
      <c r="F27" s="82">
        <v>2.5</v>
      </c>
      <c r="G27" s="92">
        <f t="shared" si="6"/>
        <v>1061.67075</v>
      </c>
      <c r="H27" s="81">
        <f t="shared" si="7"/>
        <v>9</v>
      </c>
      <c r="I27" s="274">
        <f t="shared" si="18"/>
        <v>1350</v>
      </c>
      <c r="J27" s="81">
        <f t="shared" si="1"/>
        <v>288.32925</v>
      </c>
      <c r="K27" s="82">
        <f t="shared" si="8"/>
        <v>78.642277777777778</v>
      </c>
      <c r="L27" s="246" t="s">
        <v>402</v>
      </c>
      <c r="M27" s="145">
        <v>973.76</v>
      </c>
      <c r="N27" s="168">
        <f t="shared" si="9"/>
        <v>150</v>
      </c>
      <c r="O27" s="80">
        <f t="shared" ref="O27:O56" si="21">E27</f>
        <v>424.66829999999999</v>
      </c>
      <c r="P27" s="79">
        <v>2.5</v>
      </c>
      <c r="Q27" s="90">
        <f t="shared" si="11"/>
        <v>1061.67075</v>
      </c>
      <c r="R27" s="249">
        <f t="shared" si="19"/>
        <v>1350</v>
      </c>
      <c r="S27" s="305">
        <f t="shared" si="20"/>
        <v>288.32925</v>
      </c>
      <c r="T27" s="79">
        <f t="shared" ref="T27:T56" si="22">IF(S27&lt;-1, CEILING((Q27-R27)/N27,1),0)</f>
        <v>0</v>
      </c>
      <c r="U27" s="435"/>
      <c r="V27" s="435">
        <f t="shared" si="4"/>
        <v>0</v>
      </c>
      <c r="X27" s="313"/>
      <c r="Y27" s="313"/>
      <c r="Z27" s="313"/>
    </row>
    <row r="28" spans="1:38" ht="15.75" thickBot="1">
      <c r="A28" s="62" t="s">
        <v>6</v>
      </c>
      <c r="B28" s="111" t="s">
        <v>47</v>
      </c>
      <c r="C28" s="92">
        <v>341.46499999999997</v>
      </c>
      <c r="D28" s="243">
        <f t="shared" si="5"/>
        <v>200</v>
      </c>
      <c r="E28" s="92">
        <v>414.50749999999999</v>
      </c>
      <c r="F28" s="82">
        <v>2.5</v>
      </c>
      <c r="G28" s="82">
        <f t="shared" si="6"/>
        <v>1036.26875</v>
      </c>
      <c r="H28" s="81">
        <f t="shared" si="7"/>
        <v>7</v>
      </c>
      <c r="I28" s="270">
        <f t="shared" si="18"/>
        <v>1400</v>
      </c>
      <c r="J28" s="81">
        <f t="shared" si="1"/>
        <v>363.73125000000005</v>
      </c>
      <c r="K28" s="82">
        <f t="shared" si="8"/>
        <v>74.019196428571419</v>
      </c>
      <c r="L28" s="88" t="s">
        <v>400</v>
      </c>
      <c r="M28" s="90">
        <v>849.47500000000002</v>
      </c>
      <c r="N28" s="168">
        <f t="shared" si="9"/>
        <v>150</v>
      </c>
      <c r="O28" s="80">
        <f t="shared" si="21"/>
        <v>414.50749999999999</v>
      </c>
      <c r="P28" s="79">
        <v>2.5</v>
      </c>
      <c r="Q28" s="80">
        <f t="shared" si="11"/>
        <v>1036.26875</v>
      </c>
      <c r="R28" s="248">
        <f t="shared" si="19"/>
        <v>1050</v>
      </c>
      <c r="S28" s="302">
        <f t="shared" si="20"/>
        <v>13.731250000000045</v>
      </c>
      <c r="T28" s="79">
        <f t="shared" si="22"/>
        <v>0</v>
      </c>
      <c r="U28" s="435"/>
      <c r="V28" s="435">
        <f t="shared" si="4"/>
        <v>0</v>
      </c>
      <c r="X28" s="313"/>
      <c r="Y28" s="313"/>
      <c r="Z28" s="313"/>
    </row>
    <row r="29" spans="1:38" ht="15.75" thickBot="1">
      <c r="A29" s="62" t="s">
        <v>399</v>
      </c>
      <c r="B29" s="111" t="s">
        <v>384</v>
      </c>
      <c r="C29" s="92">
        <v>894.93</v>
      </c>
      <c r="D29" s="245">
        <f t="shared" si="5"/>
        <v>150</v>
      </c>
      <c r="E29" s="92">
        <v>185.4342</v>
      </c>
      <c r="F29" s="82">
        <v>2.5</v>
      </c>
      <c r="G29" s="92">
        <f t="shared" si="6"/>
        <v>463.58550000000002</v>
      </c>
      <c r="H29" s="81">
        <f t="shared" si="7"/>
        <v>4</v>
      </c>
      <c r="I29" s="274">
        <f t="shared" si="18"/>
        <v>600</v>
      </c>
      <c r="J29" s="81">
        <f t="shared" si="1"/>
        <v>136.41449999999998</v>
      </c>
      <c r="K29" s="82">
        <f t="shared" si="8"/>
        <v>77.264250000000004</v>
      </c>
      <c r="L29" s="88" t="s">
        <v>383</v>
      </c>
      <c r="M29" s="90">
        <v>975.03499999999997</v>
      </c>
      <c r="N29" s="168">
        <f t="shared" si="9"/>
        <v>150</v>
      </c>
      <c r="O29" s="80">
        <f t="shared" si="21"/>
        <v>185.4342</v>
      </c>
      <c r="P29" s="79">
        <v>2.5</v>
      </c>
      <c r="Q29" s="90">
        <f t="shared" si="11"/>
        <v>463.58550000000002</v>
      </c>
      <c r="R29" s="248">
        <f t="shared" si="19"/>
        <v>600</v>
      </c>
      <c r="S29" s="302">
        <f t="shared" si="20"/>
        <v>136.41449999999998</v>
      </c>
      <c r="T29" s="79">
        <f t="shared" si="22"/>
        <v>0</v>
      </c>
      <c r="U29" s="435"/>
      <c r="V29" s="435">
        <f t="shared" si="4"/>
        <v>0</v>
      </c>
      <c r="X29" s="313"/>
      <c r="Y29" s="313"/>
      <c r="Z29" s="313"/>
    </row>
    <row r="30" spans="1:38" ht="15.75" thickBot="1">
      <c r="A30" s="94" t="s">
        <v>398</v>
      </c>
      <c r="B30" s="93" t="s">
        <v>377</v>
      </c>
      <c r="C30" s="105">
        <v>839.23</v>
      </c>
      <c r="D30" s="245">
        <f t="shared" si="5"/>
        <v>150</v>
      </c>
      <c r="E30" s="105">
        <v>213.84829999999999</v>
      </c>
      <c r="F30" s="82">
        <v>2.5</v>
      </c>
      <c r="G30" s="92">
        <f t="shared" si="6"/>
        <v>534.62075000000004</v>
      </c>
      <c r="H30" s="81">
        <f t="shared" si="7"/>
        <v>5</v>
      </c>
      <c r="I30" s="274">
        <f t="shared" si="18"/>
        <v>750</v>
      </c>
      <c r="J30" s="81">
        <f t="shared" si="1"/>
        <v>215.37924999999996</v>
      </c>
      <c r="K30" s="82">
        <f t="shared" si="8"/>
        <v>71.282766666666674</v>
      </c>
      <c r="L30" s="99" t="s">
        <v>397</v>
      </c>
      <c r="M30" s="104">
        <v>1347.24</v>
      </c>
      <c r="N30" s="168">
        <f t="shared" si="9"/>
        <v>100</v>
      </c>
      <c r="O30" s="80">
        <f t="shared" si="21"/>
        <v>213.84829999999999</v>
      </c>
      <c r="P30" s="79">
        <v>2.5</v>
      </c>
      <c r="Q30" s="90">
        <f t="shared" si="11"/>
        <v>534.62075000000004</v>
      </c>
      <c r="R30" s="248">
        <f t="shared" si="19"/>
        <v>500</v>
      </c>
      <c r="S30" s="302">
        <f t="shared" si="20"/>
        <v>-34.620750000000044</v>
      </c>
      <c r="T30" s="79">
        <f t="shared" si="22"/>
        <v>1</v>
      </c>
      <c r="U30" s="435" t="s">
        <v>11</v>
      </c>
      <c r="V30" s="435">
        <f t="shared" si="4"/>
        <v>34.620750000000044</v>
      </c>
      <c r="X30" s="313"/>
      <c r="Y30" s="313"/>
      <c r="Z30" s="313"/>
    </row>
    <row r="31" spans="1:38" ht="15.75" thickBot="1">
      <c r="A31" s="94" t="s">
        <v>396</v>
      </c>
      <c r="B31" s="93" t="s">
        <v>52</v>
      </c>
      <c r="C31" s="92">
        <v>428.91</v>
      </c>
      <c r="D31" s="245">
        <f t="shared" si="5"/>
        <v>200</v>
      </c>
      <c r="E31" s="92">
        <v>320.7817</v>
      </c>
      <c r="F31" s="82">
        <v>2.5</v>
      </c>
      <c r="G31" s="92">
        <f t="shared" si="6"/>
        <v>801.95425</v>
      </c>
      <c r="H31" s="81">
        <f t="shared" si="7"/>
        <v>5</v>
      </c>
      <c r="I31" s="274">
        <f t="shared" si="18"/>
        <v>1000</v>
      </c>
      <c r="J31" s="81">
        <f t="shared" si="1"/>
        <v>198.04575</v>
      </c>
      <c r="K31" s="82">
        <f t="shared" si="8"/>
        <v>80.195425</v>
      </c>
      <c r="L31" s="88" t="s">
        <v>395</v>
      </c>
      <c r="M31" s="90">
        <v>762.03</v>
      </c>
      <c r="N31" s="168">
        <f t="shared" si="9"/>
        <v>150</v>
      </c>
      <c r="O31" s="80">
        <f t="shared" si="21"/>
        <v>320.7817</v>
      </c>
      <c r="P31" s="79">
        <v>2.5</v>
      </c>
      <c r="Q31" s="90">
        <f t="shared" si="11"/>
        <v>801.95425</v>
      </c>
      <c r="R31" s="248">
        <f t="shared" si="19"/>
        <v>750</v>
      </c>
      <c r="S31" s="302">
        <f t="shared" si="20"/>
        <v>-51.954250000000002</v>
      </c>
      <c r="T31" s="79">
        <f t="shared" si="22"/>
        <v>1</v>
      </c>
      <c r="U31" s="435" t="s">
        <v>12</v>
      </c>
      <c r="V31" s="435">
        <f t="shared" si="4"/>
        <v>51.954250000000002</v>
      </c>
      <c r="X31" s="557" t="s">
        <v>586</v>
      </c>
      <c r="Y31" s="558"/>
      <c r="Z31" s="558"/>
      <c r="AA31" s="558"/>
      <c r="AB31" s="558"/>
      <c r="AC31" s="559"/>
      <c r="AD31" s="154"/>
      <c r="AE31" s="5"/>
      <c r="AF31" s="5"/>
      <c r="AG31" s="5"/>
      <c r="AH31" s="5"/>
      <c r="AI31" s="486"/>
      <c r="AJ31" s="486"/>
      <c r="AK31" s="486"/>
      <c r="AL31" s="486"/>
    </row>
    <row r="32" spans="1:38" ht="15.75" thickBot="1">
      <c r="A32" s="94" t="s">
        <v>393</v>
      </c>
      <c r="B32" s="93" t="s">
        <v>56</v>
      </c>
      <c r="C32" s="92">
        <v>268.91000000000003</v>
      </c>
      <c r="D32" s="245">
        <f t="shared" si="5"/>
        <v>250</v>
      </c>
      <c r="E32" s="92">
        <v>277.57420000000002</v>
      </c>
      <c r="F32" s="82">
        <v>2.5</v>
      </c>
      <c r="G32" s="92">
        <f t="shared" si="6"/>
        <v>693.93550000000005</v>
      </c>
      <c r="H32" s="81">
        <f t="shared" si="7"/>
        <v>4</v>
      </c>
      <c r="I32" s="274">
        <f t="shared" si="18"/>
        <v>1000</v>
      </c>
      <c r="J32" s="81">
        <f t="shared" si="1"/>
        <v>306.06449999999995</v>
      </c>
      <c r="K32" s="82">
        <f t="shared" si="8"/>
        <v>69.393550000000005</v>
      </c>
      <c r="L32" s="88" t="s">
        <v>392</v>
      </c>
      <c r="M32" s="90">
        <v>922.03</v>
      </c>
      <c r="N32" s="168">
        <f t="shared" si="9"/>
        <v>150</v>
      </c>
      <c r="O32" s="80">
        <f t="shared" si="21"/>
        <v>277.57420000000002</v>
      </c>
      <c r="P32" s="79">
        <v>2.5</v>
      </c>
      <c r="Q32" s="90">
        <f t="shared" si="11"/>
        <v>693.93550000000005</v>
      </c>
      <c r="R32" s="249">
        <f t="shared" si="19"/>
        <v>600</v>
      </c>
      <c r="S32" s="305">
        <f t="shared" si="20"/>
        <v>-93.935500000000047</v>
      </c>
      <c r="T32" s="79">
        <f t="shared" si="22"/>
        <v>1</v>
      </c>
      <c r="U32" s="435" t="s">
        <v>16</v>
      </c>
      <c r="V32" s="435">
        <f t="shared" si="4"/>
        <v>93.935500000000047</v>
      </c>
      <c r="X32" s="331" t="s">
        <v>491</v>
      </c>
      <c r="Y32" s="333" t="s">
        <v>493</v>
      </c>
      <c r="Z32" s="333" t="s">
        <v>494</v>
      </c>
      <c r="AA32" s="333" t="s">
        <v>495</v>
      </c>
      <c r="AB32" s="333" t="s">
        <v>496</v>
      </c>
      <c r="AC32" s="334" t="s">
        <v>562</v>
      </c>
      <c r="AD32" s="290" t="s">
        <v>415</v>
      </c>
      <c r="AE32" s="5"/>
      <c r="AF32" s="5"/>
      <c r="AG32" s="5"/>
      <c r="AH32" s="5"/>
      <c r="AI32" s="486"/>
      <c r="AJ32" s="486"/>
      <c r="AK32" s="486"/>
      <c r="AL32" s="491"/>
    </row>
    <row r="33" spans="1:38" ht="15.75" thickBot="1">
      <c r="A33" s="84" t="s">
        <v>391</v>
      </c>
      <c r="B33" s="83" t="s">
        <v>390</v>
      </c>
      <c r="C33" s="82">
        <v>774.56</v>
      </c>
      <c r="D33" s="243">
        <f t="shared" si="5"/>
        <v>150</v>
      </c>
      <c r="E33" s="82">
        <v>593.39</v>
      </c>
      <c r="F33" s="82">
        <v>2.5</v>
      </c>
      <c r="G33" s="82">
        <f t="shared" si="6"/>
        <v>1483.4749999999999</v>
      </c>
      <c r="H33" s="81">
        <f t="shared" si="7"/>
        <v>12</v>
      </c>
      <c r="I33" s="270">
        <f t="shared" si="18"/>
        <v>1800</v>
      </c>
      <c r="J33" s="81">
        <f t="shared" si="1"/>
        <v>316.52500000000009</v>
      </c>
      <c r="K33" s="82">
        <f t="shared" si="8"/>
        <v>82.415277777777774</v>
      </c>
      <c r="L33" s="98" t="s">
        <v>389</v>
      </c>
      <c r="M33" s="80">
        <v>778.62</v>
      </c>
      <c r="N33" s="168">
        <f t="shared" si="9"/>
        <v>150</v>
      </c>
      <c r="O33" s="80">
        <f t="shared" si="21"/>
        <v>593.39</v>
      </c>
      <c r="P33" s="79">
        <v>2.5</v>
      </c>
      <c r="Q33" s="251">
        <f t="shared" si="11"/>
        <v>1483.4749999999999</v>
      </c>
      <c r="R33" s="90">
        <f t="shared" si="19"/>
        <v>1800</v>
      </c>
      <c r="S33" s="302">
        <f t="shared" si="20"/>
        <v>316.52500000000009</v>
      </c>
      <c r="T33" s="79">
        <f t="shared" si="22"/>
        <v>0</v>
      </c>
      <c r="U33" s="435"/>
      <c r="V33" s="435">
        <f t="shared" si="4"/>
        <v>0</v>
      </c>
      <c r="X33" s="59" t="s">
        <v>84</v>
      </c>
      <c r="Y33" s="335">
        <v>0</v>
      </c>
      <c r="Z33" s="335">
        <v>1</v>
      </c>
      <c r="AA33" s="336">
        <v>0</v>
      </c>
      <c r="AB33" s="336">
        <v>0</v>
      </c>
      <c r="AC33" s="337">
        <v>0</v>
      </c>
      <c r="AD33" s="338">
        <f>SUM(Y33:AC33)</f>
        <v>1</v>
      </c>
      <c r="AE33" s="5"/>
      <c r="AF33" s="5"/>
      <c r="AG33" s="5"/>
      <c r="AH33" s="5"/>
      <c r="AI33" s="486"/>
      <c r="AJ33" s="486"/>
      <c r="AK33" s="486"/>
      <c r="AL33" s="486"/>
    </row>
    <row r="34" spans="1:38" ht="15.75" thickBot="1">
      <c r="A34" s="94" t="s">
        <v>385</v>
      </c>
      <c r="B34" s="93" t="s">
        <v>384</v>
      </c>
      <c r="C34" s="105">
        <v>894.93</v>
      </c>
      <c r="D34" s="245">
        <f t="shared" si="5"/>
        <v>150</v>
      </c>
      <c r="E34" s="105">
        <v>185.4342</v>
      </c>
      <c r="F34" s="82">
        <v>2.5</v>
      </c>
      <c r="G34" s="92">
        <f t="shared" si="6"/>
        <v>463.58550000000002</v>
      </c>
      <c r="H34" s="81">
        <f t="shared" si="7"/>
        <v>4</v>
      </c>
      <c r="I34" s="274">
        <f t="shared" si="18"/>
        <v>600</v>
      </c>
      <c r="J34" s="81">
        <f t="shared" si="1"/>
        <v>136.41449999999998</v>
      </c>
      <c r="K34" s="82">
        <f t="shared" si="8"/>
        <v>77.264250000000004</v>
      </c>
      <c r="L34" s="99" t="s">
        <v>383</v>
      </c>
      <c r="M34" s="104">
        <v>975.03499999999997</v>
      </c>
      <c r="N34" s="168">
        <f t="shared" si="9"/>
        <v>150</v>
      </c>
      <c r="O34" s="80">
        <f t="shared" si="21"/>
        <v>185.4342</v>
      </c>
      <c r="P34" s="79">
        <v>2.5</v>
      </c>
      <c r="Q34" s="252">
        <f t="shared" si="11"/>
        <v>463.58550000000002</v>
      </c>
      <c r="R34" s="80">
        <f t="shared" si="19"/>
        <v>600</v>
      </c>
      <c r="S34" s="191">
        <f t="shared" si="20"/>
        <v>136.41449999999998</v>
      </c>
      <c r="T34" s="79">
        <f t="shared" si="22"/>
        <v>0</v>
      </c>
      <c r="U34" s="435"/>
      <c r="V34" s="435">
        <f t="shared" si="4"/>
        <v>0</v>
      </c>
      <c r="X34" s="59" t="s">
        <v>85</v>
      </c>
      <c r="Y34" s="335">
        <v>1</v>
      </c>
      <c r="Z34" s="335">
        <v>0</v>
      </c>
      <c r="AA34" s="335">
        <v>0</v>
      </c>
      <c r="AB34" s="335">
        <v>0</v>
      </c>
      <c r="AC34" s="337">
        <v>0</v>
      </c>
      <c r="AD34" s="59">
        <f t="shared" ref="AD34:AD44" si="23">SUM(Y34:AC34)</f>
        <v>1</v>
      </c>
      <c r="AE34" s="5"/>
      <c r="AF34" s="5"/>
      <c r="AG34" s="5"/>
      <c r="AH34" s="5"/>
      <c r="AI34" s="486"/>
      <c r="AJ34" s="486"/>
      <c r="AK34" s="486"/>
      <c r="AL34" s="486"/>
    </row>
    <row r="35" spans="1:38" ht="15.75" thickBot="1">
      <c r="A35" s="94" t="s">
        <v>381</v>
      </c>
      <c r="B35" s="93" t="s">
        <v>380</v>
      </c>
      <c r="C35" s="92">
        <v>553.46500000000003</v>
      </c>
      <c r="D35" s="245">
        <f t="shared" si="5"/>
        <v>150</v>
      </c>
      <c r="E35" s="92">
        <v>491.47570000000002</v>
      </c>
      <c r="F35" s="82">
        <v>2.5</v>
      </c>
      <c r="G35" s="92">
        <f t="shared" si="6"/>
        <v>1228.6892500000001</v>
      </c>
      <c r="H35" s="81">
        <f t="shared" si="7"/>
        <v>10</v>
      </c>
      <c r="I35" s="274">
        <f t="shared" si="18"/>
        <v>1500</v>
      </c>
      <c r="J35" s="81">
        <f t="shared" si="1"/>
        <v>271.31074999999987</v>
      </c>
      <c r="K35" s="82">
        <f t="shared" si="8"/>
        <v>81.912616666666665</v>
      </c>
      <c r="L35" s="88" t="s">
        <v>379</v>
      </c>
      <c r="M35" s="90">
        <v>660.12</v>
      </c>
      <c r="N35" s="168">
        <f t="shared" si="9"/>
        <v>150</v>
      </c>
      <c r="O35" s="80">
        <f t="shared" si="21"/>
        <v>491.47570000000002</v>
      </c>
      <c r="P35" s="79">
        <v>2.5</v>
      </c>
      <c r="Q35" s="252">
        <f t="shared" si="11"/>
        <v>1228.6892500000001</v>
      </c>
      <c r="R35" s="80">
        <f t="shared" si="19"/>
        <v>1500</v>
      </c>
      <c r="S35" s="191">
        <f t="shared" si="20"/>
        <v>271.31074999999987</v>
      </c>
      <c r="T35" s="79">
        <f t="shared" si="22"/>
        <v>0</v>
      </c>
      <c r="U35" s="435"/>
      <c r="V35" s="435">
        <f t="shared" ref="V35:V57" si="24">IF(S35&lt;0, -1*S35,0)</f>
        <v>0</v>
      </c>
      <c r="X35" s="59" t="s">
        <v>86</v>
      </c>
      <c r="Y35" s="335">
        <v>1</v>
      </c>
      <c r="Z35" s="335">
        <v>0</v>
      </c>
      <c r="AA35" s="335">
        <v>0</v>
      </c>
      <c r="AB35" s="335">
        <v>0</v>
      </c>
      <c r="AC35" s="337">
        <v>0</v>
      </c>
      <c r="AD35" s="59">
        <f t="shared" si="23"/>
        <v>1</v>
      </c>
      <c r="AE35" s="5"/>
      <c r="AF35" s="481" t="s">
        <v>498</v>
      </c>
      <c r="AG35" s="481" t="s">
        <v>499</v>
      </c>
      <c r="AH35" s="340" t="s">
        <v>500</v>
      </c>
      <c r="AI35" s="486"/>
      <c r="AJ35" s="486"/>
      <c r="AK35" s="5"/>
      <c r="AL35" s="5"/>
    </row>
    <row r="36" spans="1:38" ht="15.75" thickBot="1">
      <c r="A36" s="84" t="s">
        <v>378</v>
      </c>
      <c r="B36" s="83" t="s">
        <v>377</v>
      </c>
      <c r="C36" s="82">
        <v>839.23</v>
      </c>
      <c r="D36" s="243">
        <f t="shared" si="5"/>
        <v>150</v>
      </c>
      <c r="E36" s="82">
        <v>213.84829999999999</v>
      </c>
      <c r="F36" s="82">
        <v>2.5</v>
      </c>
      <c r="G36" s="82">
        <f t="shared" si="6"/>
        <v>534.62075000000004</v>
      </c>
      <c r="H36" s="81">
        <f t="shared" si="7"/>
        <v>5</v>
      </c>
      <c r="I36" s="270">
        <f t="shared" si="18"/>
        <v>750</v>
      </c>
      <c r="J36" s="81">
        <f t="shared" si="1"/>
        <v>215.37924999999996</v>
      </c>
      <c r="K36" s="82">
        <f t="shared" si="8"/>
        <v>71.282766666666674</v>
      </c>
      <c r="L36" s="98" t="s">
        <v>376</v>
      </c>
      <c r="M36" s="80">
        <v>844.89</v>
      </c>
      <c r="N36" s="168">
        <f t="shared" si="9"/>
        <v>150</v>
      </c>
      <c r="O36" s="80">
        <f t="shared" si="21"/>
        <v>213.84829999999999</v>
      </c>
      <c r="P36" s="79">
        <v>2.5</v>
      </c>
      <c r="Q36" s="251">
        <f t="shared" si="11"/>
        <v>534.62075000000004</v>
      </c>
      <c r="R36" s="80">
        <f t="shared" si="19"/>
        <v>750</v>
      </c>
      <c r="S36" s="191">
        <f t="shared" si="20"/>
        <v>215.37924999999996</v>
      </c>
      <c r="T36" s="79">
        <f t="shared" si="22"/>
        <v>0</v>
      </c>
      <c r="U36" s="435"/>
      <c r="V36" s="435">
        <f t="shared" si="24"/>
        <v>0</v>
      </c>
      <c r="X36" s="59" t="s">
        <v>87</v>
      </c>
      <c r="Y36" s="335">
        <v>0</v>
      </c>
      <c r="Z36" s="335">
        <v>4</v>
      </c>
      <c r="AA36" s="335">
        <v>0</v>
      </c>
      <c r="AB36" s="335">
        <v>0</v>
      </c>
      <c r="AC36" s="337">
        <v>0</v>
      </c>
      <c r="AD36" s="59">
        <f t="shared" si="23"/>
        <v>4</v>
      </c>
      <c r="AE36" s="5"/>
      <c r="AF36" s="60" t="s">
        <v>493</v>
      </c>
      <c r="AG36" s="60">
        <v>100</v>
      </c>
      <c r="AH36" s="492">
        <v>15</v>
      </c>
      <c r="AI36" s="486"/>
      <c r="AJ36" s="486"/>
      <c r="AK36" s="5"/>
      <c r="AL36" s="5"/>
    </row>
    <row r="37" spans="1:38" ht="15.75" thickBot="1">
      <c r="A37" s="94" t="s">
        <v>375</v>
      </c>
      <c r="B37" s="93" t="s">
        <v>374</v>
      </c>
      <c r="C37" s="92">
        <v>497.76499999999999</v>
      </c>
      <c r="D37" s="244">
        <f t="shared" si="5"/>
        <v>200</v>
      </c>
      <c r="E37" s="92">
        <v>1151.328</v>
      </c>
      <c r="F37" s="82">
        <v>2.5</v>
      </c>
      <c r="G37" s="72">
        <f t="shared" si="6"/>
        <v>2878.3199999999997</v>
      </c>
      <c r="H37" s="81">
        <f t="shared" si="7"/>
        <v>18</v>
      </c>
      <c r="I37" s="272">
        <f t="shared" si="18"/>
        <v>3600</v>
      </c>
      <c r="J37" s="81">
        <f t="shared" si="1"/>
        <v>721.68000000000029</v>
      </c>
      <c r="K37" s="82">
        <f t="shared" si="8"/>
        <v>79.953333333333319</v>
      </c>
      <c r="L37" s="88" t="s">
        <v>373</v>
      </c>
      <c r="M37" s="90">
        <v>503.42500000000001</v>
      </c>
      <c r="N37" s="168">
        <f t="shared" si="9"/>
        <v>200</v>
      </c>
      <c r="O37" s="80">
        <f t="shared" si="21"/>
        <v>1151.328</v>
      </c>
      <c r="P37" s="79">
        <v>2.5</v>
      </c>
      <c r="Q37" s="253">
        <f t="shared" si="11"/>
        <v>2878.3199999999997</v>
      </c>
      <c r="R37" s="80">
        <f t="shared" si="19"/>
        <v>3600</v>
      </c>
      <c r="S37" s="191">
        <f t="shared" si="20"/>
        <v>721.68000000000029</v>
      </c>
      <c r="T37" s="79">
        <f t="shared" si="22"/>
        <v>0</v>
      </c>
      <c r="U37" s="435"/>
      <c r="V37" s="435">
        <f t="shared" si="24"/>
        <v>0</v>
      </c>
      <c r="X37" s="59" t="s">
        <v>88</v>
      </c>
      <c r="Y37" s="335">
        <v>2</v>
      </c>
      <c r="Z37" s="335">
        <v>0</v>
      </c>
      <c r="AA37" s="335">
        <v>0</v>
      </c>
      <c r="AB37" s="335">
        <v>0</v>
      </c>
      <c r="AC37" s="337">
        <v>0</v>
      </c>
      <c r="AD37" s="59">
        <f t="shared" si="23"/>
        <v>2</v>
      </c>
      <c r="AE37" s="329"/>
      <c r="AF37" s="341" t="s">
        <v>494</v>
      </c>
      <c r="AG37" s="341">
        <v>150</v>
      </c>
      <c r="AH37" s="493">
        <v>16.3689</v>
      </c>
      <c r="AI37" s="486"/>
      <c r="AJ37" s="486"/>
      <c r="AK37" s="5"/>
      <c r="AL37" s="486"/>
    </row>
    <row r="38" spans="1:38" ht="15.75" thickBot="1">
      <c r="A38" s="84" t="s">
        <v>372</v>
      </c>
      <c r="B38" s="83" t="s">
        <v>371</v>
      </c>
      <c r="C38" s="82">
        <v>285.27999999999997</v>
      </c>
      <c r="D38" s="92">
        <f t="shared" si="5"/>
        <v>250</v>
      </c>
      <c r="E38" s="82">
        <v>779.52329999999995</v>
      </c>
      <c r="F38" s="82">
        <v>2.5</v>
      </c>
      <c r="G38" s="92">
        <f t="shared" si="6"/>
        <v>1948.8082499999998</v>
      </c>
      <c r="H38" s="81">
        <f t="shared" si="7"/>
        <v>10</v>
      </c>
      <c r="I38" s="242">
        <f t="shared" si="18"/>
        <v>2500</v>
      </c>
      <c r="J38" s="81">
        <f t="shared" si="1"/>
        <v>551.19175000000018</v>
      </c>
      <c r="K38" s="82">
        <f t="shared" si="8"/>
        <v>77.952329999999989</v>
      </c>
      <c r="L38" s="80" t="s">
        <v>370</v>
      </c>
      <c r="M38" s="80">
        <v>539.80499999999995</v>
      </c>
      <c r="N38" s="168">
        <f t="shared" si="9"/>
        <v>150</v>
      </c>
      <c r="O38" s="80">
        <f t="shared" si="21"/>
        <v>779.52329999999995</v>
      </c>
      <c r="P38" s="79">
        <v>2.5</v>
      </c>
      <c r="Q38" s="89">
        <f t="shared" si="11"/>
        <v>1948.8082499999998</v>
      </c>
      <c r="R38" s="80">
        <f t="shared" si="19"/>
        <v>1500</v>
      </c>
      <c r="S38" s="191">
        <f t="shared" si="20"/>
        <v>-448.80824999999982</v>
      </c>
      <c r="T38" s="79">
        <f t="shared" si="22"/>
        <v>3</v>
      </c>
      <c r="U38" s="435" t="s">
        <v>19</v>
      </c>
      <c r="V38" s="435">
        <f t="shared" si="24"/>
        <v>448.80824999999982</v>
      </c>
      <c r="X38" s="59" t="s">
        <v>89</v>
      </c>
      <c r="Y38" s="335">
        <v>1</v>
      </c>
      <c r="Z38" s="335">
        <v>0</v>
      </c>
      <c r="AA38" s="335">
        <v>0</v>
      </c>
      <c r="AB38" s="335">
        <v>0</v>
      </c>
      <c r="AC38" s="337">
        <v>0</v>
      </c>
      <c r="AD38" s="59">
        <f t="shared" si="23"/>
        <v>1</v>
      </c>
      <c r="AE38" s="328"/>
      <c r="AF38" s="341" t="s">
        <v>495</v>
      </c>
      <c r="AG38" s="341">
        <v>200</v>
      </c>
      <c r="AH38" s="493">
        <v>16.746700000000001</v>
      </c>
      <c r="AI38" s="486"/>
      <c r="AJ38" s="486"/>
      <c r="AK38" s="5"/>
      <c r="AL38" s="486"/>
    </row>
    <row r="39" spans="1:38" ht="15.75" thickBot="1">
      <c r="A39" s="84" t="s">
        <v>368</v>
      </c>
      <c r="B39" s="83" t="s">
        <v>367</v>
      </c>
      <c r="C39" s="82">
        <v>239.47</v>
      </c>
      <c r="D39" s="243">
        <f t="shared" si="5"/>
        <v>250</v>
      </c>
      <c r="E39" s="82">
        <v>886.15449999999998</v>
      </c>
      <c r="F39" s="82">
        <v>2.5</v>
      </c>
      <c r="G39" s="82">
        <f t="shared" si="6"/>
        <v>2215.38625</v>
      </c>
      <c r="H39" s="81">
        <f t="shared" si="7"/>
        <v>11</v>
      </c>
      <c r="I39" s="270">
        <f t="shared" si="18"/>
        <v>2750</v>
      </c>
      <c r="J39" s="81">
        <f t="shared" si="1"/>
        <v>534.61374999999998</v>
      </c>
      <c r="K39" s="82">
        <f t="shared" si="8"/>
        <v>80.5595</v>
      </c>
      <c r="L39" s="98" t="s">
        <v>366</v>
      </c>
      <c r="M39" s="80">
        <v>585.61500000000001</v>
      </c>
      <c r="N39" s="168">
        <f t="shared" si="9"/>
        <v>150</v>
      </c>
      <c r="O39" s="80">
        <f t="shared" si="21"/>
        <v>886.15449999999998</v>
      </c>
      <c r="P39" s="79">
        <v>2.5</v>
      </c>
      <c r="Q39" s="251">
        <f t="shared" si="11"/>
        <v>2215.38625</v>
      </c>
      <c r="R39" s="80">
        <f t="shared" si="19"/>
        <v>1650</v>
      </c>
      <c r="S39" s="191">
        <f t="shared" si="20"/>
        <v>-565.38625000000002</v>
      </c>
      <c r="T39" s="79">
        <f t="shared" si="22"/>
        <v>4</v>
      </c>
      <c r="U39" s="435" t="s">
        <v>20</v>
      </c>
      <c r="V39" s="435">
        <f t="shared" si="24"/>
        <v>565.38625000000002</v>
      </c>
      <c r="X39" s="59" t="s">
        <v>90</v>
      </c>
      <c r="Y39" s="335">
        <v>1</v>
      </c>
      <c r="Z39" s="335">
        <v>0</v>
      </c>
      <c r="AA39" s="335">
        <v>0</v>
      </c>
      <c r="AB39" s="335">
        <v>0</v>
      </c>
      <c r="AC39" s="337">
        <v>0</v>
      </c>
      <c r="AD39" s="59">
        <f t="shared" si="23"/>
        <v>1</v>
      </c>
      <c r="AE39" s="328"/>
      <c r="AF39" s="341" t="s">
        <v>496</v>
      </c>
      <c r="AG39" s="341">
        <v>250</v>
      </c>
      <c r="AH39" s="493">
        <v>16.886600000000001</v>
      </c>
      <c r="AI39" s="486"/>
      <c r="AJ39" s="486"/>
      <c r="AK39" s="5"/>
      <c r="AL39" s="486"/>
    </row>
    <row r="40" spans="1:38" ht="15.75" thickBot="1">
      <c r="A40" s="74" t="s">
        <v>364</v>
      </c>
      <c r="B40" s="73" t="s">
        <v>61</v>
      </c>
      <c r="C40" s="72">
        <v>381.34</v>
      </c>
      <c r="D40" s="245">
        <f t="shared" si="5"/>
        <v>200</v>
      </c>
      <c r="E40" s="72">
        <v>233.80699999999999</v>
      </c>
      <c r="F40" s="82">
        <v>2.5</v>
      </c>
      <c r="G40" s="92">
        <f t="shared" si="6"/>
        <v>584.51749999999993</v>
      </c>
      <c r="H40" s="81">
        <f t="shared" si="7"/>
        <v>4</v>
      </c>
      <c r="I40" s="274">
        <f t="shared" si="18"/>
        <v>800</v>
      </c>
      <c r="J40" s="81">
        <f t="shared" si="1"/>
        <v>215.48250000000007</v>
      </c>
      <c r="K40" s="82">
        <f t="shared" si="8"/>
        <v>73.064687499999991</v>
      </c>
      <c r="L40" s="69" t="s">
        <v>328</v>
      </c>
      <c r="M40" s="70">
        <v>673.16499999999996</v>
      </c>
      <c r="N40" s="168">
        <f t="shared" si="9"/>
        <v>150</v>
      </c>
      <c r="O40" s="80">
        <f t="shared" si="21"/>
        <v>233.80699999999999</v>
      </c>
      <c r="P40" s="79">
        <v>2.5</v>
      </c>
      <c r="Q40" s="252">
        <f t="shared" si="11"/>
        <v>584.51749999999993</v>
      </c>
      <c r="R40" s="80">
        <f t="shared" si="19"/>
        <v>600</v>
      </c>
      <c r="S40" s="191">
        <f t="shared" si="20"/>
        <v>15.482500000000073</v>
      </c>
      <c r="T40" s="79">
        <f t="shared" si="22"/>
        <v>0</v>
      </c>
      <c r="U40" s="435"/>
      <c r="V40" s="435">
        <f t="shared" si="24"/>
        <v>0</v>
      </c>
      <c r="X40" s="59" t="s">
        <v>91</v>
      </c>
      <c r="Y40" s="335">
        <v>0</v>
      </c>
      <c r="Z40" s="335">
        <v>1</v>
      </c>
      <c r="AA40" s="337">
        <v>0</v>
      </c>
      <c r="AB40" s="337">
        <v>0</v>
      </c>
      <c r="AC40" s="337">
        <v>0</v>
      </c>
      <c r="AD40" s="59">
        <f t="shared" si="23"/>
        <v>1</v>
      </c>
      <c r="AE40" s="329"/>
      <c r="AF40" s="342" t="s">
        <v>562</v>
      </c>
      <c r="AG40" s="342">
        <v>300</v>
      </c>
      <c r="AH40" s="494">
        <v>17</v>
      </c>
      <c r="AI40" s="486"/>
      <c r="AJ40" s="486"/>
      <c r="AK40" s="5"/>
      <c r="AL40" s="486"/>
    </row>
    <row r="41" spans="1:38" ht="15.75" thickBot="1">
      <c r="A41" s="62" t="s">
        <v>362</v>
      </c>
      <c r="B41" s="111" t="s">
        <v>74</v>
      </c>
      <c r="C41" s="92">
        <v>632.29499999999996</v>
      </c>
      <c r="D41" s="243">
        <f t="shared" si="5"/>
        <v>150</v>
      </c>
      <c r="E41" s="92">
        <v>416.14780000000002</v>
      </c>
      <c r="F41" s="82">
        <v>2.5</v>
      </c>
      <c r="G41" s="82">
        <f t="shared" si="6"/>
        <v>1040.3695</v>
      </c>
      <c r="H41" s="81">
        <f t="shared" si="7"/>
        <v>9</v>
      </c>
      <c r="I41" s="270">
        <f t="shared" si="18"/>
        <v>1350</v>
      </c>
      <c r="J41" s="81">
        <f t="shared" si="1"/>
        <v>309.63049999999998</v>
      </c>
      <c r="K41" s="82">
        <f t="shared" si="8"/>
        <v>77.064407407407415</v>
      </c>
      <c r="L41" s="88" t="s">
        <v>361</v>
      </c>
      <c r="M41" s="90">
        <v>692.19500000000005</v>
      </c>
      <c r="N41" s="168">
        <f t="shared" si="9"/>
        <v>150</v>
      </c>
      <c r="O41" s="80">
        <f t="shared" si="21"/>
        <v>416.14780000000002</v>
      </c>
      <c r="P41" s="79">
        <v>2.5</v>
      </c>
      <c r="Q41" s="251">
        <f t="shared" si="11"/>
        <v>1040.3695</v>
      </c>
      <c r="R41" s="80">
        <f t="shared" si="19"/>
        <v>1350</v>
      </c>
      <c r="S41" s="191">
        <f t="shared" si="20"/>
        <v>309.63049999999998</v>
      </c>
      <c r="T41" s="79">
        <f t="shared" si="22"/>
        <v>0</v>
      </c>
      <c r="U41" s="435"/>
      <c r="V41" s="435">
        <f t="shared" si="24"/>
        <v>0</v>
      </c>
      <c r="X41" s="59" t="s">
        <v>92</v>
      </c>
      <c r="Y41" s="337">
        <v>1</v>
      </c>
      <c r="Z41" s="337">
        <v>0</v>
      </c>
      <c r="AA41" s="337">
        <v>0</v>
      </c>
      <c r="AB41" s="337">
        <v>0</v>
      </c>
      <c r="AC41" s="337">
        <v>0</v>
      </c>
      <c r="AD41" s="59">
        <f t="shared" si="23"/>
        <v>1</v>
      </c>
      <c r="AE41" s="329"/>
      <c r="AF41" s="486"/>
      <c r="AG41" s="486"/>
      <c r="AH41" s="5"/>
      <c r="AI41" s="486"/>
      <c r="AJ41" s="486"/>
      <c r="AK41" s="5"/>
      <c r="AL41" s="486"/>
    </row>
    <row r="42" spans="1:38" ht="15.75" thickBot="1">
      <c r="A42" s="94" t="s">
        <v>360</v>
      </c>
      <c r="B42" s="93" t="s">
        <v>55</v>
      </c>
      <c r="C42" s="105">
        <v>566.26</v>
      </c>
      <c r="D42" s="245">
        <f t="shared" si="5"/>
        <v>150</v>
      </c>
      <c r="E42" s="105">
        <v>424.66829999999999</v>
      </c>
      <c r="F42" s="82">
        <v>2.5</v>
      </c>
      <c r="G42" s="92">
        <f t="shared" si="6"/>
        <v>1061.67075</v>
      </c>
      <c r="H42" s="81">
        <f t="shared" si="7"/>
        <v>9</v>
      </c>
      <c r="I42" s="274">
        <f t="shared" si="18"/>
        <v>1350</v>
      </c>
      <c r="J42" s="81">
        <f t="shared" si="1"/>
        <v>288.32925</v>
      </c>
      <c r="K42" s="82">
        <f t="shared" si="8"/>
        <v>78.642277777777778</v>
      </c>
      <c r="L42" s="99" t="s">
        <v>359</v>
      </c>
      <c r="M42" s="104">
        <v>1033.6600000000001</v>
      </c>
      <c r="N42" s="168">
        <f t="shared" si="9"/>
        <v>150</v>
      </c>
      <c r="O42" s="80">
        <f t="shared" si="21"/>
        <v>424.66829999999999</v>
      </c>
      <c r="P42" s="79">
        <v>2.5</v>
      </c>
      <c r="Q42" s="252">
        <f t="shared" si="11"/>
        <v>1061.67075</v>
      </c>
      <c r="R42" s="80">
        <f t="shared" si="19"/>
        <v>1350</v>
      </c>
      <c r="S42" s="191">
        <f t="shared" si="20"/>
        <v>288.32925</v>
      </c>
      <c r="T42" s="79">
        <f t="shared" si="22"/>
        <v>0</v>
      </c>
      <c r="U42" s="435"/>
      <c r="V42" s="435">
        <f t="shared" si="24"/>
        <v>0</v>
      </c>
      <c r="X42" s="59" t="s">
        <v>93</v>
      </c>
      <c r="Y42" s="337">
        <v>0</v>
      </c>
      <c r="Z42" s="335">
        <v>3</v>
      </c>
      <c r="AA42" s="337">
        <v>0</v>
      </c>
      <c r="AB42" s="337">
        <v>0</v>
      </c>
      <c r="AC42" s="337">
        <v>0</v>
      </c>
      <c r="AD42" s="59">
        <f t="shared" si="23"/>
        <v>3</v>
      </c>
      <c r="AE42" s="329"/>
      <c r="AF42" s="486"/>
      <c r="AG42" s="486"/>
      <c r="AH42" s="5"/>
      <c r="AI42" s="486"/>
      <c r="AJ42" s="486"/>
      <c r="AK42" s="495"/>
      <c r="AL42" s="486"/>
    </row>
    <row r="43" spans="1:38" ht="15.75" thickBot="1">
      <c r="A43" s="94" t="s">
        <v>358</v>
      </c>
      <c r="B43" s="93" t="s">
        <v>62</v>
      </c>
      <c r="C43" s="92">
        <v>174.54</v>
      </c>
      <c r="D43" s="244">
        <f t="shared" si="5"/>
        <v>250</v>
      </c>
      <c r="E43" s="92">
        <v>80.336669999999998</v>
      </c>
      <c r="F43" s="82">
        <v>2.5</v>
      </c>
      <c r="G43" s="72">
        <f t="shared" si="6"/>
        <v>200.84167500000001</v>
      </c>
      <c r="H43" s="81">
        <f t="shared" si="7"/>
        <v>1</v>
      </c>
      <c r="I43" s="272">
        <f t="shared" si="18"/>
        <v>250</v>
      </c>
      <c r="J43" s="81">
        <f t="shared" si="1"/>
        <v>49.158324999999991</v>
      </c>
      <c r="K43" s="82">
        <f t="shared" si="8"/>
        <v>80.336669999999998</v>
      </c>
      <c r="L43" s="88" t="s">
        <v>357</v>
      </c>
      <c r="M43" s="90">
        <v>811.21</v>
      </c>
      <c r="N43" s="168">
        <f t="shared" si="9"/>
        <v>150</v>
      </c>
      <c r="O43" s="80">
        <f t="shared" si="21"/>
        <v>80.336669999999998</v>
      </c>
      <c r="P43" s="79">
        <v>2.5</v>
      </c>
      <c r="Q43" s="253">
        <f t="shared" si="11"/>
        <v>200.84167500000001</v>
      </c>
      <c r="R43" s="80">
        <f t="shared" si="19"/>
        <v>150</v>
      </c>
      <c r="S43" s="191">
        <f t="shared" si="20"/>
        <v>-50.841675000000009</v>
      </c>
      <c r="T43" s="79">
        <f t="shared" si="22"/>
        <v>1</v>
      </c>
      <c r="U43" s="435" t="s">
        <v>22</v>
      </c>
      <c r="V43" s="435">
        <f t="shared" si="24"/>
        <v>50.841675000000009</v>
      </c>
      <c r="X43" s="59" t="s">
        <v>94</v>
      </c>
      <c r="Y43" s="337">
        <v>0</v>
      </c>
      <c r="Z43" s="335">
        <v>4</v>
      </c>
      <c r="AA43" s="337">
        <v>0</v>
      </c>
      <c r="AB43" s="337">
        <v>0</v>
      </c>
      <c r="AC43" s="337">
        <v>0</v>
      </c>
      <c r="AD43" s="59">
        <f t="shared" si="23"/>
        <v>4</v>
      </c>
      <c r="AE43" s="18"/>
      <c r="AF43" s="18"/>
      <c r="AG43" s="486"/>
      <c r="AH43" s="5"/>
      <c r="AI43" s="486"/>
      <c r="AJ43" s="486"/>
      <c r="AK43" s="5"/>
      <c r="AL43" s="486"/>
    </row>
    <row r="44" spans="1:38" ht="15.75" thickBot="1">
      <c r="A44" s="84" t="s">
        <v>356</v>
      </c>
      <c r="B44" s="83" t="s">
        <v>355</v>
      </c>
      <c r="C44" s="82">
        <v>517.28</v>
      </c>
      <c r="D44" s="92">
        <f t="shared" si="5"/>
        <v>200</v>
      </c>
      <c r="E44" s="82">
        <v>67.241829999999993</v>
      </c>
      <c r="F44" s="82">
        <v>2.5</v>
      </c>
      <c r="G44" s="92">
        <f t="shared" si="6"/>
        <v>168.10457499999998</v>
      </c>
      <c r="H44" s="81">
        <f t="shared" si="7"/>
        <v>2</v>
      </c>
      <c r="I44" s="242">
        <f t="shared" si="18"/>
        <v>400</v>
      </c>
      <c r="J44" s="81">
        <f t="shared" si="1"/>
        <v>231.89542500000002</v>
      </c>
      <c r="K44" s="82">
        <f t="shared" si="8"/>
        <v>42.026143749999996</v>
      </c>
      <c r="L44" s="80" t="s">
        <v>354</v>
      </c>
      <c r="M44" s="80">
        <v>607.995</v>
      </c>
      <c r="N44" s="168">
        <f t="shared" si="9"/>
        <v>150</v>
      </c>
      <c r="O44" s="80">
        <f t="shared" si="21"/>
        <v>67.241829999999993</v>
      </c>
      <c r="P44" s="79">
        <v>2.5</v>
      </c>
      <c r="Q44" s="89">
        <f t="shared" si="11"/>
        <v>168.10457499999998</v>
      </c>
      <c r="R44" s="80">
        <f t="shared" si="19"/>
        <v>300</v>
      </c>
      <c r="S44" s="191">
        <f t="shared" si="20"/>
        <v>131.89542500000002</v>
      </c>
      <c r="T44" s="79">
        <f t="shared" si="22"/>
        <v>0</v>
      </c>
      <c r="U44" s="435"/>
      <c r="V44" s="435">
        <f t="shared" si="24"/>
        <v>0</v>
      </c>
      <c r="X44" s="343" t="s">
        <v>492</v>
      </c>
      <c r="Y44" s="344">
        <v>0</v>
      </c>
      <c r="Z44" s="344">
        <v>0</v>
      </c>
      <c r="AA44" s="344">
        <v>0</v>
      </c>
      <c r="AB44" s="344">
        <v>0</v>
      </c>
      <c r="AC44" s="344">
        <v>0</v>
      </c>
      <c r="AD44" s="343">
        <f t="shared" si="23"/>
        <v>0</v>
      </c>
      <c r="AE44" s="329"/>
      <c r="AF44" s="557" t="s">
        <v>588</v>
      </c>
      <c r="AG44" s="558"/>
      <c r="AH44" s="558"/>
      <c r="AI44" s="558"/>
      <c r="AJ44" s="558"/>
      <c r="AK44" s="559"/>
      <c r="AL44" s="154"/>
    </row>
    <row r="45" spans="1:38" ht="15.75" thickBot="1">
      <c r="A45" s="84" t="s">
        <v>353</v>
      </c>
      <c r="B45" s="83" t="s">
        <v>342</v>
      </c>
      <c r="C45" s="82">
        <v>592.98500000000001</v>
      </c>
      <c r="D45" s="243">
        <f t="shared" si="5"/>
        <v>150</v>
      </c>
      <c r="E45" s="82">
        <v>175.91919999999999</v>
      </c>
      <c r="F45" s="82">
        <v>2.5</v>
      </c>
      <c r="G45" s="82">
        <f t="shared" si="6"/>
        <v>439.798</v>
      </c>
      <c r="H45" s="81">
        <f t="shared" si="7"/>
        <v>4</v>
      </c>
      <c r="I45" s="270">
        <f t="shared" si="18"/>
        <v>600</v>
      </c>
      <c r="J45" s="81">
        <f t="shared" si="1"/>
        <v>160.202</v>
      </c>
      <c r="K45" s="82">
        <f t="shared" si="8"/>
        <v>73.299666666666667</v>
      </c>
      <c r="L45" s="98" t="s">
        <v>352</v>
      </c>
      <c r="M45" s="80">
        <v>1051.23</v>
      </c>
      <c r="N45" s="168">
        <f t="shared" si="9"/>
        <v>150</v>
      </c>
      <c r="O45" s="80">
        <f t="shared" si="21"/>
        <v>175.91919999999999</v>
      </c>
      <c r="P45" s="79">
        <v>2.5</v>
      </c>
      <c r="Q45" s="251">
        <f t="shared" si="11"/>
        <v>439.798</v>
      </c>
      <c r="R45" s="80">
        <f t="shared" si="19"/>
        <v>600</v>
      </c>
      <c r="S45" s="191">
        <f t="shared" si="20"/>
        <v>160.202</v>
      </c>
      <c r="T45" s="79">
        <f t="shared" si="22"/>
        <v>0</v>
      </c>
      <c r="U45" s="435"/>
      <c r="V45" s="435">
        <f t="shared" si="24"/>
        <v>0</v>
      </c>
      <c r="X45" s="290" t="s">
        <v>501</v>
      </c>
      <c r="Y45" s="345">
        <f t="shared" ref="Y45:AD45" si="25">SUM(Y33:Y44)</f>
        <v>7</v>
      </c>
      <c r="Z45" s="345">
        <f t="shared" si="25"/>
        <v>13</v>
      </c>
      <c r="AA45" s="345">
        <f t="shared" si="25"/>
        <v>0</v>
      </c>
      <c r="AB45" s="345">
        <f t="shared" si="25"/>
        <v>0</v>
      </c>
      <c r="AC45" s="345">
        <f t="shared" si="25"/>
        <v>0</v>
      </c>
      <c r="AD45" s="346">
        <f t="shared" si="25"/>
        <v>20</v>
      </c>
      <c r="AE45" s="329"/>
      <c r="AF45" s="331" t="s">
        <v>491</v>
      </c>
      <c r="AG45" s="333" t="s">
        <v>493</v>
      </c>
      <c r="AH45" s="333" t="s">
        <v>494</v>
      </c>
      <c r="AI45" s="333" t="s">
        <v>495</v>
      </c>
      <c r="AJ45" s="333" t="s">
        <v>496</v>
      </c>
      <c r="AK45" s="334" t="s">
        <v>562</v>
      </c>
      <c r="AL45" s="290" t="s">
        <v>415</v>
      </c>
    </row>
    <row r="46" spans="1:38" ht="15.75" thickBot="1">
      <c r="A46" s="94" t="s">
        <v>350</v>
      </c>
      <c r="B46" s="93" t="s">
        <v>349</v>
      </c>
      <c r="C46" s="105">
        <v>374.84</v>
      </c>
      <c r="D46" s="245">
        <f t="shared" si="5"/>
        <v>200</v>
      </c>
      <c r="E46" s="105">
        <v>115.1143</v>
      </c>
      <c r="F46" s="82">
        <v>2.5</v>
      </c>
      <c r="G46" s="92">
        <f t="shared" si="6"/>
        <v>287.78575000000001</v>
      </c>
      <c r="H46" s="81">
        <f t="shared" si="7"/>
        <v>2</v>
      </c>
      <c r="I46" s="274">
        <f t="shared" si="18"/>
        <v>400</v>
      </c>
      <c r="J46" s="81">
        <f t="shared" si="1"/>
        <v>112.21424999999999</v>
      </c>
      <c r="K46" s="82">
        <f t="shared" si="8"/>
        <v>71.946437500000002</v>
      </c>
      <c r="L46" s="99" t="s">
        <v>348</v>
      </c>
      <c r="M46" s="104">
        <v>838.745</v>
      </c>
      <c r="N46" s="168">
        <f t="shared" si="9"/>
        <v>150</v>
      </c>
      <c r="O46" s="80">
        <f t="shared" si="21"/>
        <v>115.1143</v>
      </c>
      <c r="P46" s="79">
        <v>2.5</v>
      </c>
      <c r="Q46" s="252">
        <f t="shared" si="11"/>
        <v>287.78575000000001</v>
      </c>
      <c r="R46" s="80">
        <f t="shared" si="19"/>
        <v>300</v>
      </c>
      <c r="S46" s="191">
        <f t="shared" si="20"/>
        <v>12.214249999999993</v>
      </c>
      <c r="T46" s="79">
        <f t="shared" si="22"/>
        <v>0</v>
      </c>
      <c r="U46" s="435"/>
      <c r="V46" s="435">
        <f t="shared" si="24"/>
        <v>0</v>
      </c>
      <c r="X46" s="290" t="s">
        <v>500</v>
      </c>
      <c r="Y46" s="347">
        <f>PRODUCT(Y45*AH36)</f>
        <v>105</v>
      </c>
      <c r="Z46" s="489">
        <f>PRODUCT(Z45*AH37)</f>
        <v>212.79570000000001</v>
      </c>
      <c r="AA46" s="489">
        <f>PRODUCT(AA45*AH38)</f>
        <v>0</v>
      </c>
      <c r="AB46" s="489">
        <f>PRODUCT(AB45*AH39)</f>
        <v>0</v>
      </c>
      <c r="AC46" s="489">
        <f>PRODUCT(AC45*AH40)</f>
        <v>0</v>
      </c>
      <c r="AD46" s="490">
        <f>SUM(Y46:AC46)</f>
        <v>317.79570000000001</v>
      </c>
      <c r="AE46" s="329"/>
      <c r="AF46" s="59" t="s">
        <v>84</v>
      </c>
      <c r="AG46" s="337">
        <f>Y33+Y53</f>
        <v>0</v>
      </c>
      <c r="AH46" s="337">
        <f t="shared" ref="AH46:AK57" si="26">Z33+Z53</f>
        <v>13</v>
      </c>
      <c r="AI46" s="337">
        <f t="shared" si="26"/>
        <v>4</v>
      </c>
      <c r="AJ46" s="337">
        <f t="shared" si="26"/>
        <v>2</v>
      </c>
      <c r="AK46" s="337">
        <f t="shared" si="26"/>
        <v>0</v>
      </c>
      <c r="AL46" s="338">
        <f>SUM(AG46:AK46)</f>
        <v>19</v>
      </c>
    </row>
    <row r="47" spans="1:38" ht="15.75" thickBot="1">
      <c r="A47" s="94" t="s">
        <v>347</v>
      </c>
      <c r="B47" s="93" t="s">
        <v>335</v>
      </c>
      <c r="C47" s="105">
        <v>675.17499999999995</v>
      </c>
      <c r="D47" s="245">
        <f t="shared" si="5"/>
        <v>150</v>
      </c>
      <c r="E47" s="105">
        <v>87.5685</v>
      </c>
      <c r="F47" s="82">
        <v>2.5</v>
      </c>
      <c r="G47" s="92">
        <f t="shared" si="6"/>
        <v>218.92124999999999</v>
      </c>
      <c r="H47" s="81">
        <f t="shared" si="7"/>
        <v>2</v>
      </c>
      <c r="I47" s="274">
        <f t="shared" si="18"/>
        <v>300</v>
      </c>
      <c r="J47" s="81">
        <f t="shared" si="1"/>
        <v>81.078750000000014</v>
      </c>
      <c r="K47" s="82">
        <f t="shared" si="8"/>
        <v>72.973749999999995</v>
      </c>
      <c r="L47" s="99" t="s">
        <v>346</v>
      </c>
      <c r="M47" s="104">
        <v>792.93499999999995</v>
      </c>
      <c r="N47" s="168">
        <f t="shared" si="9"/>
        <v>150</v>
      </c>
      <c r="O47" s="80">
        <f t="shared" si="21"/>
        <v>87.5685</v>
      </c>
      <c r="P47" s="79">
        <v>2.5</v>
      </c>
      <c r="Q47" s="252">
        <f t="shared" si="11"/>
        <v>218.92124999999999</v>
      </c>
      <c r="R47" s="80">
        <f t="shared" si="19"/>
        <v>300</v>
      </c>
      <c r="S47" s="191">
        <f t="shared" si="20"/>
        <v>81.078750000000014</v>
      </c>
      <c r="T47" s="79">
        <f t="shared" si="22"/>
        <v>0</v>
      </c>
      <c r="U47" s="435"/>
      <c r="V47" s="435">
        <f t="shared" si="24"/>
        <v>0</v>
      </c>
      <c r="X47" s="290" t="s">
        <v>499</v>
      </c>
      <c r="Y47" s="347">
        <f>Y45*AG36</f>
        <v>700</v>
      </c>
      <c r="Z47" s="347">
        <f>Z45*AG37</f>
        <v>1950</v>
      </c>
      <c r="AA47" s="347">
        <f>AA45*AG38</f>
        <v>0</v>
      </c>
      <c r="AB47" s="347">
        <f>AB45*AG39</f>
        <v>0</v>
      </c>
      <c r="AC47" s="347">
        <f>AC45*AG40</f>
        <v>0</v>
      </c>
      <c r="AD47" s="290">
        <f>SUM(Y47:AC47)</f>
        <v>2650</v>
      </c>
      <c r="AE47" s="329"/>
      <c r="AF47" s="59" t="s">
        <v>85</v>
      </c>
      <c r="AG47" s="337">
        <f t="shared" ref="AG47:AG57" si="27">Y34+Y54</f>
        <v>1</v>
      </c>
      <c r="AH47" s="337">
        <f t="shared" si="26"/>
        <v>18</v>
      </c>
      <c r="AI47" s="337">
        <f t="shared" si="26"/>
        <v>10</v>
      </c>
      <c r="AJ47" s="337">
        <f t="shared" si="26"/>
        <v>0</v>
      </c>
      <c r="AK47" s="337">
        <f t="shared" si="26"/>
        <v>7</v>
      </c>
      <c r="AL47" s="59">
        <f t="shared" ref="AL47:AL57" si="28">SUM(AG47:AK47)</f>
        <v>36</v>
      </c>
    </row>
    <row r="48" spans="1:38" ht="15.75" thickBot="1">
      <c r="A48" s="94" t="s">
        <v>339</v>
      </c>
      <c r="B48" s="93" t="s">
        <v>338</v>
      </c>
      <c r="C48" s="92">
        <v>768.38499999999999</v>
      </c>
      <c r="D48" s="245">
        <f t="shared" si="5"/>
        <v>150</v>
      </c>
      <c r="E48" s="92">
        <v>46.164000000000001</v>
      </c>
      <c r="F48" s="82">
        <v>2.5</v>
      </c>
      <c r="G48" s="92">
        <f t="shared" si="6"/>
        <v>115.41</v>
      </c>
      <c r="H48" s="81">
        <f t="shared" si="7"/>
        <v>1</v>
      </c>
      <c r="I48" s="274">
        <f t="shared" si="18"/>
        <v>150</v>
      </c>
      <c r="J48" s="81">
        <f t="shared" si="1"/>
        <v>34.590000000000003</v>
      </c>
      <c r="K48" s="82">
        <f t="shared" si="8"/>
        <v>76.94</v>
      </c>
      <c r="L48" s="88" t="s">
        <v>345</v>
      </c>
      <c r="M48" s="90">
        <v>934.80499999999995</v>
      </c>
      <c r="N48" s="168">
        <f t="shared" si="9"/>
        <v>150</v>
      </c>
      <c r="O48" s="80">
        <f t="shared" si="21"/>
        <v>46.164000000000001</v>
      </c>
      <c r="P48" s="79">
        <v>2.5</v>
      </c>
      <c r="Q48" s="252">
        <f t="shared" si="11"/>
        <v>115.41</v>
      </c>
      <c r="R48" s="80">
        <f t="shared" si="19"/>
        <v>150</v>
      </c>
      <c r="S48" s="191">
        <f t="shared" si="20"/>
        <v>34.590000000000003</v>
      </c>
      <c r="T48" s="79">
        <f t="shared" si="22"/>
        <v>0</v>
      </c>
      <c r="U48" s="435"/>
      <c r="V48" s="435">
        <f t="shared" si="24"/>
        <v>0</v>
      </c>
      <c r="AF48" s="59" t="s">
        <v>86</v>
      </c>
      <c r="AG48" s="337">
        <f t="shared" si="27"/>
        <v>1</v>
      </c>
      <c r="AH48" s="337">
        <f t="shared" si="26"/>
        <v>0</v>
      </c>
      <c r="AI48" s="337">
        <f t="shared" si="26"/>
        <v>6</v>
      </c>
      <c r="AJ48" s="337">
        <f t="shared" si="26"/>
        <v>0</v>
      </c>
      <c r="AK48" s="337">
        <f t="shared" si="26"/>
        <v>4</v>
      </c>
      <c r="AL48" s="59">
        <f t="shared" si="28"/>
        <v>11</v>
      </c>
    </row>
    <row r="49" spans="1:38" ht="15.75" thickBot="1">
      <c r="A49" s="84" t="s">
        <v>343</v>
      </c>
      <c r="B49" s="83" t="s">
        <v>342</v>
      </c>
      <c r="C49" s="82">
        <v>592.98500000000001</v>
      </c>
      <c r="D49" s="243">
        <f t="shared" si="5"/>
        <v>150</v>
      </c>
      <c r="E49" s="82">
        <v>175.91919999999999</v>
      </c>
      <c r="F49" s="82">
        <v>2.5</v>
      </c>
      <c r="G49" s="82">
        <f t="shared" si="6"/>
        <v>439.798</v>
      </c>
      <c r="H49" s="81">
        <f t="shared" si="7"/>
        <v>4</v>
      </c>
      <c r="I49" s="270">
        <f t="shared" si="18"/>
        <v>600</v>
      </c>
      <c r="J49" s="81">
        <f t="shared" si="1"/>
        <v>160.202</v>
      </c>
      <c r="K49" s="82">
        <f t="shared" si="8"/>
        <v>73.299666666666667</v>
      </c>
      <c r="L49" s="98" t="s">
        <v>341</v>
      </c>
      <c r="M49" s="80">
        <v>992.44500000000005</v>
      </c>
      <c r="N49" s="168">
        <f t="shared" si="9"/>
        <v>150</v>
      </c>
      <c r="O49" s="80">
        <f t="shared" si="21"/>
        <v>175.91919999999999</v>
      </c>
      <c r="P49" s="79">
        <v>2.5</v>
      </c>
      <c r="Q49" s="251">
        <f t="shared" si="11"/>
        <v>439.798</v>
      </c>
      <c r="R49" s="80">
        <f t="shared" si="19"/>
        <v>600</v>
      </c>
      <c r="S49" s="191">
        <f t="shared" si="20"/>
        <v>160.202</v>
      </c>
      <c r="T49" s="79">
        <f t="shared" si="22"/>
        <v>0</v>
      </c>
      <c r="U49" s="435"/>
      <c r="V49" s="435">
        <f t="shared" si="24"/>
        <v>0</v>
      </c>
      <c r="AF49" s="59" t="s">
        <v>87</v>
      </c>
      <c r="AG49" s="337">
        <f t="shared" si="27"/>
        <v>0</v>
      </c>
      <c r="AH49" s="337">
        <f t="shared" si="26"/>
        <v>35</v>
      </c>
      <c r="AI49" s="337">
        <f t="shared" si="26"/>
        <v>44</v>
      </c>
      <c r="AJ49" s="337">
        <f t="shared" si="26"/>
        <v>25</v>
      </c>
      <c r="AK49" s="337">
        <f t="shared" si="26"/>
        <v>0</v>
      </c>
      <c r="AL49" s="59">
        <f t="shared" si="28"/>
        <v>104</v>
      </c>
    </row>
    <row r="50" spans="1:38" ht="15.75" thickBot="1">
      <c r="A50" s="94" t="s">
        <v>339</v>
      </c>
      <c r="B50" s="93" t="s">
        <v>338</v>
      </c>
      <c r="C50" s="92">
        <v>768.38499999999999</v>
      </c>
      <c r="D50" s="245">
        <f t="shared" si="5"/>
        <v>150</v>
      </c>
      <c r="E50" s="92">
        <v>46.164000000000001</v>
      </c>
      <c r="F50" s="82">
        <v>2.5</v>
      </c>
      <c r="G50" s="92">
        <f t="shared" si="6"/>
        <v>115.41</v>
      </c>
      <c r="H50" s="81">
        <f t="shared" si="7"/>
        <v>1</v>
      </c>
      <c r="I50" s="274">
        <f t="shared" si="18"/>
        <v>150</v>
      </c>
      <c r="J50" s="81">
        <f t="shared" si="1"/>
        <v>34.590000000000003</v>
      </c>
      <c r="K50" s="82">
        <f t="shared" si="8"/>
        <v>76.94</v>
      </c>
      <c r="L50" s="88" t="s">
        <v>337</v>
      </c>
      <c r="M50" s="90">
        <v>817.04499999999996</v>
      </c>
      <c r="N50" s="168">
        <f t="shared" si="9"/>
        <v>150</v>
      </c>
      <c r="O50" s="80">
        <f t="shared" si="21"/>
        <v>46.164000000000001</v>
      </c>
      <c r="P50" s="79">
        <v>2.5</v>
      </c>
      <c r="Q50" s="252">
        <f t="shared" si="11"/>
        <v>115.41</v>
      </c>
      <c r="R50" s="80">
        <f t="shared" si="19"/>
        <v>150</v>
      </c>
      <c r="S50" s="191">
        <f t="shared" si="20"/>
        <v>34.590000000000003</v>
      </c>
      <c r="T50" s="79">
        <f t="shared" si="22"/>
        <v>0</v>
      </c>
      <c r="U50" s="435"/>
      <c r="V50" s="435">
        <f t="shared" si="24"/>
        <v>0</v>
      </c>
      <c r="AF50" s="59" t="s">
        <v>88</v>
      </c>
      <c r="AG50" s="337">
        <f t="shared" si="27"/>
        <v>2</v>
      </c>
      <c r="AH50" s="337">
        <f t="shared" si="26"/>
        <v>0</v>
      </c>
      <c r="AI50" s="337">
        <f t="shared" si="26"/>
        <v>19</v>
      </c>
      <c r="AJ50" s="337">
        <f t="shared" si="26"/>
        <v>1</v>
      </c>
      <c r="AK50" s="337">
        <f t="shared" si="26"/>
        <v>0</v>
      </c>
      <c r="AL50" s="59">
        <f t="shared" si="28"/>
        <v>22</v>
      </c>
    </row>
    <row r="51" spans="1:38" ht="15.75" thickBot="1">
      <c r="A51" s="84" t="s">
        <v>339</v>
      </c>
      <c r="B51" s="83" t="s">
        <v>338</v>
      </c>
      <c r="C51" s="82">
        <v>768.38499999999999</v>
      </c>
      <c r="D51" s="243">
        <f t="shared" si="5"/>
        <v>150</v>
      </c>
      <c r="E51" s="82">
        <v>46.164000000000001</v>
      </c>
      <c r="F51" s="82">
        <v>2.5</v>
      </c>
      <c r="G51" s="82">
        <f t="shared" si="6"/>
        <v>115.41</v>
      </c>
      <c r="H51" s="81">
        <f t="shared" si="7"/>
        <v>1</v>
      </c>
      <c r="I51" s="270">
        <f t="shared" si="18"/>
        <v>150</v>
      </c>
      <c r="J51" s="81">
        <f t="shared" si="1"/>
        <v>34.590000000000003</v>
      </c>
      <c r="K51" s="82">
        <f t="shared" si="8"/>
        <v>76.94</v>
      </c>
      <c r="L51" s="98" t="s">
        <v>337</v>
      </c>
      <c r="M51" s="80">
        <v>817.04499999999996</v>
      </c>
      <c r="N51" s="168">
        <f t="shared" si="9"/>
        <v>150</v>
      </c>
      <c r="O51" s="80">
        <f t="shared" si="21"/>
        <v>46.164000000000001</v>
      </c>
      <c r="P51" s="79">
        <v>2.5</v>
      </c>
      <c r="Q51" s="251">
        <f t="shared" si="11"/>
        <v>115.41</v>
      </c>
      <c r="R51" s="80">
        <f t="shared" si="19"/>
        <v>150</v>
      </c>
      <c r="S51" s="191">
        <f t="shared" si="20"/>
        <v>34.590000000000003</v>
      </c>
      <c r="T51" s="79">
        <f t="shared" si="22"/>
        <v>0</v>
      </c>
      <c r="U51" s="435"/>
      <c r="V51" s="435">
        <f t="shared" si="24"/>
        <v>0</v>
      </c>
      <c r="X51" s="557" t="s">
        <v>587</v>
      </c>
      <c r="Y51" s="558"/>
      <c r="Z51" s="558"/>
      <c r="AA51" s="558"/>
      <c r="AB51" s="558"/>
      <c r="AC51" s="559"/>
      <c r="AD51" s="154"/>
      <c r="AF51" s="59" t="s">
        <v>89</v>
      </c>
      <c r="AG51" s="337">
        <f t="shared" si="27"/>
        <v>1</v>
      </c>
      <c r="AH51" s="337">
        <f t="shared" si="26"/>
        <v>21</v>
      </c>
      <c r="AI51" s="337">
        <f t="shared" si="26"/>
        <v>2</v>
      </c>
      <c r="AJ51" s="337">
        <f t="shared" si="26"/>
        <v>1</v>
      </c>
      <c r="AK51" s="337">
        <f t="shared" si="26"/>
        <v>0</v>
      </c>
      <c r="AL51" s="59">
        <f t="shared" si="28"/>
        <v>25</v>
      </c>
    </row>
    <row r="52" spans="1:38" ht="15.75" thickBot="1">
      <c r="A52" s="94" t="s">
        <v>30</v>
      </c>
      <c r="B52" s="93" t="s">
        <v>326</v>
      </c>
      <c r="C52" s="92">
        <v>317.27</v>
      </c>
      <c r="D52" s="245">
        <f t="shared" si="5"/>
        <v>200</v>
      </c>
      <c r="E52" s="92">
        <v>136.87530000000001</v>
      </c>
      <c r="F52" s="82">
        <v>2.5</v>
      </c>
      <c r="G52" s="92">
        <f t="shared" si="6"/>
        <v>342.18825000000004</v>
      </c>
      <c r="H52" s="81">
        <f t="shared" si="7"/>
        <v>3</v>
      </c>
      <c r="I52" s="274">
        <f t="shared" si="18"/>
        <v>600</v>
      </c>
      <c r="J52" s="81">
        <f t="shared" si="1"/>
        <v>257.81174999999996</v>
      </c>
      <c r="K52" s="82">
        <f t="shared" si="8"/>
        <v>57.031375000000004</v>
      </c>
      <c r="L52" s="88" t="s">
        <v>325</v>
      </c>
      <c r="M52" s="90">
        <v>518.48</v>
      </c>
      <c r="N52" s="168">
        <f t="shared" si="9"/>
        <v>200</v>
      </c>
      <c r="O52" s="80">
        <f t="shared" si="21"/>
        <v>136.87530000000001</v>
      </c>
      <c r="P52" s="79">
        <v>2.5</v>
      </c>
      <c r="Q52" s="252">
        <f t="shared" si="11"/>
        <v>342.18825000000004</v>
      </c>
      <c r="R52" s="80">
        <f t="shared" si="19"/>
        <v>600</v>
      </c>
      <c r="S52" s="191">
        <f t="shared" si="20"/>
        <v>257.81174999999996</v>
      </c>
      <c r="T52" s="79">
        <f t="shared" si="22"/>
        <v>0</v>
      </c>
      <c r="U52" s="435"/>
      <c r="V52" s="435">
        <f t="shared" si="24"/>
        <v>0</v>
      </c>
      <c r="X52" s="331" t="s">
        <v>491</v>
      </c>
      <c r="Y52" s="333" t="s">
        <v>493</v>
      </c>
      <c r="Z52" s="333" t="s">
        <v>494</v>
      </c>
      <c r="AA52" s="333" t="s">
        <v>495</v>
      </c>
      <c r="AB52" s="333" t="s">
        <v>496</v>
      </c>
      <c r="AC52" s="334" t="s">
        <v>562</v>
      </c>
      <c r="AD52" s="290" t="s">
        <v>415</v>
      </c>
      <c r="AF52" s="59" t="s">
        <v>90</v>
      </c>
      <c r="AG52" s="337">
        <f t="shared" si="27"/>
        <v>1</v>
      </c>
      <c r="AH52" s="337">
        <f t="shared" si="26"/>
        <v>0</v>
      </c>
      <c r="AI52" s="337">
        <f t="shared" si="26"/>
        <v>1</v>
      </c>
      <c r="AJ52" s="337">
        <f t="shared" si="26"/>
        <v>4</v>
      </c>
      <c r="AK52" s="337">
        <f t="shared" si="26"/>
        <v>3</v>
      </c>
      <c r="AL52" s="59">
        <f t="shared" si="28"/>
        <v>9</v>
      </c>
    </row>
    <row r="53" spans="1:38" ht="15.75" thickBot="1">
      <c r="A53" s="84" t="s">
        <v>28</v>
      </c>
      <c r="B53" s="83" t="s">
        <v>335</v>
      </c>
      <c r="C53" s="82">
        <v>675.17499999999995</v>
      </c>
      <c r="D53" s="243">
        <f t="shared" si="5"/>
        <v>150</v>
      </c>
      <c r="E53" s="82">
        <v>87.5685</v>
      </c>
      <c r="F53" s="82">
        <v>2.5</v>
      </c>
      <c r="G53" s="82">
        <f t="shared" si="6"/>
        <v>218.92124999999999</v>
      </c>
      <c r="H53" s="81">
        <f t="shared" si="7"/>
        <v>2</v>
      </c>
      <c r="I53" s="270">
        <f t="shared" si="18"/>
        <v>300</v>
      </c>
      <c r="J53" s="81">
        <f t="shared" si="1"/>
        <v>81.078750000000014</v>
      </c>
      <c r="K53" s="82">
        <f t="shared" si="8"/>
        <v>72.973749999999995</v>
      </c>
      <c r="L53" s="98" t="s">
        <v>334</v>
      </c>
      <c r="M53" s="80">
        <v>792.93499999999995</v>
      </c>
      <c r="N53" s="168">
        <f t="shared" si="9"/>
        <v>150</v>
      </c>
      <c r="O53" s="80">
        <f t="shared" si="21"/>
        <v>87.5685</v>
      </c>
      <c r="P53" s="79">
        <v>2.5</v>
      </c>
      <c r="Q53" s="251">
        <f t="shared" si="11"/>
        <v>218.92124999999999</v>
      </c>
      <c r="R53" s="80">
        <f t="shared" si="19"/>
        <v>300</v>
      </c>
      <c r="S53" s="191">
        <f t="shared" si="20"/>
        <v>81.078750000000014</v>
      </c>
      <c r="T53" s="79">
        <f t="shared" si="22"/>
        <v>0</v>
      </c>
      <c r="U53" s="435"/>
      <c r="V53" s="435">
        <f t="shared" si="24"/>
        <v>0</v>
      </c>
      <c r="X53" s="59" t="s">
        <v>84</v>
      </c>
      <c r="Y53" s="337">
        <v>0</v>
      </c>
      <c r="Z53" s="337">
        <f>12</f>
        <v>12</v>
      </c>
      <c r="AA53" s="487">
        <f>2+2</f>
        <v>4</v>
      </c>
      <c r="AB53" s="487">
        <f>2</f>
        <v>2</v>
      </c>
      <c r="AC53" s="337">
        <v>0</v>
      </c>
      <c r="AD53" s="338">
        <f>SUM(Y53:AC53)</f>
        <v>18</v>
      </c>
      <c r="AF53" s="59" t="s">
        <v>91</v>
      </c>
      <c r="AG53" s="337">
        <f t="shared" si="27"/>
        <v>0</v>
      </c>
      <c r="AH53" s="337">
        <f t="shared" si="26"/>
        <v>25</v>
      </c>
      <c r="AI53" s="337">
        <f t="shared" si="26"/>
        <v>4</v>
      </c>
      <c r="AJ53" s="337">
        <f t="shared" si="26"/>
        <v>2</v>
      </c>
      <c r="AK53" s="337">
        <f t="shared" si="26"/>
        <v>0</v>
      </c>
      <c r="AL53" s="59">
        <f t="shared" si="28"/>
        <v>31</v>
      </c>
    </row>
    <row r="54" spans="1:38" ht="15.75" thickBot="1">
      <c r="A54" s="94" t="s">
        <v>333</v>
      </c>
      <c r="B54" s="93" t="s">
        <v>332</v>
      </c>
      <c r="C54" s="92">
        <v>300.33499999999998</v>
      </c>
      <c r="D54" s="244">
        <f t="shared" si="5"/>
        <v>200</v>
      </c>
      <c r="E54" s="92">
        <v>33.29833</v>
      </c>
      <c r="F54" s="82">
        <v>2.5</v>
      </c>
      <c r="G54" s="92">
        <f t="shared" si="6"/>
        <v>83.245824999999996</v>
      </c>
      <c r="H54" s="81">
        <f t="shared" si="7"/>
        <v>1</v>
      </c>
      <c r="I54" s="272">
        <f t="shared" si="18"/>
        <v>200</v>
      </c>
      <c r="J54" s="81">
        <f t="shared" si="1"/>
        <v>116.754175</v>
      </c>
      <c r="K54" s="82">
        <f t="shared" si="8"/>
        <v>41.622912499999998</v>
      </c>
      <c r="L54" s="88" t="s">
        <v>331</v>
      </c>
      <c r="M54" s="90">
        <v>524.75</v>
      </c>
      <c r="N54" s="168">
        <f t="shared" si="9"/>
        <v>200</v>
      </c>
      <c r="O54" s="80">
        <f t="shared" si="21"/>
        <v>33.29833</v>
      </c>
      <c r="P54" s="79">
        <v>2.5</v>
      </c>
      <c r="Q54" s="252">
        <f t="shared" si="11"/>
        <v>83.245824999999996</v>
      </c>
      <c r="R54" s="80">
        <f t="shared" si="19"/>
        <v>200</v>
      </c>
      <c r="S54" s="191">
        <f t="shared" si="20"/>
        <v>116.754175</v>
      </c>
      <c r="T54" s="79">
        <f t="shared" si="22"/>
        <v>0</v>
      </c>
      <c r="U54" s="435"/>
      <c r="V54" s="435">
        <f t="shared" si="24"/>
        <v>0</v>
      </c>
      <c r="X54" s="59" t="s">
        <v>85</v>
      </c>
      <c r="Y54" s="337">
        <v>0</v>
      </c>
      <c r="Z54" s="337">
        <f>9+4+5</f>
        <v>18</v>
      </c>
      <c r="AA54" s="337">
        <f>7+3</f>
        <v>10</v>
      </c>
      <c r="AB54" s="337">
        <v>0</v>
      </c>
      <c r="AC54" s="337">
        <f>4+3</f>
        <v>7</v>
      </c>
      <c r="AD54" s="59">
        <f t="shared" ref="AD54:AD64" si="29">SUM(Y54:AC54)</f>
        <v>35</v>
      </c>
      <c r="AF54" s="59" t="s">
        <v>92</v>
      </c>
      <c r="AG54" s="337">
        <f t="shared" si="27"/>
        <v>1</v>
      </c>
      <c r="AH54" s="337">
        <f t="shared" si="26"/>
        <v>9</v>
      </c>
      <c r="AI54" s="337">
        <f t="shared" si="26"/>
        <v>21</v>
      </c>
      <c r="AJ54" s="337">
        <f t="shared" si="26"/>
        <v>0</v>
      </c>
      <c r="AK54" s="337">
        <f t="shared" si="26"/>
        <v>0</v>
      </c>
      <c r="AL54" s="59">
        <f t="shared" si="28"/>
        <v>31</v>
      </c>
    </row>
    <row r="55" spans="1:38" ht="15.75" thickBot="1">
      <c r="A55" s="84" t="s">
        <v>329</v>
      </c>
      <c r="B55" s="83" t="s">
        <v>61</v>
      </c>
      <c r="C55" s="82">
        <v>381.34</v>
      </c>
      <c r="D55" s="243">
        <f t="shared" si="5"/>
        <v>200</v>
      </c>
      <c r="E55" s="82">
        <v>233.80699999999999</v>
      </c>
      <c r="F55" s="82">
        <v>2.5</v>
      </c>
      <c r="G55" s="82">
        <f t="shared" si="6"/>
        <v>584.51749999999993</v>
      </c>
      <c r="H55" s="81">
        <f t="shared" si="7"/>
        <v>4</v>
      </c>
      <c r="I55" s="270">
        <f t="shared" si="18"/>
        <v>800</v>
      </c>
      <c r="J55" s="81">
        <f t="shared" si="1"/>
        <v>215.48250000000007</v>
      </c>
      <c r="K55" s="82">
        <f t="shared" si="8"/>
        <v>73.064687499999991</v>
      </c>
      <c r="L55" s="98" t="s">
        <v>328</v>
      </c>
      <c r="M55" s="80">
        <v>673.16499999999996</v>
      </c>
      <c r="N55" s="168">
        <f t="shared" si="9"/>
        <v>150</v>
      </c>
      <c r="O55" s="80">
        <f t="shared" si="21"/>
        <v>233.80699999999999</v>
      </c>
      <c r="P55" s="79">
        <v>2.5</v>
      </c>
      <c r="Q55" s="251">
        <f t="shared" si="11"/>
        <v>584.51749999999993</v>
      </c>
      <c r="R55" s="80">
        <f t="shared" si="19"/>
        <v>600</v>
      </c>
      <c r="S55" s="191">
        <f t="shared" si="20"/>
        <v>15.482500000000073</v>
      </c>
      <c r="T55" s="79">
        <f t="shared" si="22"/>
        <v>0</v>
      </c>
      <c r="U55" s="435"/>
      <c r="V55" s="435">
        <f t="shared" si="24"/>
        <v>0</v>
      </c>
      <c r="X55" s="59" t="s">
        <v>86</v>
      </c>
      <c r="Y55" s="337">
        <v>0</v>
      </c>
      <c r="Z55" s="337">
        <v>0</v>
      </c>
      <c r="AA55" s="335">
        <f>5+1</f>
        <v>6</v>
      </c>
      <c r="AB55" s="337">
        <v>0</v>
      </c>
      <c r="AC55" s="337">
        <f>4</f>
        <v>4</v>
      </c>
      <c r="AD55" s="59">
        <f t="shared" si="29"/>
        <v>10</v>
      </c>
      <c r="AF55" s="59" t="s">
        <v>93</v>
      </c>
      <c r="AG55" s="337">
        <f t="shared" si="27"/>
        <v>0</v>
      </c>
      <c r="AH55" s="337">
        <f t="shared" si="26"/>
        <v>3</v>
      </c>
      <c r="AI55" s="337">
        <f t="shared" si="26"/>
        <v>3</v>
      </c>
      <c r="AJ55" s="337">
        <f t="shared" si="26"/>
        <v>10</v>
      </c>
      <c r="AK55" s="337">
        <f t="shared" si="26"/>
        <v>0</v>
      </c>
      <c r="AL55" s="59">
        <f t="shared" si="28"/>
        <v>16</v>
      </c>
    </row>
    <row r="56" spans="1:38" ht="15.75" thickBot="1">
      <c r="A56" s="74" t="s">
        <v>30</v>
      </c>
      <c r="B56" s="73" t="s">
        <v>326</v>
      </c>
      <c r="C56" s="72">
        <v>317.27</v>
      </c>
      <c r="D56" s="244">
        <f t="shared" si="5"/>
        <v>200</v>
      </c>
      <c r="E56" s="72">
        <v>136.87530000000001</v>
      </c>
      <c r="F56" s="82">
        <v>2.5</v>
      </c>
      <c r="G56" s="72">
        <f t="shared" si="6"/>
        <v>342.18825000000004</v>
      </c>
      <c r="H56" s="81">
        <f t="shared" si="7"/>
        <v>3</v>
      </c>
      <c r="I56" s="272">
        <f t="shared" si="18"/>
        <v>600</v>
      </c>
      <c r="J56" s="81">
        <f t="shared" si="1"/>
        <v>257.81174999999996</v>
      </c>
      <c r="K56" s="82">
        <f t="shared" si="8"/>
        <v>57.031375000000004</v>
      </c>
      <c r="L56" s="69" t="s">
        <v>325</v>
      </c>
      <c r="M56" s="70">
        <v>518.48</v>
      </c>
      <c r="N56" s="168">
        <f t="shared" si="9"/>
        <v>200</v>
      </c>
      <c r="O56" s="80">
        <f t="shared" si="21"/>
        <v>136.87530000000001</v>
      </c>
      <c r="P56" s="79">
        <v>2.5</v>
      </c>
      <c r="Q56" s="253">
        <f t="shared" si="11"/>
        <v>342.18825000000004</v>
      </c>
      <c r="R56" s="80">
        <f t="shared" si="19"/>
        <v>600</v>
      </c>
      <c r="S56" s="191">
        <f t="shared" si="20"/>
        <v>257.81174999999996</v>
      </c>
      <c r="T56" s="79">
        <f t="shared" si="22"/>
        <v>0</v>
      </c>
      <c r="U56" s="435"/>
      <c r="V56" s="435">
        <f t="shared" si="24"/>
        <v>0</v>
      </c>
      <c r="X56" s="59" t="s">
        <v>87</v>
      </c>
      <c r="Y56" s="337">
        <v>0</v>
      </c>
      <c r="Z56" s="488">
        <f>12+9+10</f>
        <v>31</v>
      </c>
      <c r="AA56" s="337">
        <f>7+5+10+18+4</f>
        <v>44</v>
      </c>
      <c r="AB56" s="337">
        <f>4+10+11</f>
        <v>25</v>
      </c>
      <c r="AC56" s="337">
        <v>0</v>
      </c>
      <c r="AD56" s="59">
        <f t="shared" si="29"/>
        <v>100</v>
      </c>
      <c r="AF56" s="59" t="s">
        <v>94</v>
      </c>
      <c r="AG56" s="337">
        <f t="shared" si="27"/>
        <v>0</v>
      </c>
      <c r="AH56" s="337">
        <f t="shared" si="26"/>
        <v>6</v>
      </c>
      <c r="AI56" s="337">
        <f t="shared" si="26"/>
        <v>4</v>
      </c>
      <c r="AJ56" s="337">
        <f t="shared" si="26"/>
        <v>11</v>
      </c>
      <c r="AK56" s="337">
        <f t="shared" si="26"/>
        <v>0</v>
      </c>
      <c r="AL56" s="59">
        <f t="shared" si="28"/>
        <v>21</v>
      </c>
    </row>
    <row r="57" spans="1:38">
      <c r="V57">
        <f t="shared" si="24"/>
        <v>0</v>
      </c>
      <c r="X57" s="59" t="s">
        <v>88</v>
      </c>
      <c r="Y57" s="337">
        <v>0</v>
      </c>
      <c r="Z57" s="337">
        <v>0</v>
      </c>
      <c r="AA57" s="337">
        <f>2+3+1+10+1+2</f>
        <v>19</v>
      </c>
      <c r="AB57" s="337">
        <f>1</f>
        <v>1</v>
      </c>
      <c r="AC57" s="337">
        <v>0</v>
      </c>
      <c r="AD57" s="59">
        <f t="shared" si="29"/>
        <v>20</v>
      </c>
      <c r="AF57" s="343" t="s">
        <v>492</v>
      </c>
      <c r="AG57" s="337">
        <f t="shared" si="27"/>
        <v>0</v>
      </c>
      <c r="AH57" s="337">
        <f t="shared" si="26"/>
        <v>1</v>
      </c>
      <c r="AI57" s="337">
        <f t="shared" si="26"/>
        <v>4</v>
      </c>
      <c r="AJ57" s="337">
        <f t="shared" si="26"/>
        <v>0</v>
      </c>
      <c r="AK57" s="337">
        <f t="shared" si="26"/>
        <v>0</v>
      </c>
      <c r="AL57" s="343">
        <f t="shared" si="28"/>
        <v>5</v>
      </c>
    </row>
    <row r="58" spans="1:38">
      <c r="X58" s="59" t="s">
        <v>89</v>
      </c>
      <c r="Y58" s="337">
        <v>0</v>
      </c>
      <c r="Z58" s="337">
        <f>9+9+3</f>
        <v>21</v>
      </c>
      <c r="AA58" s="337">
        <f>2</f>
        <v>2</v>
      </c>
      <c r="AB58" s="337">
        <f>1</f>
        <v>1</v>
      </c>
      <c r="AC58" s="337">
        <v>0</v>
      </c>
      <c r="AD58" s="59">
        <f t="shared" si="29"/>
        <v>24</v>
      </c>
      <c r="AF58" s="290" t="s">
        <v>501</v>
      </c>
      <c r="AG58" s="345">
        <f t="shared" ref="AG58:AL58" si="30">SUM(AG46:AG57)</f>
        <v>7</v>
      </c>
      <c r="AH58" s="345">
        <f t="shared" si="30"/>
        <v>131</v>
      </c>
      <c r="AI58" s="345">
        <f t="shared" si="30"/>
        <v>122</v>
      </c>
      <c r="AJ58" s="345">
        <f t="shared" si="30"/>
        <v>56</v>
      </c>
      <c r="AK58" s="345">
        <f t="shared" si="30"/>
        <v>14</v>
      </c>
      <c r="AL58" s="346">
        <f t="shared" si="30"/>
        <v>330</v>
      </c>
    </row>
    <row r="59" spans="1:38">
      <c r="X59" s="59" t="s">
        <v>90</v>
      </c>
      <c r="Y59" s="337">
        <v>0</v>
      </c>
      <c r="Z59" s="335">
        <v>0</v>
      </c>
      <c r="AA59" s="335">
        <f>1</f>
        <v>1</v>
      </c>
      <c r="AB59" s="337">
        <f>4</f>
        <v>4</v>
      </c>
      <c r="AC59" s="337">
        <f>3</f>
        <v>3</v>
      </c>
      <c r="AD59" s="59">
        <f t="shared" si="29"/>
        <v>8</v>
      </c>
      <c r="AF59" s="290" t="s">
        <v>500</v>
      </c>
      <c r="AG59" s="347">
        <f>PRODUCT(AG58*AH36)</f>
        <v>105</v>
      </c>
      <c r="AH59" s="489">
        <f>PRODUCT(AH58*AH37)</f>
        <v>2144.3258999999998</v>
      </c>
      <c r="AI59" s="489">
        <f>PRODUCT(AI58*AH38)</f>
        <v>2043.0974000000001</v>
      </c>
      <c r="AJ59" s="489">
        <f>PRODUCT(AJ58*AH39)</f>
        <v>945.64960000000008</v>
      </c>
      <c r="AK59" s="489">
        <f>PRODUCT(AK58*AH40)</f>
        <v>238</v>
      </c>
      <c r="AL59" s="490">
        <f>SUM(AG59:AK59)</f>
        <v>5476.0729000000001</v>
      </c>
    </row>
    <row r="60" spans="1:38">
      <c r="X60" s="59" t="s">
        <v>91</v>
      </c>
      <c r="Y60" s="337">
        <v>0</v>
      </c>
      <c r="Z60" s="335">
        <f>4+10+3+4+2+1</f>
        <v>24</v>
      </c>
      <c r="AA60" s="337">
        <f>2+2</f>
        <v>4</v>
      </c>
      <c r="AB60" s="337">
        <f>2</f>
        <v>2</v>
      </c>
      <c r="AC60" s="337">
        <v>0</v>
      </c>
      <c r="AD60" s="59">
        <f t="shared" si="29"/>
        <v>30</v>
      </c>
      <c r="AF60" s="290" t="s">
        <v>563</v>
      </c>
      <c r="AG60" s="347">
        <f>AG58*AG36</f>
        <v>700</v>
      </c>
      <c r="AH60" s="347">
        <f>AH58*AG37</f>
        <v>19650</v>
      </c>
      <c r="AI60" s="347">
        <f>AI58*AG38</f>
        <v>24400</v>
      </c>
      <c r="AJ60" s="347">
        <f>AJ58*AG39</f>
        <v>14000</v>
      </c>
      <c r="AK60" s="347">
        <f>AK58*AG40</f>
        <v>4200</v>
      </c>
      <c r="AL60" s="290">
        <f>SUM(AG60:AK60)</f>
        <v>62950</v>
      </c>
    </row>
    <row r="61" spans="1:38">
      <c r="X61" s="59" t="s">
        <v>92</v>
      </c>
      <c r="Y61" s="337">
        <v>0</v>
      </c>
      <c r="Z61" s="335">
        <f>5+4</f>
        <v>9</v>
      </c>
      <c r="AA61" s="337">
        <f>18+3</f>
        <v>21</v>
      </c>
      <c r="AB61" s="337">
        <v>0</v>
      </c>
      <c r="AC61" s="337">
        <v>0</v>
      </c>
      <c r="AD61" s="59">
        <f t="shared" si="29"/>
        <v>30</v>
      </c>
      <c r="AF61" s="5"/>
      <c r="AG61" s="486"/>
      <c r="AH61" s="335"/>
      <c r="AI61" s="335"/>
      <c r="AJ61" s="337"/>
      <c r="AK61" s="337"/>
      <c r="AL61" s="337"/>
    </row>
    <row r="62" spans="1:38">
      <c r="X62" s="59" t="s">
        <v>93</v>
      </c>
      <c r="Y62" s="337">
        <v>0</v>
      </c>
      <c r="Z62" s="335">
        <v>0</v>
      </c>
      <c r="AA62" s="337">
        <f>2+1</f>
        <v>3</v>
      </c>
      <c r="AB62" s="337">
        <f>10</f>
        <v>10</v>
      </c>
      <c r="AC62" s="337">
        <v>0</v>
      </c>
      <c r="AD62" s="59">
        <f t="shared" si="29"/>
        <v>13</v>
      </c>
      <c r="AF62" s="5"/>
      <c r="AG62" s="5"/>
      <c r="AH62" s="5"/>
      <c r="AI62" s="5"/>
      <c r="AJ62" s="5"/>
      <c r="AK62" s="5"/>
      <c r="AL62" s="5"/>
    </row>
    <row r="63" spans="1:38">
      <c r="X63" s="59" t="s">
        <v>94</v>
      </c>
      <c r="Y63" s="337">
        <v>0</v>
      </c>
      <c r="Z63" s="488">
        <f>2</f>
        <v>2</v>
      </c>
      <c r="AA63" s="337">
        <f>3+1</f>
        <v>4</v>
      </c>
      <c r="AB63" s="337">
        <f>11</f>
        <v>11</v>
      </c>
      <c r="AC63" s="337">
        <v>0</v>
      </c>
      <c r="AD63" s="59">
        <f t="shared" si="29"/>
        <v>17</v>
      </c>
      <c r="AF63" s="435">
        <f>AD45+AD65</f>
        <v>330</v>
      </c>
      <c r="AG63" s="5"/>
      <c r="AH63" s="5"/>
      <c r="AI63" s="5"/>
      <c r="AJ63" s="5"/>
      <c r="AK63" s="5"/>
      <c r="AL63" s="5"/>
    </row>
    <row r="64" spans="1:38">
      <c r="X64" s="343" t="s">
        <v>492</v>
      </c>
      <c r="Y64" s="337">
        <v>0</v>
      </c>
      <c r="Z64" s="344">
        <f>1</f>
        <v>1</v>
      </c>
      <c r="AA64" s="344">
        <f>4</f>
        <v>4</v>
      </c>
      <c r="AB64" s="344">
        <v>0</v>
      </c>
      <c r="AC64" s="337">
        <v>0</v>
      </c>
      <c r="AD64" s="343">
        <f t="shared" si="29"/>
        <v>5</v>
      </c>
      <c r="AF64" s="496">
        <f t="shared" ref="AF64:AF65" si="31">AD46+AD66</f>
        <v>5476.0728999999992</v>
      </c>
      <c r="AG64" s="5"/>
      <c r="AH64" s="5"/>
      <c r="AI64" s="5"/>
      <c r="AJ64" s="5"/>
      <c r="AK64" s="5"/>
      <c r="AL64" s="5"/>
    </row>
    <row r="65" spans="24:38">
      <c r="X65" s="290" t="s">
        <v>501</v>
      </c>
      <c r="Y65" s="345">
        <f t="shared" ref="Y65:AD65" si="32">SUM(Y53:Y64)</f>
        <v>0</v>
      </c>
      <c r="Z65" s="345">
        <f t="shared" si="32"/>
        <v>118</v>
      </c>
      <c r="AA65" s="345">
        <f t="shared" si="32"/>
        <v>122</v>
      </c>
      <c r="AB65" s="345">
        <f t="shared" si="32"/>
        <v>56</v>
      </c>
      <c r="AC65" s="345">
        <f t="shared" si="32"/>
        <v>14</v>
      </c>
      <c r="AD65" s="346">
        <f t="shared" si="32"/>
        <v>310</v>
      </c>
      <c r="AF65" s="435">
        <f t="shared" si="31"/>
        <v>62950</v>
      </c>
      <c r="AG65" s="5"/>
      <c r="AH65" s="5"/>
      <c r="AI65" s="5"/>
      <c r="AJ65" s="5"/>
      <c r="AK65" s="5"/>
      <c r="AL65" s="5"/>
    </row>
    <row r="66" spans="24:38">
      <c r="X66" s="290" t="s">
        <v>500</v>
      </c>
      <c r="Y66" s="489">
        <f>PRODUCT(Y65*AH36)</f>
        <v>0</v>
      </c>
      <c r="Z66" s="489">
        <f>PRODUCT(Z65*AH37)</f>
        <v>1931.5301999999999</v>
      </c>
      <c r="AA66" s="489">
        <f>PRODUCT(AA65*AH38)</f>
        <v>2043.0974000000001</v>
      </c>
      <c r="AB66" s="489">
        <f>PRODUCT(AB65*AH39)</f>
        <v>945.64960000000008</v>
      </c>
      <c r="AC66" s="489">
        <f>PRODUCT(AC65*AH40)</f>
        <v>238</v>
      </c>
      <c r="AD66" s="490">
        <f>SUM(Y66:AC66)</f>
        <v>5158.2771999999995</v>
      </c>
      <c r="AF66" s="5"/>
      <c r="AG66" s="5"/>
      <c r="AH66" s="5"/>
      <c r="AI66" s="5"/>
      <c r="AJ66" s="5"/>
      <c r="AK66" s="5"/>
      <c r="AL66" s="5"/>
    </row>
    <row r="67" spans="24:38">
      <c r="X67" s="290" t="s">
        <v>563</v>
      </c>
      <c r="Y67" s="347">
        <f>Y65*AG36</f>
        <v>0</v>
      </c>
      <c r="Z67" s="347">
        <f>Z65*AG37</f>
        <v>17700</v>
      </c>
      <c r="AA67" s="347">
        <f>AA65*AG38</f>
        <v>24400</v>
      </c>
      <c r="AB67" s="347">
        <f>AB65*AG39</f>
        <v>14000</v>
      </c>
      <c r="AC67" s="347">
        <f>AC65*AG40</f>
        <v>4200</v>
      </c>
      <c r="AD67" s="290">
        <f>SUM(Y67:AC67)</f>
        <v>60300</v>
      </c>
    </row>
  </sheetData>
  <mergeCells count="5">
    <mergeCell ref="B1:J1"/>
    <mergeCell ref="L1:T1"/>
    <mergeCell ref="X31:AC31"/>
    <mergeCell ref="AF44:AK44"/>
    <mergeCell ref="X51:AC51"/>
  </mergeCells>
  <conditionalFormatting sqref="S3:S56">
    <cfRule type="cellIs" dxfId="70" priority="10" operator="lessThan">
      <formula>0</formula>
    </cfRule>
  </conditionalFormatting>
  <conditionalFormatting sqref="R3:R56">
    <cfRule type="expression" dxfId="69" priority="8">
      <formula>(R3&lt;N3)</formula>
    </cfRule>
  </conditionalFormatting>
  <conditionalFormatting sqref="T3:T56">
    <cfRule type="cellIs" dxfId="68" priority="7" operator="greaterThan">
      <formula>0</formula>
    </cfRule>
  </conditionalFormatting>
  <conditionalFormatting sqref="Y33:AD44">
    <cfRule type="cellIs" dxfId="67" priority="6" operator="greaterThan">
      <formula>0</formula>
    </cfRule>
  </conditionalFormatting>
  <conditionalFormatting sqref="AH61:AL61">
    <cfRule type="cellIs" dxfId="66" priority="5" operator="greaterThan">
      <formula>0</formula>
    </cfRule>
  </conditionalFormatting>
  <conditionalFormatting sqref="AG46:AL57">
    <cfRule type="cellIs" dxfId="65" priority="4" operator="greaterThan">
      <formula>0</formula>
    </cfRule>
  </conditionalFormatting>
  <conditionalFormatting sqref="AD53:AD64">
    <cfRule type="cellIs" dxfId="64" priority="3" operator="greaterThan">
      <formula>0</formula>
    </cfRule>
  </conditionalFormatting>
  <conditionalFormatting sqref="Z53:AC64">
    <cfRule type="cellIs" dxfId="63" priority="2" operator="greaterThan">
      <formula>0</formula>
    </cfRule>
  </conditionalFormatting>
  <conditionalFormatting sqref="Y53:Y64">
    <cfRule type="cellIs" dxfId="62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IP_linksErrorFree</vt:lpstr>
      <vt:lpstr>MPLS_Demands</vt:lpstr>
      <vt:lpstr>Shut-off lambda</vt:lpstr>
      <vt:lpstr>Multiple-path Reroute</vt:lpstr>
      <vt:lpstr>Selective 0&lt;alpha&lt;1</vt:lpstr>
      <vt:lpstr>BDF</vt:lpstr>
      <vt:lpstr>SDF</vt:lpstr>
      <vt:lpstr>Single-hop Reroute</vt:lpstr>
      <vt:lpstr>No-Reroute</vt:lpstr>
      <vt:lpstr>ES-EP</vt:lpstr>
      <vt:lpstr>US-EP</vt:lpstr>
      <vt:lpstr>US-UP</vt:lpstr>
      <vt:lpstr>US</vt:lpstr>
      <vt:lpstr>FlowThinning</vt:lpstr>
      <vt:lpstr>FlowThinningModularCapacities</vt:lpstr>
      <vt:lpstr>AffineFlowThinning</vt:lpstr>
      <vt:lpstr>AffineFlowThinningModularCapaci</vt:lpstr>
      <vt:lpstr>conclusion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user</cp:lastModifiedBy>
  <dcterms:created xsi:type="dcterms:W3CDTF">2017-06-09T11:14:50Z</dcterms:created>
  <dcterms:modified xsi:type="dcterms:W3CDTF">2021-01-08T17:44:58Z</dcterms:modified>
</cp:coreProperties>
</file>