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5.xml" ContentType="application/vnd.openxmlformats-officedocument.drawing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6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drawings/drawing7.xml" ContentType="application/vnd.openxmlformats-officedocument.drawing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drawings/drawing8.xml" ContentType="application/vnd.openxmlformats-officedocument.drawing+xml"/>
  <Override PartName="/xl/charts/chart18.xml" ContentType="application/vnd.openxmlformats-officedocument.drawingml.chart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10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1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drawings/drawing12.xml" ContentType="application/vnd.openxmlformats-officedocument.drawing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3.xml" ContentType="application/vnd.openxmlformats-officedocument.drawing+xml"/>
  <Override PartName="/xl/tables/table1.xml" ContentType="application/vnd.openxmlformats-officedocument.spreadsheetml.table+xml"/>
  <Override PartName="/xl/charts/chart3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14.xml" ContentType="application/vnd.openxmlformats-officedocument.drawing+xml"/>
  <Override PartName="/xl/charts/chart3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15.xml" ContentType="application/vnd.openxmlformats-officedocument.drawing+xml"/>
  <Override PartName="/xl/charts/chart3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16.xml" ContentType="application/vnd.openxmlformats-officedocument.drawing+xml"/>
  <Override PartName="/xl/charts/chart3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17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charts/chart4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Research_Project_Shkurte_Esati\Code\Results\"/>
    </mc:Choice>
  </mc:AlternateContent>
  <bookViews>
    <workbookView xWindow="360" yWindow="45" windowWidth="9555" windowHeight="4950" firstSheet="10" activeTab="17"/>
  </bookViews>
  <sheets>
    <sheet name="IP_linksErrorFree" sheetId="1" r:id="rId1"/>
    <sheet name="MPLS_Demands" sheetId="2" r:id="rId2"/>
    <sheet name="Shut-off lambda" sheetId="4" r:id="rId3"/>
    <sheet name="Multiple-path Reroute" sheetId="15" r:id="rId4"/>
    <sheet name="Selective 0&lt;alpha&lt;1" sheetId="16" r:id="rId5"/>
    <sheet name="BDF" sheetId="5" r:id="rId6"/>
    <sheet name="SDF" sheetId="6" r:id="rId7"/>
    <sheet name="Single-hop Reroute" sheetId="8" r:id="rId8"/>
    <sheet name="NoRerouting" sheetId="9" r:id="rId9"/>
    <sheet name="ES-EP" sheetId="10" r:id="rId10"/>
    <sheet name="US-EP" sheetId="11" r:id="rId11"/>
    <sheet name="US-UP" sheetId="12" r:id="rId12"/>
    <sheet name="US" sheetId="13" r:id="rId13"/>
    <sheet name="FlowThinning" sheetId="17" r:id="rId14"/>
    <sheet name="FlowThinningModularCapacities" sheetId="18" r:id="rId15"/>
    <sheet name="AffineFlowThinning" sheetId="19" r:id="rId16"/>
    <sheet name="AffineFlowThinningModularCapaci" sheetId="20" r:id="rId17"/>
    <sheet name="conclusion" sheetId="7" r:id="rId18"/>
  </sheets>
  <calcPr calcId="162913"/>
</workbook>
</file>

<file path=xl/calcChain.xml><?xml version="1.0" encoding="utf-8"?>
<calcChain xmlns="http://schemas.openxmlformats.org/spreadsheetml/2006/main">
  <c r="C65" i="7" l="1"/>
  <c r="C63" i="7"/>
  <c r="E47" i="7"/>
  <c r="E45" i="7"/>
  <c r="E44" i="7"/>
  <c r="E43" i="7"/>
  <c r="E42" i="7"/>
  <c r="E41" i="7"/>
  <c r="E40" i="7"/>
  <c r="E39" i="7"/>
  <c r="E38" i="7"/>
  <c r="E37" i="7"/>
  <c r="E36" i="7"/>
  <c r="E35" i="7"/>
  <c r="E34" i="7"/>
  <c r="D35" i="20"/>
  <c r="C35" i="20"/>
  <c r="B35" i="20"/>
  <c r="C34" i="20"/>
  <c r="C33" i="20"/>
  <c r="C32" i="20"/>
  <c r="C31" i="20"/>
  <c r="C30" i="20"/>
  <c r="C29" i="20"/>
  <c r="G28" i="20"/>
  <c r="C28" i="20"/>
  <c r="G27" i="20"/>
  <c r="C27" i="20"/>
  <c r="H26" i="20"/>
  <c r="C26" i="20"/>
  <c r="H25" i="20"/>
  <c r="C25" i="20"/>
  <c r="H24" i="20"/>
  <c r="C24" i="20"/>
  <c r="H23" i="20"/>
  <c r="C23" i="20"/>
  <c r="H22" i="20"/>
  <c r="C22" i="20"/>
  <c r="H21" i="20"/>
  <c r="C21" i="20"/>
  <c r="H20" i="20"/>
  <c r="C20" i="20"/>
  <c r="Q19" i="20"/>
  <c r="P19" i="20"/>
  <c r="O19" i="20"/>
  <c r="N19" i="20"/>
  <c r="M19" i="20"/>
  <c r="L19" i="20"/>
  <c r="H19" i="20"/>
  <c r="C19" i="20"/>
  <c r="Q18" i="20"/>
  <c r="P18" i="20"/>
  <c r="O18" i="20"/>
  <c r="N18" i="20"/>
  <c r="M18" i="20"/>
  <c r="L18" i="20"/>
  <c r="H18" i="20"/>
  <c r="C18" i="20"/>
  <c r="Q17" i="20"/>
  <c r="P17" i="20"/>
  <c r="O17" i="20"/>
  <c r="N17" i="20"/>
  <c r="M17" i="20"/>
  <c r="L17" i="20"/>
  <c r="H17" i="20"/>
  <c r="C17" i="20"/>
  <c r="Q16" i="20"/>
  <c r="N16" i="20"/>
  <c r="L16" i="20"/>
  <c r="H16" i="20"/>
  <c r="C16" i="20"/>
  <c r="Q15" i="20"/>
  <c r="P15" i="20"/>
  <c r="M15" i="20"/>
  <c r="L15" i="20"/>
  <c r="H15" i="20"/>
  <c r="C15" i="20"/>
  <c r="Q14" i="20"/>
  <c r="P14" i="20"/>
  <c r="M14" i="20"/>
  <c r="L14" i="20"/>
  <c r="H14" i="20"/>
  <c r="C14" i="20"/>
  <c r="Q13" i="20"/>
  <c r="P13" i="20"/>
  <c r="O13" i="20"/>
  <c r="L13" i="20"/>
  <c r="H13" i="20"/>
  <c r="C13" i="20"/>
  <c r="Q12" i="20"/>
  <c r="P12" i="20"/>
  <c r="M12" i="20"/>
  <c r="L12" i="20"/>
  <c r="H12" i="20"/>
  <c r="C12" i="20"/>
  <c r="Q11" i="20"/>
  <c r="O11" i="20"/>
  <c r="N11" i="20"/>
  <c r="L11" i="20"/>
  <c r="H11" i="20"/>
  <c r="C11" i="20"/>
  <c r="Q10" i="20"/>
  <c r="P10" i="20"/>
  <c r="L10" i="20"/>
  <c r="H10" i="20"/>
  <c r="C10" i="20"/>
  <c r="Q9" i="20"/>
  <c r="P9" i="20"/>
  <c r="O9" i="20"/>
  <c r="L9" i="20"/>
  <c r="H9" i="20"/>
  <c r="C9" i="20"/>
  <c r="Q8" i="20"/>
  <c r="P8" i="20"/>
  <c r="O8" i="20"/>
  <c r="N8" i="20"/>
  <c r="M8" i="20"/>
  <c r="L8" i="20"/>
  <c r="H8" i="20"/>
  <c r="C8" i="20"/>
  <c r="Q7" i="20"/>
  <c r="P7" i="20"/>
  <c r="L7" i="20"/>
  <c r="H7" i="20"/>
  <c r="C7" i="20"/>
  <c r="Q6" i="20"/>
  <c r="P6" i="20"/>
  <c r="O6" i="20"/>
  <c r="N6" i="20"/>
  <c r="M6" i="20"/>
  <c r="L6" i="20"/>
  <c r="H6" i="20"/>
  <c r="C6" i="20"/>
  <c r="Q5" i="20"/>
  <c r="O5" i="20"/>
  <c r="L5" i="20"/>
  <c r="H5" i="20"/>
  <c r="C5" i="20"/>
  <c r="C4" i="20"/>
  <c r="D35" i="19"/>
  <c r="C35" i="19"/>
  <c r="B35" i="19"/>
  <c r="C34" i="19"/>
  <c r="C33" i="19"/>
  <c r="C32" i="19"/>
  <c r="C31" i="19"/>
  <c r="C30" i="19"/>
  <c r="C29" i="19"/>
  <c r="C28" i="19"/>
  <c r="C27" i="19"/>
  <c r="C26" i="19"/>
  <c r="C25" i="19"/>
  <c r="C24" i="19"/>
  <c r="C23" i="19"/>
  <c r="C22" i="19"/>
  <c r="C21" i="19"/>
  <c r="C20" i="19"/>
  <c r="Q19" i="19"/>
  <c r="P19" i="19"/>
  <c r="O19" i="19"/>
  <c r="N19" i="19"/>
  <c r="M19" i="19"/>
  <c r="L19" i="19"/>
  <c r="C19" i="19"/>
  <c r="Q18" i="19"/>
  <c r="P18" i="19"/>
  <c r="O18" i="19"/>
  <c r="N18" i="19"/>
  <c r="M18" i="19"/>
  <c r="L18" i="19"/>
  <c r="C18" i="19"/>
  <c r="Q17" i="19"/>
  <c r="P17" i="19"/>
  <c r="O17" i="19"/>
  <c r="N17" i="19"/>
  <c r="M17" i="19"/>
  <c r="L17" i="19"/>
  <c r="G17" i="19"/>
  <c r="C17" i="19"/>
  <c r="Q16" i="19"/>
  <c r="G16" i="19"/>
  <c r="C16" i="19"/>
  <c r="Q15" i="19"/>
  <c r="H15" i="19"/>
  <c r="C15" i="19"/>
  <c r="Q14" i="19"/>
  <c r="H14" i="19"/>
  <c r="C14" i="19"/>
  <c r="Q13" i="19"/>
  <c r="H13" i="19"/>
  <c r="C13" i="19"/>
  <c r="Q12" i="19"/>
  <c r="H12" i="19"/>
  <c r="C12" i="19"/>
  <c r="Q11" i="19"/>
  <c r="H11" i="19"/>
  <c r="C11" i="19"/>
  <c r="Q10" i="19"/>
  <c r="H10" i="19"/>
  <c r="C10" i="19"/>
  <c r="Q9" i="19"/>
  <c r="H9" i="19"/>
  <c r="C9" i="19"/>
  <c r="Q8" i="19"/>
  <c r="H8" i="19"/>
  <c r="C8" i="19"/>
  <c r="Q7" i="19"/>
  <c r="H7" i="19"/>
  <c r="C7" i="19"/>
  <c r="Q6" i="19"/>
  <c r="H6" i="19"/>
  <c r="C6" i="19"/>
  <c r="Q5" i="19"/>
  <c r="C5" i="19"/>
  <c r="C4" i="19"/>
  <c r="D35" i="18"/>
  <c r="C35" i="18"/>
  <c r="B35" i="18"/>
  <c r="C34" i="18"/>
  <c r="C33" i="18"/>
  <c r="C32" i="18"/>
  <c r="C31" i="18"/>
  <c r="C30" i="18"/>
  <c r="C29" i="18"/>
  <c r="C28" i="18"/>
  <c r="C27" i="18"/>
  <c r="C26" i="18"/>
  <c r="C25" i="18"/>
  <c r="C24" i="18"/>
  <c r="C23" i="18"/>
  <c r="C22" i="18"/>
  <c r="C21" i="18"/>
  <c r="C20" i="18"/>
  <c r="P19" i="18"/>
  <c r="O19" i="18"/>
  <c r="N19" i="18"/>
  <c r="M19" i="18"/>
  <c r="L19" i="18"/>
  <c r="K19" i="18"/>
  <c r="C19" i="18"/>
  <c r="P18" i="18"/>
  <c r="O18" i="18"/>
  <c r="N18" i="18"/>
  <c r="M18" i="18"/>
  <c r="L18" i="18"/>
  <c r="K18" i="18"/>
  <c r="C18" i="18"/>
  <c r="P17" i="18"/>
  <c r="O17" i="18"/>
  <c r="N17" i="18"/>
  <c r="M17" i="18"/>
  <c r="L17" i="18"/>
  <c r="K17" i="18"/>
  <c r="C17" i="18"/>
  <c r="P16" i="18"/>
  <c r="M16" i="18"/>
  <c r="K16" i="18"/>
  <c r="C16" i="18"/>
  <c r="P15" i="18"/>
  <c r="O15" i="18"/>
  <c r="L15" i="18"/>
  <c r="K15" i="18"/>
  <c r="C15" i="18"/>
  <c r="P14" i="18"/>
  <c r="O14" i="18"/>
  <c r="L14" i="18"/>
  <c r="K14" i="18"/>
  <c r="C14" i="18"/>
  <c r="P13" i="18"/>
  <c r="O13" i="18"/>
  <c r="N13" i="18"/>
  <c r="K13" i="18"/>
  <c r="C13" i="18"/>
  <c r="P12" i="18"/>
  <c r="O12" i="18"/>
  <c r="L12" i="18"/>
  <c r="K12" i="18"/>
  <c r="C12" i="18"/>
  <c r="P11" i="18"/>
  <c r="N11" i="18"/>
  <c r="M11" i="18"/>
  <c r="K11" i="18"/>
  <c r="C11" i="18"/>
  <c r="P10" i="18"/>
  <c r="O10" i="18"/>
  <c r="K10" i="18"/>
  <c r="G10" i="18"/>
  <c r="C10" i="18"/>
  <c r="P9" i="18"/>
  <c r="O9" i="18"/>
  <c r="N9" i="18"/>
  <c r="K9" i="18"/>
  <c r="G9" i="18"/>
  <c r="C9" i="18"/>
  <c r="P8" i="18"/>
  <c r="O8" i="18"/>
  <c r="N8" i="18"/>
  <c r="M8" i="18"/>
  <c r="L8" i="18"/>
  <c r="K8" i="18"/>
  <c r="C8" i="18"/>
  <c r="P7" i="18"/>
  <c r="O7" i="18"/>
  <c r="K7" i="18"/>
  <c r="H7" i="18"/>
  <c r="C7" i="18"/>
  <c r="P6" i="18"/>
  <c r="O6" i="18"/>
  <c r="N6" i="18"/>
  <c r="M6" i="18"/>
  <c r="L6" i="18"/>
  <c r="K6" i="18"/>
  <c r="H6" i="18"/>
  <c r="C6" i="18"/>
  <c r="P5" i="18"/>
  <c r="O5" i="18"/>
  <c r="M5" i="18"/>
  <c r="K5" i="18"/>
  <c r="C5" i="18"/>
  <c r="C4" i="18"/>
  <c r="D35" i="17"/>
  <c r="C35" i="17"/>
  <c r="B35" i="17"/>
  <c r="C34" i="17"/>
  <c r="C33" i="17"/>
  <c r="C32" i="17"/>
  <c r="C31" i="17"/>
  <c r="C30" i="17"/>
  <c r="C29" i="17"/>
  <c r="C28" i="17"/>
  <c r="C27" i="17"/>
  <c r="C26" i="17"/>
  <c r="C25" i="17"/>
  <c r="C24" i="17"/>
  <c r="C23" i="17"/>
  <c r="C22" i="17"/>
  <c r="C21" i="17"/>
  <c r="S20" i="17"/>
  <c r="R20" i="17"/>
  <c r="Q20" i="17"/>
  <c r="P20" i="17"/>
  <c r="O20" i="17"/>
  <c r="N20" i="17"/>
  <c r="M20" i="17"/>
  <c r="C20" i="17"/>
  <c r="S19" i="17"/>
  <c r="R19" i="17"/>
  <c r="Q19" i="17"/>
  <c r="P19" i="17"/>
  <c r="O19" i="17"/>
  <c r="N19" i="17"/>
  <c r="M19" i="17"/>
  <c r="C19" i="17"/>
  <c r="S18" i="17"/>
  <c r="R18" i="17"/>
  <c r="Q18" i="17"/>
  <c r="P18" i="17"/>
  <c r="O18" i="17"/>
  <c r="N18" i="17"/>
  <c r="M18" i="17"/>
  <c r="C18" i="17"/>
  <c r="S17" i="17"/>
  <c r="R17" i="17"/>
  <c r="C17" i="17"/>
  <c r="S16" i="17"/>
  <c r="R16" i="17"/>
  <c r="C16" i="17"/>
  <c r="S15" i="17"/>
  <c r="R15" i="17"/>
  <c r="C15" i="17"/>
  <c r="S14" i="17"/>
  <c r="R14" i="17"/>
  <c r="C14" i="17"/>
  <c r="S13" i="17"/>
  <c r="R13" i="17"/>
  <c r="C13" i="17"/>
  <c r="S12" i="17"/>
  <c r="R12" i="17"/>
  <c r="C12" i="17"/>
  <c r="S11" i="17"/>
  <c r="R11" i="17"/>
  <c r="H11" i="17"/>
  <c r="C11" i="17"/>
  <c r="S10" i="17"/>
  <c r="R10" i="17"/>
  <c r="H10" i="17"/>
  <c r="C10" i="17"/>
  <c r="S9" i="17"/>
  <c r="R9" i="17"/>
  <c r="C9" i="17"/>
  <c r="S8" i="17"/>
  <c r="R8" i="17"/>
  <c r="I8" i="17"/>
  <c r="C8" i="17"/>
  <c r="S7" i="17"/>
  <c r="R7" i="17"/>
  <c r="I7" i="17"/>
  <c r="C7" i="17"/>
  <c r="S6" i="17"/>
  <c r="R6" i="17"/>
  <c r="C6" i="17"/>
  <c r="C5" i="17"/>
  <c r="C4" i="17"/>
  <c r="AE95" i="13"/>
  <c r="AD95" i="13"/>
  <c r="AC95" i="13"/>
  <c r="AB95" i="13"/>
  <c r="AA95" i="13"/>
  <c r="Z95" i="13"/>
  <c r="AE94" i="13"/>
  <c r="AD94" i="13"/>
  <c r="AC94" i="13"/>
  <c r="AB94" i="13"/>
  <c r="AA94" i="13"/>
  <c r="Z94" i="13"/>
  <c r="AE93" i="13"/>
  <c r="AD93" i="13"/>
  <c r="AC93" i="13"/>
  <c r="AB93" i="13"/>
  <c r="AA93" i="13"/>
  <c r="Z93" i="13"/>
  <c r="AE92" i="13"/>
  <c r="AB92" i="13"/>
  <c r="AA92" i="13"/>
  <c r="AE91" i="13"/>
  <c r="AC91" i="13"/>
  <c r="AB91" i="13"/>
  <c r="AA91" i="13"/>
  <c r="AE90" i="13"/>
  <c r="AC90" i="13"/>
  <c r="AB90" i="13"/>
  <c r="AE89" i="13"/>
  <c r="AB89" i="13"/>
  <c r="AA89" i="13"/>
  <c r="AM88" i="13"/>
  <c r="AL88" i="13"/>
  <c r="AK88" i="13"/>
  <c r="AJ88" i="13"/>
  <c r="AI88" i="13"/>
  <c r="AH88" i="13"/>
  <c r="AE88" i="13"/>
  <c r="AC88" i="13"/>
  <c r="AB88" i="13"/>
  <c r="AA88" i="13"/>
  <c r="AM87" i="13"/>
  <c r="AL87" i="13"/>
  <c r="AK87" i="13"/>
  <c r="AJ87" i="13"/>
  <c r="AI87" i="13"/>
  <c r="AH87" i="13"/>
  <c r="AE87" i="13"/>
  <c r="AD87" i="13"/>
  <c r="AC87" i="13"/>
  <c r="AB87" i="13"/>
  <c r="AM86" i="13"/>
  <c r="AL86" i="13"/>
  <c r="AK86" i="13"/>
  <c r="AJ86" i="13"/>
  <c r="AI86" i="13"/>
  <c r="AH86" i="13"/>
  <c r="AE86" i="13"/>
  <c r="AC86" i="13"/>
  <c r="AB86" i="13"/>
  <c r="AA86" i="13"/>
  <c r="AM85" i="13"/>
  <c r="AL85" i="13"/>
  <c r="AK85" i="13"/>
  <c r="AJ85" i="13"/>
  <c r="AI85" i="13"/>
  <c r="AH85" i="13"/>
  <c r="AE85" i="13"/>
  <c r="AC85" i="13"/>
  <c r="AB85" i="13"/>
  <c r="AM84" i="13"/>
  <c r="AL84" i="13"/>
  <c r="AK84" i="13"/>
  <c r="AJ84" i="13"/>
  <c r="AI84" i="13"/>
  <c r="AH84" i="13"/>
  <c r="AE84" i="13"/>
  <c r="AC84" i="13"/>
  <c r="AB84" i="13"/>
  <c r="AA84" i="13"/>
  <c r="AM83" i="13"/>
  <c r="AL83" i="13"/>
  <c r="AK83" i="13"/>
  <c r="AJ83" i="13"/>
  <c r="AI83" i="13"/>
  <c r="AH83" i="13"/>
  <c r="AE83" i="13"/>
  <c r="AD83" i="13"/>
  <c r="AB83" i="13"/>
  <c r="AM82" i="13"/>
  <c r="AL82" i="13"/>
  <c r="AK82" i="13"/>
  <c r="AJ82" i="13"/>
  <c r="AI82" i="13"/>
  <c r="AH82" i="13"/>
  <c r="AE82" i="13"/>
  <c r="AD82" i="13"/>
  <c r="AB82" i="13"/>
  <c r="AA82" i="13"/>
  <c r="AM81" i="13"/>
  <c r="AL81" i="13"/>
  <c r="AK81" i="13"/>
  <c r="AJ81" i="13"/>
  <c r="AI81" i="13"/>
  <c r="AH81" i="13"/>
  <c r="AE81" i="13"/>
  <c r="AC81" i="13"/>
  <c r="AB81" i="13"/>
  <c r="AA81" i="13"/>
  <c r="AM80" i="13"/>
  <c r="AL80" i="13"/>
  <c r="AK80" i="13"/>
  <c r="AJ80" i="13"/>
  <c r="AI80" i="13"/>
  <c r="AH80" i="13"/>
  <c r="AM79" i="13"/>
  <c r="AL79" i="13"/>
  <c r="AK79" i="13"/>
  <c r="AJ79" i="13"/>
  <c r="AI79" i="13"/>
  <c r="AH79" i="13"/>
  <c r="AM78" i="13"/>
  <c r="AL78" i="13"/>
  <c r="AK78" i="13"/>
  <c r="AJ78" i="13"/>
  <c r="AI78" i="13"/>
  <c r="AH78" i="13"/>
  <c r="AM77" i="13"/>
  <c r="AL77" i="13"/>
  <c r="AK77" i="13"/>
  <c r="AJ77" i="13"/>
  <c r="AI77" i="13"/>
  <c r="AH77" i="13"/>
  <c r="AM76" i="13"/>
  <c r="AL76" i="13"/>
  <c r="AK76" i="13"/>
  <c r="AJ76" i="13"/>
  <c r="AI76" i="13"/>
  <c r="AH76" i="13"/>
  <c r="AM75" i="13"/>
  <c r="AL75" i="13"/>
  <c r="AK75" i="13"/>
  <c r="AJ75" i="13"/>
  <c r="AI75" i="13"/>
  <c r="AH75" i="13"/>
  <c r="AE75" i="13"/>
  <c r="AD75" i="13"/>
  <c r="AC75" i="13"/>
  <c r="AB75" i="13"/>
  <c r="AA75" i="13"/>
  <c r="Z75" i="13"/>
  <c r="AM74" i="13"/>
  <c r="AL74" i="13"/>
  <c r="AK74" i="13"/>
  <c r="AJ74" i="13"/>
  <c r="AI74" i="13"/>
  <c r="AH74" i="13"/>
  <c r="AE74" i="13"/>
  <c r="AD74" i="13"/>
  <c r="AC74" i="13"/>
  <c r="AB74" i="13"/>
  <c r="AA74" i="13"/>
  <c r="Z74" i="13"/>
  <c r="AE73" i="13"/>
  <c r="AD73" i="13"/>
  <c r="AC73" i="13"/>
  <c r="AB73" i="13"/>
  <c r="AA73" i="13"/>
  <c r="Z73" i="13"/>
  <c r="AE72" i="13"/>
  <c r="AE71" i="13"/>
  <c r="AE70" i="13"/>
  <c r="AE69" i="13"/>
  <c r="AE68" i="13"/>
  <c r="AE67" i="13"/>
  <c r="AE66" i="13"/>
  <c r="AE65" i="13"/>
  <c r="AE64" i="13"/>
  <c r="AE63" i="13"/>
  <c r="AE62" i="13"/>
  <c r="AE61" i="13"/>
  <c r="U56" i="13"/>
  <c r="T56" i="13"/>
  <c r="S56" i="13"/>
  <c r="R56" i="13"/>
  <c r="P56" i="13"/>
  <c r="O56" i="13"/>
  <c r="L56" i="13"/>
  <c r="K56" i="13"/>
  <c r="J56" i="13"/>
  <c r="I56" i="13"/>
  <c r="H56" i="13"/>
  <c r="E56" i="13"/>
  <c r="U55" i="13"/>
  <c r="T55" i="13"/>
  <c r="S55" i="13"/>
  <c r="R55" i="13"/>
  <c r="P55" i="13"/>
  <c r="O55" i="13"/>
  <c r="L55" i="13"/>
  <c r="K55" i="13"/>
  <c r="J55" i="13"/>
  <c r="I55" i="13"/>
  <c r="H55" i="13"/>
  <c r="E55" i="13"/>
  <c r="U54" i="13"/>
  <c r="T54" i="13"/>
  <c r="S54" i="13"/>
  <c r="R54" i="13"/>
  <c r="P54" i="13"/>
  <c r="O54" i="13"/>
  <c r="L54" i="13"/>
  <c r="K54" i="13"/>
  <c r="J54" i="13"/>
  <c r="I54" i="13"/>
  <c r="H54" i="13"/>
  <c r="E54" i="13"/>
  <c r="U53" i="13"/>
  <c r="T53" i="13"/>
  <c r="S53" i="13"/>
  <c r="R53" i="13"/>
  <c r="P53" i="13"/>
  <c r="O53" i="13"/>
  <c r="L53" i="13"/>
  <c r="K53" i="13"/>
  <c r="J53" i="13"/>
  <c r="I53" i="13"/>
  <c r="H53" i="13"/>
  <c r="E53" i="13"/>
  <c r="U52" i="13"/>
  <c r="T52" i="13"/>
  <c r="S52" i="13"/>
  <c r="R52" i="13"/>
  <c r="P52" i="13"/>
  <c r="O52" i="13"/>
  <c r="L52" i="13"/>
  <c r="K52" i="13"/>
  <c r="J52" i="13"/>
  <c r="I52" i="13"/>
  <c r="H52" i="13"/>
  <c r="E52" i="13"/>
  <c r="U51" i="13"/>
  <c r="T51" i="13"/>
  <c r="S51" i="13"/>
  <c r="R51" i="13"/>
  <c r="P51" i="13"/>
  <c r="O51" i="13"/>
  <c r="L51" i="13"/>
  <c r="K51" i="13"/>
  <c r="J51" i="13"/>
  <c r="I51" i="13"/>
  <c r="H51" i="13"/>
  <c r="E51" i="13"/>
  <c r="U50" i="13"/>
  <c r="T50" i="13"/>
  <c r="S50" i="13"/>
  <c r="R50" i="13"/>
  <c r="P50" i="13"/>
  <c r="O50" i="13"/>
  <c r="L50" i="13"/>
  <c r="K50" i="13"/>
  <c r="J50" i="13"/>
  <c r="I50" i="13"/>
  <c r="H50" i="13"/>
  <c r="E50" i="13"/>
  <c r="U49" i="13"/>
  <c r="T49" i="13"/>
  <c r="S49" i="13"/>
  <c r="R49" i="13"/>
  <c r="P49" i="13"/>
  <c r="O49" i="13"/>
  <c r="L49" i="13"/>
  <c r="K49" i="13"/>
  <c r="J49" i="13"/>
  <c r="I49" i="13"/>
  <c r="H49" i="13"/>
  <c r="E49" i="13"/>
  <c r="U48" i="13"/>
  <c r="T48" i="13"/>
  <c r="S48" i="13"/>
  <c r="R48" i="13"/>
  <c r="P48" i="13"/>
  <c r="O48" i="13"/>
  <c r="L48" i="13"/>
  <c r="K48" i="13"/>
  <c r="J48" i="13"/>
  <c r="I48" i="13"/>
  <c r="H48" i="13"/>
  <c r="E48" i="13"/>
  <c r="U47" i="13"/>
  <c r="T47" i="13"/>
  <c r="S47" i="13"/>
  <c r="R47" i="13"/>
  <c r="P47" i="13"/>
  <c r="O47" i="13"/>
  <c r="L47" i="13"/>
  <c r="K47" i="13"/>
  <c r="J47" i="13"/>
  <c r="I47" i="13"/>
  <c r="H47" i="13"/>
  <c r="E47" i="13"/>
  <c r="U46" i="13"/>
  <c r="T46" i="13"/>
  <c r="S46" i="13"/>
  <c r="R46" i="13"/>
  <c r="P46" i="13"/>
  <c r="O46" i="13"/>
  <c r="L46" i="13"/>
  <c r="K46" i="13"/>
  <c r="J46" i="13"/>
  <c r="I46" i="13"/>
  <c r="H46" i="13"/>
  <c r="E46" i="13"/>
  <c r="U45" i="13"/>
  <c r="T45" i="13"/>
  <c r="S45" i="13"/>
  <c r="R45" i="13"/>
  <c r="P45" i="13"/>
  <c r="O45" i="13"/>
  <c r="L45" i="13"/>
  <c r="K45" i="13"/>
  <c r="J45" i="13"/>
  <c r="I45" i="13"/>
  <c r="H45" i="13"/>
  <c r="E45" i="13"/>
  <c r="U44" i="13"/>
  <c r="T44" i="13"/>
  <c r="S44" i="13"/>
  <c r="R44" i="13"/>
  <c r="P44" i="13"/>
  <c r="O44" i="13"/>
  <c r="L44" i="13"/>
  <c r="K44" i="13"/>
  <c r="J44" i="13"/>
  <c r="I44" i="13"/>
  <c r="H44" i="13"/>
  <c r="E44" i="13"/>
  <c r="U43" i="13"/>
  <c r="T43" i="13"/>
  <c r="S43" i="13"/>
  <c r="R43" i="13"/>
  <c r="P43" i="13"/>
  <c r="O43" i="13"/>
  <c r="L43" i="13"/>
  <c r="K43" i="13"/>
  <c r="J43" i="13"/>
  <c r="I43" i="13"/>
  <c r="H43" i="13"/>
  <c r="E43" i="13"/>
  <c r="U42" i="13"/>
  <c r="T42" i="13"/>
  <c r="S42" i="13"/>
  <c r="R42" i="13"/>
  <c r="P42" i="13"/>
  <c r="O42" i="13"/>
  <c r="L42" i="13"/>
  <c r="K42" i="13"/>
  <c r="J42" i="13"/>
  <c r="I42" i="13"/>
  <c r="H42" i="13"/>
  <c r="E42" i="13"/>
  <c r="U41" i="13"/>
  <c r="T41" i="13"/>
  <c r="S41" i="13"/>
  <c r="R41" i="13"/>
  <c r="P41" i="13"/>
  <c r="O41" i="13"/>
  <c r="L41" i="13"/>
  <c r="K41" i="13"/>
  <c r="J41" i="13"/>
  <c r="I41" i="13"/>
  <c r="H41" i="13"/>
  <c r="E41" i="13"/>
  <c r="U40" i="13"/>
  <c r="T40" i="13"/>
  <c r="S40" i="13"/>
  <c r="R40" i="13"/>
  <c r="P40" i="13"/>
  <c r="O40" i="13"/>
  <c r="L40" i="13"/>
  <c r="K40" i="13"/>
  <c r="J40" i="13"/>
  <c r="I40" i="13"/>
  <c r="H40" i="13"/>
  <c r="E40" i="13"/>
  <c r="U39" i="13"/>
  <c r="T39" i="13"/>
  <c r="S39" i="13"/>
  <c r="R39" i="13"/>
  <c r="P39" i="13"/>
  <c r="O39" i="13"/>
  <c r="L39" i="13"/>
  <c r="K39" i="13"/>
  <c r="J39" i="13"/>
  <c r="I39" i="13"/>
  <c r="H39" i="13"/>
  <c r="E39" i="13"/>
  <c r="U38" i="13"/>
  <c r="T38" i="13"/>
  <c r="S38" i="13"/>
  <c r="R38" i="13"/>
  <c r="P38" i="13"/>
  <c r="O38" i="13"/>
  <c r="L38" i="13"/>
  <c r="K38" i="13"/>
  <c r="J38" i="13"/>
  <c r="I38" i="13"/>
  <c r="H38" i="13"/>
  <c r="E38" i="13"/>
  <c r="U37" i="13"/>
  <c r="T37" i="13"/>
  <c r="S37" i="13"/>
  <c r="R37" i="13"/>
  <c r="P37" i="13"/>
  <c r="O37" i="13"/>
  <c r="L37" i="13"/>
  <c r="K37" i="13"/>
  <c r="J37" i="13"/>
  <c r="I37" i="13"/>
  <c r="H37" i="13"/>
  <c r="E37" i="13"/>
  <c r="U36" i="13"/>
  <c r="T36" i="13"/>
  <c r="S36" i="13"/>
  <c r="R36" i="13"/>
  <c r="P36" i="13"/>
  <c r="O36" i="13"/>
  <c r="L36" i="13"/>
  <c r="K36" i="13"/>
  <c r="J36" i="13"/>
  <c r="I36" i="13"/>
  <c r="H36" i="13"/>
  <c r="E36" i="13"/>
  <c r="U35" i="13"/>
  <c r="T35" i="13"/>
  <c r="S35" i="13"/>
  <c r="R35" i="13"/>
  <c r="P35" i="13"/>
  <c r="O35" i="13"/>
  <c r="L35" i="13"/>
  <c r="K35" i="13"/>
  <c r="J35" i="13"/>
  <c r="I35" i="13"/>
  <c r="H35" i="13"/>
  <c r="E35" i="13"/>
  <c r="U34" i="13"/>
  <c r="T34" i="13"/>
  <c r="S34" i="13"/>
  <c r="R34" i="13"/>
  <c r="P34" i="13"/>
  <c r="O34" i="13"/>
  <c r="L34" i="13"/>
  <c r="K34" i="13"/>
  <c r="J34" i="13"/>
  <c r="I34" i="13"/>
  <c r="H34" i="13"/>
  <c r="E34" i="13"/>
  <c r="Z33" i="13"/>
  <c r="U33" i="13"/>
  <c r="T33" i="13"/>
  <c r="S33" i="13"/>
  <c r="R33" i="13"/>
  <c r="P33" i="13"/>
  <c r="O33" i="13"/>
  <c r="L33" i="13"/>
  <c r="K33" i="13"/>
  <c r="J33" i="13"/>
  <c r="I33" i="13"/>
  <c r="H33" i="13"/>
  <c r="E33" i="13"/>
  <c r="U32" i="13"/>
  <c r="T32" i="13"/>
  <c r="S32" i="13"/>
  <c r="R32" i="13"/>
  <c r="P32" i="13"/>
  <c r="O32" i="13"/>
  <c r="L32" i="13"/>
  <c r="K32" i="13"/>
  <c r="J32" i="13"/>
  <c r="I32" i="13"/>
  <c r="H32" i="13"/>
  <c r="E32" i="13"/>
  <c r="U31" i="13"/>
  <c r="T31" i="13"/>
  <c r="S31" i="13"/>
  <c r="R31" i="13"/>
  <c r="P31" i="13"/>
  <c r="O31" i="13"/>
  <c r="L31" i="13"/>
  <c r="K31" i="13"/>
  <c r="J31" i="13"/>
  <c r="I31" i="13"/>
  <c r="H31" i="13"/>
  <c r="E31" i="13"/>
  <c r="U30" i="13"/>
  <c r="T30" i="13"/>
  <c r="S30" i="13"/>
  <c r="R30" i="13"/>
  <c r="P30" i="13"/>
  <c r="O30" i="13"/>
  <c r="L30" i="13"/>
  <c r="K30" i="13"/>
  <c r="J30" i="13"/>
  <c r="I30" i="13"/>
  <c r="H30" i="13"/>
  <c r="E30" i="13"/>
  <c r="U29" i="13"/>
  <c r="T29" i="13"/>
  <c r="S29" i="13"/>
  <c r="R29" i="13"/>
  <c r="P29" i="13"/>
  <c r="O29" i="13"/>
  <c r="L29" i="13"/>
  <c r="K29" i="13"/>
  <c r="J29" i="13"/>
  <c r="I29" i="13"/>
  <c r="H29" i="13"/>
  <c r="E29" i="13"/>
  <c r="AA28" i="13"/>
  <c r="U28" i="13"/>
  <c r="T28" i="13"/>
  <c r="S28" i="13"/>
  <c r="R28" i="13"/>
  <c r="P28" i="13"/>
  <c r="O28" i="13"/>
  <c r="L28" i="13"/>
  <c r="K28" i="13"/>
  <c r="J28" i="13"/>
  <c r="I28" i="13"/>
  <c r="H28" i="13"/>
  <c r="E28" i="13"/>
  <c r="AA27" i="13"/>
  <c r="U27" i="13"/>
  <c r="T27" i="13"/>
  <c r="S27" i="13"/>
  <c r="R27" i="13"/>
  <c r="P27" i="13"/>
  <c r="O27" i="13"/>
  <c r="L27" i="13"/>
  <c r="K27" i="13"/>
  <c r="J27" i="13"/>
  <c r="I27" i="13"/>
  <c r="H27" i="13"/>
  <c r="E27" i="13"/>
  <c r="U26" i="13"/>
  <c r="T26" i="13"/>
  <c r="S26" i="13"/>
  <c r="R26" i="13"/>
  <c r="P26" i="13"/>
  <c r="O26" i="13"/>
  <c r="L26" i="13"/>
  <c r="K26" i="13"/>
  <c r="J26" i="13"/>
  <c r="I26" i="13"/>
  <c r="H26" i="13"/>
  <c r="E26" i="13"/>
  <c r="R25" i="13"/>
  <c r="O25" i="13"/>
  <c r="I25" i="13"/>
  <c r="H25" i="13"/>
  <c r="E25" i="13"/>
  <c r="U24" i="13"/>
  <c r="T24" i="13"/>
  <c r="S24" i="13"/>
  <c r="R24" i="13"/>
  <c r="P24" i="13"/>
  <c r="O24" i="13"/>
  <c r="L24" i="13"/>
  <c r="K24" i="13"/>
  <c r="J24" i="13"/>
  <c r="I24" i="13"/>
  <c r="H24" i="13"/>
  <c r="E24" i="13"/>
  <c r="U23" i="13"/>
  <c r="T23" i="13"/>
  <c r="S23" i="13"/>
  <c r="R23" i="13"/>
  <c r="P23" i="13"/>
  <c r="O23" i="13"/>
  <c r="L23" i="13"/>
  <c r="K23" i="13"/>
  <c r="J23" i="13"/>
  <c r="I23" i="13"/>
  <c r="H23" i="13"/>
  <c r="E23" i="13"/>
  <c r="U22" i="13"/>
  <c r="T22" i="13"/>
  <c r="S22" i="13"/>
  <c r="R22" i="13"/>
  <c r="P22" i="13"/>
  <c r="O22" i="13"/>
  <c r="L22" i="13"/>
  <c r="K22" i="13"/>
  <c r="J22" i="13"/>
  <c r="I22" i="13"/>
  <c r="H22" i="13"/>
  <c r="E22" i="13"/>
  <c r="U21" i="13"/>
  <c r="T21" i="13"/>
  <c r="S21" i="13"/>
  <c r="R21" i="13"/>
  <c r="P21" i="13"/>
  <c r="O21" i="13"/>
  <c r="L21" i="13"/>
  <c r="K21" i="13"/>
  <c r="J21" i="13"/>
  <c r="I21" i="13"/>
  <c r="H21" i="13"/>
  <c r="E21" i="13"/>
  <c r="U20" i="13"/>
  <c r="T20" i="13"/>
  <c r="S20" i="13"/>
  <c r="R20" i="13"/>
  <c r="P20" i="13"/>
  <c r="O20" i="13"/>
  <c r="L20" i="13"/>
  <c r="K20" i="13"/>
  <c r="J20" i="13"/>
  <c r="I20" i="13"/>
  <c r="H20" i="13"/>
  <c r="E20" i="13"/>
  <c r="U19" i="13"/>
  <c r="T19" i="13"/>
  <c r="S19" i="13"/>
  <c r="R19" i="13"/>
  <c r="P19" i="13"/>
  <c r="O19" i="13"/>
  <c r="L19" i="13"/>
  <c r="K19" i="13"/>
  <c r="J19" i="13"/>
  <c r="I19" i="13"/>
  <c r="H19" i="13"/>
  <c r="E19" i="13"/>
  <c r="U18" i="13"/>
  <c r="T18" i="13"/>
  <c r="S18" i="13"/>
  <c r="R18" i="13"/>
  <c r="P18" i="13"/>
  <c r="O18" i="13"/>
  <c r="L18" i="13"/>
  <c r="K18" i="13"/>
  <c r="J18" i="13"/>
  <c r="I18" i="13"/>
  <c r="H18" i="13"/>
  <c r="E18" i="13"/>
  <c r="U17" i="13"/>
  <c r="T17" i="13"/>
  <c r="S17" i="13"/>
  <c r="R17" i="13"/>
  <c r="P17" i="13"/>
  <c r="O17" i="13"/>
  <c r="L17" i="13"/>
  <c r="K17" i="13"/>
  <c r="J17" i="13"/>
  <c r="I17" i="13"/>
  <c r="H17" i="13"/>
  <c r="E17" i="13"/>
  <c r="U16" i="13"/>
  <c r="T16" i="13"/>
  <c r="S16" i="13"/>
  <c r="R16" i="13"/>
  <c r="P16" i="13"/>
  <c r="O16" i="13"/>
  <c r="L16" i="13"/>
  <c r="K16" i="13"/>
  <c r="J16" i="13"/>
  <c r="I16" i="13"/>
  <c r="H16" i="13"/>
  <c r="E16" i="13"/>
  <c r="U15" i="13"/>
  <c r="T15" i="13"/>
  <c r="S15" i="13"/>
  <c r="R15" i="13"/>
  <c r="P15" i="13"/>
  <c r="O15" i="13"/>
  <c r="L15" i="13"/>
  <c r="K15" i="13"/>
  <c r="J15" i="13"/>
  <c r="I15" i="13"/>
  <c r="H15" i="13"/>
  <c r="E15" i="13"/>
  <c r="R14" i="13"/>
  <c r="O14" i="13"/>
  <c r="I14" i="13"/>
  <c r="H14" i="13"/>
  <c r="E14" i="13"/>
  <c r="U13" i="13"/>
  <c r="T13" i="13"/>
  <c r="S13" i="13"/>
  <c r="R13" i="13"/>
  <c r="P13" i="13"/>
  <c r="O13" i="13"/>
  <c r="L13" i="13"/>
  <c r="K13" i="13"/>
  <c r="J13" i="13"/>
  <c r="I13" i="13"/>
  <c r="H13" i="13"/>
  <c r="E13" i="13"/>
  <c r="U12" i="13"/>
  <c r="T12" i="13"/>
  <c r="S12" i="13"/>
  <c r="R12" i="13"/>
  <c r="P12" i="13"/>
  <c r="O12" i="13"/>
  <c r="L12" i="13"/>
  <c r="K12" i="13"/>
  <c r="J12" i="13"/>
  <c r="I12" i="13"/>
  <c r="H12" i="13"/>
  <c r="E12" i="13"/>
  <c r="U11" i="13"/>
  <c r="T11" i="13"/>
  <c r="S11" i="13"/>
  <c r="R11" i="13"/>
  <c r="P11" i="13"/>
  <c r="O11" i="13"/>
  <c r="L11" i="13"/>
  <c r="K11" i="13"/>
  <c r="J11" i="13"/>
  <c r="I11" i="13"/>
  <c r="H11" i="13"/>
  <c r="E11" i="13"/>
  <c r="T10" i="13"/>
  <c r="S10" i="13"/>
  <c r="R10" i="13"/>
  <c r="P10" i="13"/>
  <c r="O10" i="13"/>
  <c r="L10" i="13"/>
  <c r="K10" i="13"/>
  <c r="J10" i="13"/>
  <c r="I10" i="13"/>
  <c r="H10" i="13"/>
  <c r="E10" i="13"/>
  <c r="U9" i="13"/>
  <c r="T9" i="13"/>
  <c r="S9" i="13"/>
  <c r="R9" i="13"/>
  <c r="P9" i="13"/>
  <c r="O9" i="13"/>
  <c r="L9" i="13"/>
  <c r="K9" i="13"/>
  <c r="J9" i="13"/>
  <c r="I9" i="13"/>
  <c r="H9" i="13"/>
  <c r="E9" i="13"/>
  <c r="U8" i="13"/>
  <c r="T8" i="13"/>
  <c r="S8" i="13"/>
  <c r="R8" i="13"/>
  <c r="P8" i="13"/>
  <c r="O8" i="13"/>
  <c r="L8" i="13"/>
  <c r="K8" i="13"/>
  <c r="J8" i="13"/>
  <c r="I8" i="13"/>
  <c r="H8" i="13"/>
  <c r="E8" i="13"/>
  <c r="U7" i="13"/>
  <c r="T7" i="13"/>
  <c r="S7" i="13"/>
  <c r="R7" i="13"/>
  <c r="P7" i="13"/>
  <c r="O7" i="13"/>
  <c r="L7" i="13"/>
  <c r="K7" i="13"/>
  <c r="J7" i="13"/>
  <c r="I7" i="13"/>
  <c r="H7" i="13"/>
  <c r="E7" i="13"/>
  <c r="U6" i="13"/>
  <c r="T6" i="13"/>
  <c r="S6" i="13"/>
  <c r="R6" i="13"/>
  <c r="P6" i="13"/>
  <c r="O6" i="13"/>
  <c r="L6" i="13"/>
  <c r="K6" i="13"/>
  <c r="J6" i="13"/>
  <c r="I6" i="13"/>
  <c r="H6" i="13"/>
  <c r="E6" i="13"/>
  <c r="U5" i="13"/>
  <c r="T5" i="13"/>
  <c r="S5" i="13"/>
  <c r="R5" i="13"/>
  <c r="P5" i="13"/>
  <c r="O5" i="13"/>
  <c r="L5" i="13"/>
  <c r="K5" i="13"/>
  <c r="J5" i="13"/>
  <c r="I5" i="13"/>
  <c r="H5" i="13"/>
  <c r="E5" i="13"/>
  <c r="U4" i="13"/>
  <c r="T4" i="13"/>
  <c r="S4" i="13"/>
  <c r="R4" i="13"/>
  <c r="P4" i="13"/>
  <c r="O4" i="13"/>
  <c r="L4" i="13"/>
  <c r="K4" i="13"/>
  <c r="J4" i="13"/>
  <c r="I4" i="13"/>
  <c r="H4" i="13"/>
  <c r="E4" i="13"/>
  <c r="U3" i="13"/>
  <c r="T3" i="13"/>
  <c r="S3" i="13"/>
  <c r="R3" i="13"/>
  <c r="P3" i="13"/>
  <c r="O3" i="13"/>
  <c r="L3" i="13"/>
  <c r="K3" i="13"/>
  <c r="J3" i="13"/>
  <c r="I3" i="13"/>
  <c r="H3" i="13"/>
  <c r="E3" i="13"/>
  <c r="AE95" i="12"/>
  <c r="AD95" i="12"/>
  <c r="AC95" i="12"/>
  <c r="AB95" i="12"/>
  <c r="AA95" i="12"/>
  <c r="Z95" i="12"/>
  <c r="AE94" i="12"/>
  <c r="AD94" i="12"/>
  <c r="AC94" i="12"/>
  <c r="AB94" i="12"/>
  <c r="AA94" i="12"/>
  <c r="Z94" i="12"/>
  <c r="AE93" i="12"/>
  <c r="AD93" i="12"/>
  <c r="AC93" i="12"/>
  <c r="AB93" i="12"/>
  <c r="AA93" i="12"/>
  <c r="Z93" i="12"/>
  <c r="AE92" i="12"/>
  <c r="AB92" i="12"/>
  <c r="AA92" i="12"/>
  <c r="AE91" i="12"/>
  <c r="AC91" i="12"/>
  <c r="AB91" i="12"/>
  <c r="AA91" i="12"/>
  <c r="AE90" i="12"/>
  <c r="AC90" i="12"/>
  <c r="AB90" i="12"/>
  <c r="AE89" i="12"/>
  <c r="AB89" i="12"/>
  <c r="AA89" i="12"/>
  <c r="AM88" i="12"/>
  <c r="AL88" i="12"/>
  <c r="AK88" i="12"/>
  <c r="AJ88" i="12"/>
  <c r="AI88" i="12"/>
  <c r="AH88" i="12"/>
  <c r="AE88" i="12"/>
  <c r="AC88" i="12"/>
  <c r="AB88" i="12"/>
  <c r="AA88" i="12"/>
  <c r="AM87" i="12"/>
  <c r="AL87" i="12"/>
  <c r="AK87" i="12"/>
  <c r="AJ87" i="12"/>
  <c r="AI87" i="12"/>
  <c r="AH87" i="12"/>
  <c r="AE87" i="12"/>
  <c r="AD87" i="12"/>
  <c r="AC87" i="12"/>
  <c r="AB87" i="12"/>
  <c r="AM86" i="12"/>
  <c r="AL86" i="12"/>
  <c r="AK86" i="12"/>
  <c r="AJ86" i="12"/>
  <c r="AI86" i="12"/>
  <c r="AH86" i="12"/>
  <c r="AE86" i="12"/>
  <c r="AC86" i="12"/>
  <c r="AB86" i="12"/>
  <c r="AA86" i="12"/>
  <c r="AM85" i="12"/>
  <c r="AL85" i="12"/>
  <c r="AK85" i="12"/>
  <c r="AJ85" i="12"/>
  <c r="AI85" i="12"/>
  <c r="AH85" i="12"/>
  <c r="AE85" i="12"/>
  <c r="AC85" i="12"/>
  <c r="AB85" i="12"/>
  <c r="AM84" i="12"/>
  <c r="AL84" i="12"/>
  <c r="AK84" i="12"/>
  <c r="AJ84" i="12"/>
  <c r="AI84" i="12"/>
  <c r="AH84" i="12"/>
  <c r="AE84" i="12"/>
  <c r="AC84" i="12"/>
  <c r="AB84" i="12"/>
  <c r="AA84" i="12"/>
  <c r="AM83" i="12"/>
  <c r="AL83" i="12"/>
  <c r="AK83" i="12"/>
  <c r="AJ83" i="12"/>
  <c r="AI83" i="12"/>
  <c r="AH83" i="12"/>
  <c r="AE83" i="12"/>
  <c r="AD83" i="12"/>
  <c r="AB83" i="12"/>
  <c r="AM82" i="12"/>
  <c r="AL82" i="12"/>
  <c r="AK82" i="12"/>
  <c r="AJ82" i="12"/>
  <c r="AI82" i="12"/>
  <c r="AH82" i="12"/>
  <c r="AE82" i="12"/>
  <c r="AD82" i="12"/>
  <c r="AB82" i="12"/>
  <c r="AA82" i="12"/>
  <c r="AM81" i="12"/>
  <c r="AL81" i="12"/>
  <c r="AK81" i="12"/>
  <c r="AJ81" i="12"/>
  <c r="AI81" i="12"/>
  <c r="AH81" i="12"/>
  <c r="AE81" i="12"/>
  <c r="AC81" i="12"/>
  <c r="AB81" i="12"/>
  <c r="AA81" i="12"/>
  <c r="AM80" i="12"/>
  <c r="AL80" i="12"/>
  <c r="AK80" i="12"/>
  <c r="AJ80" i="12"/>
  <c r="AI80" i="12"/>
  <c r="AH80" i="12"/>
  <c r="AM79" i="12"/>
  <c r="AL79" i="12"/>
  <c r="AK79" i="12"/>
  <c r="AJ79" i="12"/>
  <c r="AI79" i="12"/>
  <c r="AH79" i="12"/>
  <c r="AM78" i="12"/>
  <c r="AL78" i="12"/>
  <c r="AK78" i="12"/>
  <c r="AJ78" i="12"/>
  <c r="AI78" i="12"/>
  <c r="AH78" i="12"/>
  <c r="AM77" i="12"/>
  <c r="AL77" i="12"/>
  <c r="AK77" i="12"/>
  <c r="AJ77" i="12"/>
  <c r="AI77" i="12"/>
  <c r="AH77" i="12"/>
  <c r="AM76" i="12"/>
  <c r="AL76" i="12"/>
  <c r="AK76" i="12"/>
  <c r="AJ76" i="12"/>
  <c r="AI76" i="12"/>
  <c r="AH76" i="12"/>
  <c r="AM75" i="12"/>
  <c r="AL75" i="12"/>
  <c r="AK75" i="12"/>
  <c r="AJ75" i="12"/>
  <c r="AI75" i="12"/>
  <c r="AH75" i="12"/>
  <c r="AE75" i="12"/>
  <c r="AD75" i="12"/>
  <c r="AC75" i="12"/>
  <c r="AB75" i="12"/>
  <c r="AA75" i="12"/>
  <c r="Z75" i="12"/>
  <c r="AM74" i="12"/>
  <c r="AL74" i="12"/>
  <c r="AK74" i="12"/>
  <c r="AJ74" i="12"/>
  <c r="AI74" i="12"/>
  <c r="AH74" i="12"/>
  <c r="AE74" i="12"/>
  <c r="AD74" i="12"/>
  <c r="AC74" i="12"/>
  <c r="AB74" i="12"/>
  <c r="AA74" i="12"/>
  <c r="Z74" i="12"/>
  <c r="AE73" i="12"/>
  <c r="AD73" i="12"/>
  <c r="AC73" i="12"/>
  <c r="AB73" i="12"/>
  <c r="AA73" i="12"/>
  <c r="Z73" i="12"/>
  <c r="AE72" i="12"/>
  <c r="AE71" i="12"/>
  <c r="AE70" i="12"/>
  <c r="AE69" i="12"/>
  <c r="AE68" i="12"/>
  <c r="AE67" i="12"/>
  <c r="AE66" i="12"/>
  <c r="AE65" i="12"/>
  <c r="AE64" i="12"/>
  <c r="AE63" i="12"/>
  <c r="AE62" i="12"/>
  <c r="AE61" i="12"/>
  <c r="U56" i="12"/>
  <c r="T56" i="12"/>
  <c r="S56" i="12"/>
  <c r="R56" i="12"/>
  <c r="P56" i="12"/>
  <c r="O56" i="12"/>
  <c r="L56" i="12"/>
  <c r="K56" i="12"/>
  <c r="J56" i="12"/>
  <c r="I56" i="12"/>
  <c r="H56" i="12"/>
  <c r="E56" i="12"/>
  <c r="U55" i="12"/>
  <c r="T55" i="12"/>
  <c r="S55" i="12"/>
  <c r="R55" i="12"/>
  <c r="P55" i="12"/>
  <c r="O55" i="12"/>
  <c r="L55" i="12"/>
  <c r="K55" i="12"/>
  <c r="J55" i="12"/>
  <c r="I55" i="12"/>
  <c r="H55" i="12"/>
  <c r="E55" i="12"/>
  <c r="U54" i="12"/>
  <c r="T54" i="12"/>
  <c r="S54" i="12"/>
  <c r="R54" i="12"/>
  <c r="P54" i="12"/>
  <c r="O54" i="12"/>
  <c r="L54" i="12"/>
  <c r="K54" i="12"/>
  <c r="J54" i="12"/>
  <c r="I54" i="12"/>
  <c r="H54" i="12"/>
  <c r="E54" i="12"/>
  <c r="U53" i="12"/>
  <c r="T53" i="12"/>
  <c r="S53" i="12"/>
  <c r="R53" i="12"/>
  <c r="P53" i="12"/>
  <c r="O53" i="12"/>
  <c r="L53" i="12"/>
  <c r="K53" i="12"/>
  <c r="J53" i="12"/>
  <c r="I53" i="12"/>
  <c r="H53" i="12"/>
  <c r="E53" i="12"/>
  <c r="U52" i="12"/>
  <c r="T52" i="12"/>
  <c r="S52" i="12"/>
  <c r="R52" i="12"/>
  <c r="P52" i="12"/>
  <c r="O52" i="12"/>
  <c r="L52" i="12"/>
  <c r="K52" i="12"/>
  <c r="J52" i="12"/>
  <c r="I52" i="12"/>
  <c r="H52" i="12"/>
  <c r="E52" i="12"/>
  <c r="U51" i="12"/>
  <c r="T51" i="12"/>
  <c r="S51" i="12"/>
  <c r="R51" i="12"/>
  <c r="P51" i="12"/>
  <c r="O51" i="12"/>
  <c r="L51" i="12"/>
  <c r="K51" i="12"/>
  <c r="J51" i="12"/>
  <c r="I51" i="12"/>
  <c r="H51" i="12"/>
  <c r="E51" i="12"/>
  <c r="U50" i="12"/>
  <c r="T50" i="12"/>
  <c r="S50" i="12"/>
  <c r="R50" i="12"/>
  <c r="P50" i="12"/>
  <c r="O50" i="12"/>
  <c r="L50" i="12"/>
  <c r="K50" i="12"/>
  <c r="J50" i="12"/>
  <c r="I50" i="12"/>
  <c r="H50" i="12"/>
  <c r="E50" i="12"/>
  <c r="U49" i="12"/>
  <c r="T49" i="12"/>
  <c r="S49" i="12"/>
  <c r="R49" i="12"/>
  <c r="P49" i="12"/>
  <c r="O49" i="12"/>
  <c r="L49" i="12"/>
  <c r="K49" i="12"/>
  <c r="J49" i="12"/>
  <c r="I49" i="12"/>
  <c r="H49" i="12"/>
  <c r="E49" i="12"/>
  <c r="U48" i="12"/>
  <c r="T48" i="12"/>
  <c r="S48" i="12"/>
  <c r="R48" i="12"/>
  <c r="P48" i="12"/>
  <c r="O48" i="12"/>
  <c r="L48" i="12"/>
  <c r="K48" i="12"/>
  <c r="J48" i="12"/>
  <c r="I48" i="12"/>
  <c r="H48" i="12"/>
  <c r="E48" i="12"/>
  <c r="U47" i="12"/>
  <c r="T47" i="12"/>
  <c r="S47" i="12"/>
  <c r="R47" i="12"/>
  <c r="P47" i="12"/>
  <c r="O47" i="12"/>
  <c r="L47" i="12"/>
  <c r="K47" i="12"/>
  <c r="J47" i="12"/>
  <c r="I47" i="12"/>
  <c r="H47" i="12"/>
  <c r="E47" i="12"/>
  <c r="U46" i="12"/>
  <c r="T46" i="12"/>
  <c r="S46" i="12"/>
  <c r="R46" i="12"/>
  <c r="P46" i="12"/>
  <c r="O46" i="12"/>
  <c r="L46" i="12"/>
  <c r="K46" i="12"/>
  <c r="J46" i="12"/>
  <c r="I46" i="12"/>
  <c r="H46" i="12"/>
  <c r="E46" i="12"/>
  <c r="U45" i="12"/>
  <c r="T45" i="12"/>
  <c r="S45" i="12"/>
  <c r="R45" i="12"/>
  <c r="P45" i="12"/>
  <c r="O45" i="12"/>
  <c r="L45" i="12"/>
  <c r="K45" i="12"/>
  <c r="J45" i="12"/>
  <c r="I45" i="12"/>
  <c r="H45" i="12"/>
  <c r="E45" i="12"/>
  <c r="U44" i="12"/>
  <c r="T44" i="12"/>
  <c r="S44" i="12"/>
  <c r="R44" i="12"/>
  <c r="P44" i="12"/>
  <c r="O44" i="12"/>
  <c r="L44" i="12"/>
  <c r="K44" i="12"/>
  <c r="J44" i="12"/>
  <c r="I44" i="12"/>
  <c r="H44" i="12"/>
  <c r="E44" i="12"/>
  <c r="U43" i="12"/>
  <c r="T43" i="12"/>
  <c r="S43" i="12"/>
  <c r="R43" i="12"/>
  <c r="P43" i="12"/>
  <c r="O43" i="12"/>
  <c r="L43" i="12"/>
  <c r="K43" i="12"/>
  <c r="J43" i="12"/>
  <c r="I43" i="12"/>
  <c r="H43" i="12"/>
  <c r="E43" i="12"/>
  <c r="U42" i="12"/>
  <c r="T42" i="12"/>
  <c r="S42" i="12"/>
  <c r="R42" i="12"/>
  <c r="P42" i="12"/>
  <c r="O42" i="12"/>
  <c r="L42" i="12"/>
  <c r="K42" i="12"/>
  <c r="J42" i="12"/>
  <c r="I42" i="12"/>
  <c r="H42" i="12"/>
  <c r="E42" i="12"/>
  <c r="U41" i="12"/>
  <c r="T41" i="12"/>
  <c r="S41" i="12"/>
  <c r="R41" i="12"/>
  <c r="P41" i="12"/>
  <c r="O41" i="12"/>
  <c r="L41" i="12"/>
  <c r="K41" i="12"/>
  <c r="J41" i="12"/>
  <c r="I41" i="12"/>
  <c r="H41" i="12"/>
  <c r="E41" i="12"/>
  <c r="U40" i="12"/>
  <c r="T40" i="12"/>
  <c r="S40" i="12"/>
  <c r="R40" i="12"/>
  <c r="P40" i="12"/>
  <c r="O40" i="12"/>
  <c r="L40" i="12"/>
  <c r="K40" i="12"/>
  <c r="J40" i="12"/>
  <c r="I40" i="12"/>
  <c r="H40" i="12"/>
  <c r="E40" i="12"/>
  <c r="U39" i="12"/>
  <c r="T39" i="12"/>
  <c r="S39" i="12"/>
  <c r="R39" i="12"/>
  <c r="P39" i="12"/>
  <c r="O39" i="12"/>
  <c r="L39" i="12"/>
  <c r="K39" i="12"/>
  <c r="J39" i="12"/>
  <c r="I39" i="12"/>
  <c r="H39" i="12"/>
  <c r="E39" i="12"/>
  <c r="U38" i="12"/>
  <c r="T38" i="12"/>
  <c r="S38" i="12"/>
  <c r="R38" i="12"/>
  <c r="P38" i="12"/>
  <c r="O38" i="12"/>
  <c r="L38" i="12"/>
  <c r="K38" i="12"/>
  <c r="J38" i="12"/>
  <c r="I38" i="12"/>
  <c r="H38" i="12"/>
  <c r="E38" i="12"/>
  <c r="U37" i="12"/>
  <c r="T37" i="12"/>
  <c r="S37" i="12"/>
  <c r="R37" i="12"/>
  <c r="P37" i="12"/>
  <c r="O37" i="12"/>
  <c r="L37" i="12"/>
  <c r="K37" i="12"/>
  <c r="J37" i="12"/>
  <c r="I37" i="12"/>
  <c r="H37" i="12"/>
  <c r="E37" i="12"/>
  <c r="U36" i="12"/>
  <c r="T36" i="12"/>
  <c r="S36" i="12"/>
  <c r="R36" i="12"/>
  <c r="P36" i="12"/>
  <c r="O36" i="12"/>
  <c r="L36" i="12"/>
  <c r="K36" i="12"/>
  <c r="J36" i="12"/>
  <c r="I36" i="12"/>
  <c r="H36" i="12"/>
  <c r="E36" i="12"/>
  <c r="U35" i="12"/>
  <c r="T35" i="12"/>
  <c r="S35" i="12"/>
  <c r="R35" i="12"/>
  <c r="P35" i="12"/>
  <c r="O35" i="12"/>
  <c r="L35" i="12"/>
  <c r="K35" i="12"/>
  <c r="J35" i="12"/>
  <c r="I35" i="12"/>
  <c r="H35" i="12"/>
  <c r="E35" i="12"/>
  <c r="U34" i="12"/>
  <c r="T34" i="12"/>
  <c r="S34" i="12"/>
  <c r="R34" i="12"/>
  <c r="P34" i="12"/>
  <c r="O34" i="12"/>
  <c r="L34" i="12"/>
  <c r="K34" i="12"/>
  <c r="J34" i="12"/>
  <c r="I34" i="12"/>
  <c r="H34" i="12"/>
  <c r="E34" i="12"/>
  <c r="Z33" i="12"/>
  <c r="U33" i="12"/>
  <c r="T33" i="12"/>
  <c r="S33" i="12"/>
  <c r="R33" i="12"/>
  <c r="P33" i="12"/>
  <c r="O33" i="12"/>
  <c r="L33" i="12"/>
  <c r="K33" i="12"/>
  <c r="J33" i="12"/>
  <c r="I33" i="12"/>
  <c r="H33" i="12"/>
  <c r="E33" i="12"/>
  <c r="U32" i="12"/>
  <c r="T32" i="12"/>
  <c r="S32" i="12"/>
  <c r="R32" i="12"/>
  <c r="P32" i="12"/>
  <c r="O32" i="12"/>
  <c r="L32" i="12"/>
  <c r="K32" i="12"/>
  <c r="J32" i="12"/>
  <c r="I32" i="12"/>
  <c r="H32" i="12"/>
  <c r="E32" i="12"/>
  <c r="U31" i="12"/>
  <c r="T31" i="12"/>
  <c r="S31" i="12"/>
  <c r="R31" i="12"/>
  <c r="P31" i="12"/>
  <c r="O31" i="12"/>
  <c r="L31" i="12"/>
  <c r="K31" i="12"/>
  <c r="J31" i="12"/>
  <c r="I31" i="12"/>
  <c r="H31" i="12"/>
  <c r="E31" i="12"/>
  <c r="U30" i="12"/>
  <c r="T30" i="12"/>
  <c r="S30" i="12"/>
  <c r="R30" i="12"/>
  <c r="P30" i="12"/>
  <c r="O30" i="12"/>
  <c r="L30" i="12"/>
  <c r="K30" i="12"/>
  <c r="J30" i="12"/>
  <c r="I30" i="12"/>
  <c r="H30" i="12"/>
  <c r="E30" i="12"/>
  <c r="U29" i="12"/>
  <c r="T29" i="12"/>
  <c r="S29" i="12"/>
  <c r="R29" i="12"/>
  <c r="P29" i="12"/>
  <c r="O29" i="12"/>
  <c r="L29" i="12"/>
  <c r="K29" i="12"/>
  <c r="J29" i="12"/>
  <c r="I29" i="12"/>
  <c r="H29" i="12"/>
  <c r="E29" i="12"/>
  <c r="AA28" i="12"/>
  <c r="U28" i="12"/>
  <c r="T28" i="12"/>
  <c r="S28" i="12"/>
  <c r="R28" i="12"/>
  <c r="P28" i="12"/>
  <c r="O28" i="12"/>
  <c r="L28" i="12"/>
  <c r="K28" i="12"/>
  <c r="J28" i="12"/>
  <c r="I28" i="12"/>
  <c r="H28" i="12"/>
  <c r="E28" i="12"/>
  <c r="AA27" i="12"/>
  <c r="U27" i="12"/>
  <c r="T27" i="12"/>
  <c r="S27" i="12"/>
  <c r="R27" i="12"/>
  <c r="P27" i="12"/>
  <c r="O27" i="12"/>
  <c r="L27" i="12"/>
  <c r="K27" i="12"/>
  <c r="J27" i="12"/>
  <c r="I27" i="12"/>
  <c r="H27" i="12"/>
  <c r="E27" i="12"/>
  <c r="U26" i="12"/>
  <c r="T26" i="12"/>
  <c r="S26" i="12"/>
  <c r="R26" i="12"/>
  <c r="P26" i="12"/>
  <c r="O26" i="12"/>
  <c r="L26" i="12"/>
  <c r="K26" i="12"/>
  <c r="J26" i="12"/>
  <c r="I26" i="12"/>
  <c r="H26" i="12"/>
  <c r="E26" i="12"/>
  <c r="R25" i="12"/>
  <c r="O25" i="12"/>
  <c r="I25" i="12"/>
  <c r="H25" i="12"/>
  <c r="E25" i="12"/>
  <c r="U24" i="12"/>
  <c r="T24" i="12"/>
  <c r="S24" i="12"/>
  <c r="R24" i="12"/>
  <c r="P24" i="12"/>
  <c r="O24" i="12"/>
  <c r="L24" i="12"/>
  <c r="K24" i="12"/>
  <c r="J24" i="12"/>
  <c r="I24" i="12"/>
  <c r="H24" i="12"/>
  <c r="E24" i="12"/>
  <c r="U23" i="12"/>
  <c r="T23" i="12"/>
  <c r="S23" i="12"/>
  <c r="R23" i="12"/>
  <c r="P23" i="12"/>
  <c r="O23" i="12"/>
  <c r="L23" i="12"/>
  <c r="K23" i="12"/>
  <c r="J23" i="12"/>
  <c r="I23" i="12"/>
  <c r="H23" i="12"/>
  <c r="E23" i="12"/>
  <c r="U22" i="12"/>
  <c r="T22" i="12"/>
  <c r="S22" i="12"/>
  <c r="R22" i="12"/>
  <c r="P22" i="12"/>
  <c r="O22" i="12"/>
  <c r="L22" i="12"/>
  <c r="K22" i="12"/>
  <c r="J22" i="12"/>
  <c r="I22" i="12"/>
  <c r="H22" i="12"/>
  <c r="E22" i="12"/>
  <c r="U21" i="12"/>
  <c r="T21" i="12"/>
  <c r="S21" i="12"/>
  <c r="R21" i="12"/>
  <c r="P21" i="12"/>
  <c r="O21" i="12"/>
  <c r="L21" i="12"/>
  <c r="K21" i="12"/>
  <c r="J21" i="12"/>
  <c r="I21" i="12"/>
  <c r="H21" i="12"/>
  <c r="E21" i="12"/>
  <c r="U20" i="12"/>
  <c r="T20" i="12"/>
  <c r="S20" i="12"/>
  <c r="R20" i="12"/>
  <c r="P20" i="12"/>
  <c r="O20" i="12"/>
  <c r="L20" i="12"/>
  <c r="K20" i="12"/>
  <c r="J20" i="12"/>
  <c r="I20" i="12"/>
  <c r="H20" i="12"/>
  <c r="E20" i="12"/>
  <c r="U19" i="12"/>
  <c r="T19" i="12"/>
  <c r="S19" i="12"/>
  <c r="R19" i="12"/>
  <c r="P19" i="12"/>
  <c r="O19" i="12"/>
  <c r="L19" i="12"/>
  <c r="K19" i="12"/>
  <c r="J19" i="12"/>
  <c r="I19" i="12"/>
  <c r="H19" i="12"/>
  <c r="E19" i="12"/>
  <c r="U18" i="12"/>
  <c r="T18" i="12"/>
  <c r="S18" i="12"/>
  <c r="R18" i="12"/>
  <c r="P18" i="12"/>
  <c r="O18" i="12"/>
  <c r="L18" i="12"/>
  <c r="K18" i="12"/>
  <c r="J18" i="12"/>
  <c r="I18" i="12"/>
  <c r="H18" i="12"/>
  <c r="E18" i="12"/>
  <c r="U17" i="12"/>
  <c r="T17" i="12"/>
  <c r="S17" i="12"/>
  <c r="R17" i="12"/>
  <c r="P17" i="12"/>
  <c r="O17" i="12"/>
  <c r="L17" i="12"/>
  <c r="K17" i="12"/>
  <c r="J17" i="12"/>
  <c r="I17" i="12"/>
  <c r="H17" i="12"/>
  <c r="E17" i="12"/>
  <c r="U16" i="12"/>
  <c r="T16" i="12"/>
  <c r="S16" i="12"/>
  <c r="R16" i="12"/>
  <c r="P16" i="12"/>
  <c r="O16" i="12"/>
  <c r="L16" i="12"/>
  <c r="K16" i="12"/>
  <c r="J16" i="12"/>
  <c r="I16" i="12"/>
  <c r="H16" i="12"/>
  <c r="E16" i="12"/>
  <c r="U15" i="12"/>
  <c r="T15" i="12"/>
  <c r="S15" i="12"/>
  <c r="R15" i="12"/>
  <c r="P15" i="12"/>
  <c r="O15" i="12"/>
  <c r="L15" i="12"/>
  <c r="K15" i="12"/>
  <c r="J15" i="12"/>
  <c r="I15" i="12"/>
  <c r="H15" i="12"/>
  <c r="E15" i="12"/>
  <c r="R14" i="12"/>
  <c r="O14" i="12"/>
  <c r="I14" i="12"/>
  <c r="H14" i="12"/>
  <c r="E14" i="12"/>
  <c r="U13" i="12"/>
  <c r="T13" i="12"/>
  <c r="S13" i="12"/>
  <c r="R13" i="12"/>
  <c r="P13" i="12"/>
  <c r="O13" i="12"/>
  <c r="L13" i="12"/>
  <c r="K13" i="12"/>
  <c r="J13" i="12"/>
  <c r="I13" i="12"/>
  <c r="H13" i="12"/>
  <c r="E13" i="12"/>
  <c r="U12" i="12"/>
  <c r="T12" i="12"/>
  <c r="S12" i="12"/>
  <c r="R12" i="12"/>
  <c r="P12" i="12"/>
  <c r="O12" i="12"/>
  <c r="L12" i="12"/>
  <c r="K12" i="12"/>
  <c r="J12" i="12"/>
  <c r="I12" i="12"/>
  <c r="H12" i="12"/>
  <c r="E12" i="12"/>
  <c r="U11" i="12"/>
  <c r="T11" i="12"/>
  <c r="S11" i="12"/>
  <c r="R11" i="12"/>
  <c r="P11" i="12"/>
  <c r="O11" i="12"/>
  <c r="L11" i="12"/>
  <c r="K11" i="12"/>
  <c r="J11" i="12"/>
  <c r="I11" i="12"/>
  <c r="H11" i="12"/>
  <c r="E11" i="12"/>
  <c r="T10" i="12"/>
  <c r="S10" i="12"/>
  <c r="R10" i="12"/>
  <c r="P10" i="12"/>
  <c r="O10" i="12"/>
  <c r="L10" i="12"/>
  <c r="K10" i="12"/>
  <c r="J10" i="12"/>
  <c r="I10" i="12"/>
  <c r="H10" i="12"/>
  <c r="E10" i="12"/>
  <c r="U9" i="12"/>
  <c r="T9" i="12"/>
  <c r="S9" i="12"/>
  <c r="R9" i="12"/>
  <c r="P9" i="12"/>
  <c r="O9" i="12"/>
  <c r="L9" i="12"/>
  <c r="K9" i="12"/>
  <c r="J9" i="12"/>
  <c r="I9" i="12"/>
  <c r="H9" i="12"/>
  <c r="E9" i="12"/>
  <c r="U8" i="12"/>
  <c r="T8" i="12"/>
  <c r="S8" i="12"/>
  <c r="R8" i="12"/>
  <c r="P8" i="12"/>
  <c r="O8" i="12"/>
  <c r="L8" i="12"/>
  <c r="K8" i="12"/>
  <c r="J8" i="12"/>
  <c r="I8" i="12"/>
  <c r="H8" i="12"/>
  <c r="E8" i="12"/>
  <c r="U7" i="12"/>
  <c r="T7" i="12"/>
  <c r="S7" i="12"/>
  <c r="R7" i="12"/>
  <c r="P7" i="12"/>
  <c r="O7" i="12"/>
  <c r="L7" i="12"/>
  <c r="K7" i="12"/>
  <c r="J7" i="12"/>
  <c r="I7" i="12"/>
  <c r="H7" i="12"/>
  <c r="E7" i="12"/>
  <c r="U6" i="12"/>
  <c r="T6" i="12"/>
  <c r="S6" i="12"/>
  <c r="R6" i="12"/>
  <c r="P6" i="12"/>
  <c r="O6" i="12"/>
  <c r="L6" i="12"/>
  <c r="K6" i="12"/>
  <c r="J6" i="12"/>
  <c r="I6" i="12"/>
  <c r="H6" i="12"/>
  <c r="E6" i="12"/>
  <c r="U5" i="12"/>
  <c r="T5" i="12"/>
  <c r="S5" i="12"/>
  <c r="R5" i="12"/>
  <c r="P5" i="12"/>
  <c r="O5" i="12"/>
  <c r="L5" i="12"/>
  <c r="K5" i="12"/>
  <c r="J5" i="12"/>
  <c r="I5" i="12"/>
  <c r="H5" i="12"/>
  <c r="E5" i="12"/>
  <c r="U4" i="12"/>
  <c r="T4" i="12"/>
  <c r="S4" i="12"/>
  <c r="R4" i="12"/>
  <c r="P4" i="12"/>
  <c r="O4" i="12"/>
  <c r="L4" i="12"/>
  <c r="K4" i="12"/>
  <c r="J4" i="12"/>
  <c r="I4" i="12"/>
  <c r="H4" i="12"/>
  <c r="E4" i="12"/>
  <c r="U3" i="12"/>
  <c r="T3" i="12"/>
  <c r="S3" i="12"/>
  <c r="R3" i="12"/>
  <c r="P3" i="12"/>
  <c r="O3" i="12"/>
  <c r="L3" i="12"/>
  <c r="K3" i="12"/>
  <c r="J3" i="12"/>
  <c r="I3" i="12"/>
  <c r="H3" i="12"/>
  <c r="E3" i="12"/>
  <c r="AE95" i="11"/>
  <c r="AD95" i="11"/>
  <c r="AC95" i="11"/>
  <c r="AB95" i="11"/>
  <c r="AA95" i="11"/>
  <c r="Z95" i="11"/>
  <c r="AE94" i="11"/>
  <c r="AD94" i="11"/>
  <c r="AC94" i="11"/>
  <c r="AB94" i="11"/>
  <c r="AA94" i="11"/>
  <c r="Z94" i="11"/>
  <c r="AE93" i="11"/>
  <c r="AD93" i="11"/>
  <c r="AC93" i="11"/>
  <c r="AB93" i="11"/>
  <c r="AA93" i="11"/>
  <c r="Z93" i="11"/>
  <c r="AE92" i="11"/>
  <c r="AB92" i="11"/>
  <c r="AA92" i="11"/>
  <c r="AE91" i="11"/>
  <c r="AC91" i="11"/>
  <c r="AB91" i="11"/>
  <c r="AA91" i="11"/>
  <c r="AE90" i="11"/>
  <c r="AC90" i="11"/>
  <c r="AB90" i="11"/>
  <c r="AE89" i="11"/>
  <c r="AB89" i="11"/>
  <c r="AA89" i="11"/>
  <c r="AM88" i="11"/>
  <c r="AL88" i="11"/>
  <c r="AK88" i="11"/>
  <c r="AJ88" i="11"/>
  <c r="AI88" i="11"/>
  <c r="AH88" i="11"/>
  <c r="AE88" i="11"/>
  <c r="AC88" i="11"/>
  <c r="AB88" i="11"/>
  <c r="AA88" i="11"/>
  <c r="AM87" i="11"/>
  <c r="AL87" i="11"/>
  <c r="AK87" i="11"/>
  <c r="AJ87" i="11"/>
  <c r="AI87" i="11"/>
  <c r="AH87" i="11"/>
  <c r="AE87" i="11"/>
  <c r="AD87" i="11"/>
  <c r="AC87" i="11"/>
  <c r="AB87" i="11"/>
  <c r="AM86" i="11"/>
  <c r="AL86" i="11"/>
  <c r="AK86" i="11"/>
  <c r="AJ86" i="11"/>
  <c r="AI86" i="11"/>
  <c r="AH86" i="11"/>
  <c r="AE86" i="11"/>
  <c r="AC86" i="11"/>
  <c r="AB86" i="11"/>
  <c r="AA86" i="11"/>
  <c r="AM85" i="11"/>
  <c r="AL85" i="11"/>
  <c r="AK85" i="11"/>
  <c r="AJ85" i="11"/>
  <c r="AI85" i="11"/>
  <c r="AH85" i="11"/>
  <c r="AE85" i="11"/>
  <c r="AC85" i="11"/>
  <c r="AB85" i="11"/>
  <c r="AM84" i="11"/>
  <c r="AL84" i="11"/>
  <c r="AK84" i="11"/>
  <c r="AJ84" i="11"/>
  <c r="AI84" i="11"/>
  <c r="AH84" i="11"/>
  <c r="AE84" i="11"/>
  <c r="AC84" i="11"/>
  <c r="AB84" i="11"/>
  <c r="AA84" i="11"/>
  <c r="AM83" i="11"/>
  <c r="AL83" i="11"/>
  <c r="AK83" i="11"/>
  <c r="AJ83" i="11"/>
  <c r="AI83" i="11"/>
  <c r="AH83" i="11"/>
  <c r="AE83" i="11"/>
  <c r="AD83" i="11"/>
  <c r="AB83" i="11"/>
  <c r="AM82" i="11"/>
  <c r="AL82" i="11"/>
  <c r="AK82" i="11"/>
  <c r="AJ82" i="11"/>
  <c r="AI82" i="11"/>
  <c r="AH82" i="11"/>
  <c r="AE82" i="11"/>
  <c r="AD82" i="11"/>
  <c r="AB82" i="11"/>
  <c r="AA82" i="11"/>
  <c r="AM81" i="11"/>
  <c r="AL81" i="11"/>
  <c r="AK81" i="11"/>
  <c r="AJ81" i="11"/>
  <c r="AI81" i="11"/>
  <c r="AH81" i="11"/>
  <c r="AE81" i="11"/>
  <c r="AC81" i="11"/>
  <c r="AB81" i="11"/>
  <c r="AA81" i="11"/>
  <c r="AM80" i="11"/>
  <c r="AL80" i="11"/>
  <c r="AK80" i="11"/>
  <c r="AJ80" i="11"/>
  <c r="AI80" i="11"/>
  <c r="AH80" i="11"/>
  <c r="AM79" i="11"/>
  <c r="AL79" i="11"/>
  <c r="AK79" i="11"/>
  <c r="AJ79" i="11"/>
  <c r="AI79" i="11"/>
  <c r="AH79" i="11"/>
  <c r="AM78" i="11"/>
  <c r="AL78" i="11"/>
  <c r="AK78" i="11"/>
  <c r="AJ78" i="11"/>
  <c r="AI78" i="11"/>
  <c r="AH78" i="11"/>
  <c r="AM77" i="11"/>
  <c r="AL77" i="11"/>
  <c r="AK77" i="11"/>
  <c r="AJ77" i="11"/>
  <c r="AI77" i="11"/>
  <c r="AH77" i="11"/>
  <c r="AM76" i="11"/>
  <c r="AL76" i="11"/>
  <c r="AK76" i="11"/>
  <c r="AJ76" i="11"/>
  <c r="AI76" i="11"/>
  <c r="AH76" i="11"/>
  <c r="AM75" i="11"/>
  <c r="AL75" i="11"/>
  <c r="AK75" i="11"/>
  <c r="AJ75" i="11"/>
  <c r="AI75" i="11"/>
  <c r="AH75" i="11"/>
  <c r="AE75" i="11"/>
  <c r="AD75" i="11"/>
  <c r="AC75" i="11"/>
  <c r="AB75" i="11"/>
  <c r="AA75" i="11"/>
  <c r="Z75" i="11"/>
  <c r="AM74" i="11"/>
  <c r="AL74" i="11"/>
  <c r="AK74" i="11"/>
  <c r="AJ74" i="11"/>
  <c r="AI74" i="11"/>
  <c r="AH74" i="11"/>
  <c r="AE74" i="11"/>
  <c r="AD74" i="11"/>
  <c r="AC74" i="11"/>
  <c r="AB74" i="11"/>
  <c r="AA74" i="11"/>
  <c r="Z74" i="11"/>
  <c r="AE73" i="11"/>
  <c r="AD73" i="11"/>
  <c r="AC73" i="11"/>
  <c r="AB73" i="11"/>
  <c r="AA73" i="11"/>
  <c r="Z73" i="11"/>
  <c r="AE72" i="11"/>
  <c r="AE71" i="11"/>
  <c r="AE70" i="11"/>
  <c r="AE69" i="11"/>
  <c r="AE68" i="11"/>
  <c r="AE67" i="11"/>
  <c r="AE66" i="11"/>
  <c r="AE65" i="11"/>
  <c r="AE64" i="11"/>
  <c r="AE63" i="11"/>
  <c r="AE62" i="11"/>
  <c r="AE61" i="11"/>
  <c r="U56" i="11"/>
  <c r="T56" i="11"/>
  <c r="S56" i="11"/>
  <c r="R56" i="11"/>
  <c r="P56" i="11"/>
  <c r="O56" i="11"/>
  <c r="L56" i="11"/>
  <c r="K56" i="11"/>
  <c r="J56" i="11"/>
  <c r="I56" i="11"/>
  <c r="H56" i="11"/>
  <c r="E56" i="11"/>
  <c r="U55" i="11"/>
  <c r="T55" i="11"/>
  <c r="S55" i="11"/>
  <c r="R55" i="11"/>
  <c r="P55" i="11"/>
  <c r="O55" i="11"/>
  <c r="L55" i="11"/>
  <c r="K55" i="11"/>
  <c r="J55" i="11"/>
  <c r="I55" i="11"/>
  <c r="H55" i="11"/>
  <c r="E55" i="11"/>
  <c r="U54" i="11"/>
  <c r="T54" i="11"/>
  <c r="S54" i="11"/>
  <c r="R54" i="11"/>
  <c r="P54" i="11"/>
  <c r="O54" i="11"/>
  <c r="L54" i="11"/>
  <c r="K54" i="11"/>
  <c r="J54" i="11"/>
  <c r="I54" i="11"/>
  <c r="H54" i="11"/>
  <c r="E54" i="11"/>
  <c r="U53" i="11"/>
  <c r="T53" i="11"/>
  <c r="S53" i="11"/>
  <c r="R53" i="11"/>
  <c r="P53" i="11"/>
  <c r="O53" i="11"/>
  <c r="L53" i="11"/>
  <c r="K53" i="11"/>
  <c r="J53" i="11"/>
  <c r="I53" i="11"/>
  <c r="H53" i="11"/>
  <c r="E53" i="11"/>
  <c r="U52" i="11"/>
  <c r="T52" i="11"/>
  <c r="S52" i="11"/>
  <c r="R52" i="11"/>
  <c r="P52" i="11"/>
  <c r="O52" i="11"/>
  <c r="L52" i="11"/>
  <c r="K52" i="11"/>
  <c r="J52" i="11"/>
  <c r="I52" i="11"/>
  <c r="H52" i="11"/>
  <c r="E52" i="11"/>
  <c r="U51" i="11"/>
  <c r="T51" i="11"/>
  <c r="S51" i="11"/>
  <c r="R51" i="11"/>
  <c r="P51" i="11"/>
  <c r="O51" i="11"/>
  <c r="L51" i="11"/>
  <c r="K51" i="11"/>
  <c r="J51" i="11"/>
  <c r="I51" i="11"/>
  <c r="H51" i="11"/>
  <c r="E51" i="11"/>
  <c r="U50" i="11"/>
  <c r="T50" i="11"/>
  <c r="S50" i="11"/>
  <c r="R50" i="11"/>
  <c r="P50" i="11"/>
  <c r="O50" i="11"/>
  <c r="L50" i="11"/>
  <c r="K50" i="11"/>
  <c r="J50" i="11"/>
  <c r="I50" i="11"/>
  <c r="H50" i="11"/>
  <c r="E50" i="11"/>
  <c r="U49" i="11"/>
  <c r="T49" i="11"/>
  <c r="S49" i="11"/>
  <c r="R49" i="11"/>
  <c r="P49" i="11"/>
  <c r="O49" i="11"/>
  <c r="L49" i="11"/>
  <c r="K49" i="11"/>
  <c r="J49" i="11"/>
  <c r="I49" i="11"/>
  <c r="H49" i="11"/>
  <c r="E49" i="11"/>
  <c r="U48" i="11"/>
  <c r="T48" i="11"/>
  <c r="S48" i="11"/>
  <c r="R48" i="11"/>
  <c r="P48" i="11"/>
  <c r="O48" i="11"/>
  <c r="L48" i="11"/>
  <c r="K48" i="11"/>
  <c r="J48" i="11"/>
  <c r="I48" i="11"/>
  <c r="H48" i="11"/>
  <c r="E48" i="11"/>
  <c r="U47" i="11"/>
  <c r="T47" i="11"/>
  <c r="S47" i="11"/>
  <c r="R47" i="11"/>
  <c r="P47" i="11"/>
  <c r="O47" i="11"/>
  <c r="L47" i="11"/>
  <c r="K47" i="11"/>
  <c r="J47" i="11"/>
  <c r="I47" i="11"/>
  <c r="H47" i="11"/>
  <c r="E47" i="11"/>
  <c r="U46" i="11"/>
  <c r="T46" i="11"/>
  <c r="S46" i="11"/>
  <c r="R46" i="11"/>
  <c r="P46" i="11"/>
  <c r="O46" i="11"/>
  <c r="L46" i="11"/>
  <c r="K46" i="11"/>
  <c r="J46" i="11"/>
  <c r="I46" i="11"/>
  <c r="H46" i="11"/>
  <c r="E46" i="11"/>
  <c r="U45" i="11"/>
  <c r="T45" i="11"/>
  <c r="S45" i="11"/>
  <c r="R45" i="11"/>
  <c r="P45" i="11"/>
  <c r="O45" i="11"/>
  <c r="L45" i="11"/>
  <c r="K45" i="11"/>
  <c r="J45" i="11"/>
  <c r="I45" i="11"/>
  <c r="H45" i="11"/>
  <c r="E45" i="11"/>
  <c r="U44" i="11"/>
  <c r="T44" i="11"/>
  <c r="S44" i="11"/>
  <c r="R44" i="11"/>
  <c r="P44" i="11"/>
  <c r="O44" i="11"/>
  <c r="L44" i="11"/>
  <c r="K44" i="11"/>
  <c r="J44" i="11"/>
  <c r="I44" i="11"/>
  <c r="H44" i="11"/>
  <c r="E44" i="11"/>
  <c r="U43" i="11"/>
  <c r="T43" i="11"/>
  <c r="S43" i="11"/>
  <c r="R43" i="11"/>
  <c r="P43" i="11"/>
  <c r="O43" i="11"/>
  <c r="L43" i="11"/>
  <c r="K43" i="11"/>
  <c r="J43" i="11"/>
  <c r="I43" i="11"/>
  <c r="H43" i="11"/>
  <c r="E43" i="11"/>
  <c r="U42" i="11"/>
  <c r="T42" i="11"/>
  <c r="S42" i="11"/>
  <c r="R42" i="11"/>
  <c r="P42" i="11"/>
  <c r="O42" i="11"/>
  <c r="L42" i="11"/>
  <c r="K42" i="11"/>
  <c r="J42" i="11"/>
  <c r="I42" i="11"/>
  <c r="H42" i="11"/>
  <c r="E42" i="11"/>
  <c r="U41" i="11"/>
  <c r="T41" i="11"/>
  <c r="S41" i="11"/>
  <c r="R41" i="11"/>
  <c r="P41" i="11"/>
  <c r="O41" i="11"/>
  <c r="L41" i="11"/>
  <c r="K41" i="11"/>
  <c r="J41" i="11"/>
  <c r="I41" i="11"/>
  <c r="H41" i="11"/>
  <c r="E41" i="11"/>
  <c r="U40" i="11"/>
  <c r="T40" i="11"/>
  <c r="S40" i="11"/>
  <c r="R40" i="11"/>
  <c r="P40" i="11"/>
  <c r="O40" i="11"/>
  <c r="L40" i="11"/>
  <c r="K40" i="11"/>
  <c r="J40" i="11"/>
  <c r="I40" i="11"/>
  <c r="H40" i="11"/>
  <c r="E40" i="11"/>
  <c r="U39" i="11"/>
  <c r="T39" i="11"/>
  <c r="S39" i="11"/>
  <c r="R39" i="11"/>
  <c r="P39" i="11"/>
  <c r="O39" i="11"/>
  <c r="L39" i="11"/>
  <c r="K39" i="11"/>
  <c r="J39" i="11"/>
  <c r="I39" i="11"/>
  <c r="H39" i="11"/>
  <c r="E39" i="11"/>
  <c r="U38" i="11"/>
  <c r="T38" i="11"/>
  <c r="S38" i="11"/>
  <c r="R38" i="11"/>
  <c r="P38" i="11"/>
  <c r="O38" i="11"/>
  <c r="L38" i="11"/>
  <c r="K38" i="11"/>
  <c r="J38" i="11"/>
  <c r="I38" i="11"/>
  <c r="H38" i="11"/>
  <c r="E38" i="11"/>
  <c r="U37" i="11"/>
  <c r="T37" i="11"/>
  <c r="S37" i="11"/>
  <c r="R37" i="11"/>
  <c r="P37" i="11"/>
  <c r="O37" i="11"/>
  <c r="L37" i="11"/>
  <c r="K37" i="11"/>
  <c r="J37" i="11"/>
  <c r="I37" i="11"/>
  <c r="H37" i="11"/>
  <c r="E37" i="11"/>
  <c r="U36" i="11"/>
  <c r="T36" i="11"/>
  <c r="S36" i="11"/>
  <c r="R36" i="11"/>
  <c r="P36" i="11"/>
  <c r="O36" i="11"/>
  <c r="L36" i="11"/>
  <c r="K36" i="11"/>
  <c r="J36" i="11"/>
  <c r="I36" i="11"/>
  <c r="H36" i="11"/>
  <c r="E36" i="11"/>
  <c r="U35" i="11"/>
  <c r="T35" i="11"/>
  <c r="S35" i="11"/>
  <c r="R35" i="11"/>
  <c r="P35" i="11"/>
  <c r="O35" i="11"/>
  <c r="L35" i="11"/>
  <c r="K35" i="11"/>
  <c r="J35" i="11"/>
  <c r="I35" i="11"/>
  <c r="H35" i="11"/>
  <c r="E35" i="11"/>
  <c r="U34" i="11"/>
  <c r="T34" i="11"/>
  <c r="S34" i="11"/>
  <c r="R34" i="11"/>
  <c r="P34" i="11"/>
  <c r="O34" i="11"/>
  <c r="L34" i="11"/>
  <c r="K34" i="11"/>
  <c r="J34" i="11"/>
  <c r="I34" i="11"/>
  <c r="H34" i="11"/>
  <c r="E34" i="11"/>
  <c r="Z33" i="11"/>
  <c r="U33" i="11"/>
  <c r="T33" i="11"/>
  <c r="S33" i="11"/>
  <c r="R33" i="11"/>
  <c r="P33" i="11"/>
  <c r="O33" i="11"/>
  <c r="L33" i="11"/>
  <c r="K33" i="11"/>
  <c r="J33" i="11"/>
  <c r="I33" i="11"/>
  <c r="H33" i="11"/>
  <c r="E33" i="11"/>
  <c r="U32" i="11"/>
  <c r="T32" i="11"/>
  <c r="S32" i="11"/>
  <c r="R32" i="11"/>
  <c r="P32" i="11"/>
  <c r="O32" i="11"/>
  <c r="L32" i="11"/>
  <c r="K32" i="11"/>
  <c r="J32" i="11"/>
  <c r="I32" i="11"/>
  <c r="H32" i="11"/>
  <c r="E32" i="11"/>
  <c r="U31" i="11"/>
  <c r="T31" i="11"/>
  <c r="S31" i="11"/>
  <c r="R31" i="11"/>
  <c r="P31" i="11"/>
  <c r="O31" i="11"/>
  <c r="L31" i="11"/>
  <c r="K31" i="11"/>
  <c r="J31" i="11"/>
  <c r="I31" i="11"/>
  <c r="H31" i="11"/>
  <c r="E31" i="11"/>
  <c r="U30" i="11"/>
  <c r="T30" i="11"/>
  <c r="S30" i="11"/>
  <c r="R30" i="11"/>
  <c r="P30" i="11"/>
  <c r="O30" i="11"/>
  <c r="L30" i="11"/>
  <c r="K30" i="11"/>
  <c r="J30" i="11"/>
  <c r="I30" i="11"/>
  <c r="H30" i="11"/>
  <c r="E30" i="11"/>
  <c r="U29" i="11"/>
  <c r="T29" i="11"/>
  <c r="S29" i="11"/>
  <c r="R29" i="11"/>
  <c r="P29" i="11"/>
  <c r="O29" i="11"/>
  <c r="L29" i="11"/>
  <c r="K29" i="11"/>
  <c r="J29" i="11"/>
  <c r="I29" i="11"/>
  <c r="H29" i="11"/>
  <c r="E29" i="11"/>
  <c r="AA28" i="11"/>
  <c r="U28" i="11"/>
  <c r="T28" i="11"/>
  <c r="S28" i="11"/>
  <c r="R28" i="11"/>
  <c r="P28" i="11"/>
  <c r="O28" i="11"/>
  <c r="L28" i="11"/>
  <c r="K28" i="11"/>
  <c r="J28" i="11"/>
  <c r="I28" i="11"/>
  <c r="H28" i="11"/>
  <c r="E28" i="11"/>
  <c r="AA27" i="11"/>
  <c r="U27" i="11"/>
  <c r="T27" i="11"/>
  <c r="S27" i="11"/>
  <c r="R27" i="11"/>
  <c r="P27" i="11"/>
  <c r="O27" i="11"/>
  <c r="L27" i="11"/>
  <c r="K27" i="11"/>
  <c r="J27" i="11"/>
  <c r="I27" i="11"/>
  <c r="H27" i="11"/>
  <c r="E27" i="11"/>
  <c r="U26" i="11"/>
  <c r="T26" i="11"/>
  <c r="S26" i="11"/>
  <c r="R26" i="11"/>
  <c r="P26" i="11"/>
  <c r="O26" i="11"/>
  <c r="L26" i="11"/>
  <c r="K26" i="11"/>
  <c r="J26" i="11"/>
  <c r="I26" i="11"/>
  <c r="H26" i="11"/>
  <c r="E26" i="11"/>
  <c r="R25" i="11"/>
  <c r="O25" i="11"/>
  <c r="I25" i="11"/>
  <c r="H25" i="11"/>
  <c r="E25" i="11"/>
  <c r="U24" i="11"/>
  <c r="T24" i="11"/>
  <c r="S24" i="11"/>
  <c r="R24" i="11"/>
  <c r="P24" i="11"/>
  <c r="O24" i="11"/>
  <c r="L24" i="11"/>
  <c r="K24" i="11"/>
  <c r="J24" i="11"/>
  <c r="I24" i="11"/>
  <c r="H24" i="11"/>
  <c r="E24" i="11"/>
  <c r="U23" i="11"/>
  <c r="T23" i="11"/>
  <c r="S23" i="11"/>
  <c r="R23" i="11"/>
  <c r="P23" i="11"/>
  <c r="O23" i="11"/>
  <c r="L23" i="11"/>
  <c r="K23" i="11"/>
  <c r="J23" i="11"/>
  <c r="I23" i="11"/>
  <c r="H23" i="11"/>
  <c r="E23" i="11"/>
  <c r="U22" i="11"/>
  <c r="T22" i="11"/>
  <c r="S22" i="11"/>
  <c r="R22" i="11"/>
  <c r="P22" i="11"/>
  <c r="O22" i="11"/>
  <c r="L22" i="11"/>
  <c r="K22" i="11"/>
  <c r="J22" i="11"/>
  <c r="I22" i="11"/>
  <c r="H22" i="11"/>
  <c r="E22" i="11"/>
  <c r="U21" i="11"/>
  <c r="T21" i="11"/>
  <c r="S21" i="11"/>
  <c r="R21" i="11"/>
  <c r="P21" i="11"/>
  <c r="O21" i="11"/>
  <c r="L21" i="11"/>
  <c r="K21" i="11"/>
  <c r="J21" i="11"/>
  <c r="I21" i="11"/>
  <c r="H21" i="11"/>
  <c r="E21" i="11"/>
  <c r="U20" i="11"/>
  <c r="T20" i="11"/>
  <c r="S20" i="11"/>
  <c r="R20" i="11"/>
  <c r="P20" i="11"/>
  <c r="O20" i="11"/>
  <c r="L20" i="11"/>
  <c r="K20" i="11"/>
  <c r="J20" i="11"/>
  <c r="I20" i="11"/>
  <c r="H20" i="11"/>
  <c r="E20" i="11"/>
  <c r="U19" i="11"/>
  <c r="T19" i="11"/>
  <c r="S19" i="11"/>
  <c r="R19" i="11"/>
  <c r="P19" i="11"/>
  <c r="O19" i="11"/>
  <c r="L19" i="11"/>
  <c r="K19" i="11"/>
  <c r="J19" i="11"/>
  <c r="I19" i="11"/>
  <c r="H19" i="11"/>
  <c r="E19" i="11"/>
  <c r="U18" i="11"/>
  <c r="T18" i="11"/>
  <c r="S18" i="11"/>
  <c r="R18" i="11"/>
  <c r="P18" i="11"/>
  <c r="O18" i="11"/>
  <c r="L18" i="11"/>
  <c r="K18" i="11"/>
  <c r="J18" i="11"/>
  <c r="I18" i="11"/>
  <c r="H18" i="11"/>
  <c r="E18" i="11"/>
  <c r="U17" i="11"/>
  <c r="T17" i="11"/>
  <c r="S17" i="11"/>
  <c r="R17" i="11"/>
  <c r="P17" i="11"/>
  <c r="O17" i="11"/>
  <c r="L17" i="11"/>
  <c r="K17" i="11"/>
  <c r="J17" i="11"/>
  <c r="I17" i="11"/>
  <c r="H17" i="11"/>
  <c r="E17" i="11"/>
  <c r="U16" i="11"/>
  <c r="T16" i="11"/>
  <c r="S16" i="11"/>
  <c r="R16" i="11"/>
  <c r="P16" i="11"/>
  <c r="O16" i="11"/>
  <c r="L16" i="11"/>
  <c r="K16" i="11"/>
  <c r="J16" i="11"/>
  <c r="I16" i="11"/>
  <c r="H16" i="11"/>
  <c r="E16" i="11"/>
  <c r="U15" i="11"/>
  <c r="T15" i="11"/>
  <c r="S15" i="11"/>
  <c r="R15" i="11"/>
  <c r="P15" i="11"/>
  <c r="O15" i="11"/>
  <c r="L15" i="11"/>
  <c r="K15" i="11"/>
  <c r="J15" i="11"/>
  <c r="I15" i="11"/>
  <c r="H15" i="11"/>
  <c r="E15" i="11"/>
  <c r="R14" i="11"/>
  <c r="O14" i="11"/>
  <c r="I14" i="11"/>
  <c r="H14" i="11"/>
  <c r="E14" i="11"/>
  <c r="U13" i="11"/>
  <c r="T13" i="11"/>
  <c r="S13" i="11"/>
  <c r="R13" i="11"/>
  <c r="P13" i="11"/>
  <c r="O13" i="11"/>
  <c r="L13" i="11"/>
  <c r="K13" i="11"/>
  <c r="J13" i="11"/>
  <c r="I13" i="11"/>
  <c r="H13" i="11"/>
  <c r="E13" i="11"/>
  <c r="U12" i="11"/>
  <c r="T12" i="11"/>
  <c r="S12" i="11"/>
  <c r="R12" i="11"/>
  <c r="P12" i="11"/>
  <c r="O12" i="11"/>
  <c r="L12" i="11"/>
  <c r="K12" i="11"/>
  <c r="J12" i="11"/>
  <c r="I12" i="11"/>
  <c r="H12" i="11"/>
  <c r="E12" i="11"/>
  <c r="U11" i="11"/>
  <c r="T11" i="11"/>
  <c r="S11" i="11"/>
  <c r="R11" i="11"/>
  <c r="P11" i="11"/>
  <c r="O11" i="11"/>
  <c r="L11" i="11"/>
  <c r="K11" i="11"/>
  <c r="J11" i="11"/>
  <c r="I11" i="11"/>
  <c r="H11" i="11"/>
  <c r="E11" i="11"/>
  <c r="T10" i="11"/>
  <c r="S10" i="11"/>
  <c r="R10" i="11"/>
  <c r="P10" i="11"/>
  <c r="O10" i="11"/>
  <c r="L10" i="11"/>
  <c r="K10" i="11"/>
  <c r="J10" i="11"/>
  <c r="I10" i="11"/>
  <c r="H10" i="11"/>
  <c r="E10" i="11"/>
  <c r="U9" i="11"/>
  <c r="T9" i="11"/>
  <c r="S9" i="11"/>
  <c r="R9" i="11"/>
  <c r="P9" i="11"/>
  <c r="O9" i="11"/>
  <c r="L9" i="11"/>
  <c r="K9" i="11"/>
  <c r="J9" i="11"/>
  <c r="I9" i="11"/>
  <c r="H9" i="11"/>
  <c r="E9" i="11"/>
  <c r="U8" i="11"/>
  <c r="T8" i="11"/>
  <c r="S8" i="11"/>
  <c r="R8" i="11"/>
  <c r="P8" i="11"/>
  <c r="O8" i="11"/>
  <c r="L8" i="11"/>
  <c r="K8" i="11"/>
  <c r="J8" i="11"/>
  <c r="I8" i="11"/>
  <c r="H8" i="11"/>
  <c r="E8" i="11"/>
  <c r="U7" i="11"/>
  <c r="T7" i="11"/>
  <c r="S7" i="11"/>
  <c r="R7" i="11"/>
  <c r="P7" i="11"/>
  <c r="O7" i="11"/>
  <c r="L7" i="11"/>
  <c r="K7" i="11"/>
  <c r="J7" i="11"/>
  <c r="I7" i="11"/>
  <c r="H7" i="11"/>
  <c r="E7" i="11"/>
  <c r="U6" i="11"/>
  <c r="T6" i="11"/>
  <c r="S6" i="11"/>
  <c r="R6" i="11"/>
  <c r="P6" i="11"/>
  <c r="O6" i="11"/>
  <c r="L6" i="11"/>
  <c r="K6" i="11"/>
  <c r="J6" i="11"/>
  <c r="I6" i="11"/>
  <c r="H6" i="11"/>
  <c r="E6" i="11"/>
  <c r="U5" i="11"/>
  <c r="T5" i="11"/>
  <c r="S5" i="11"/>
  <c r="R5" i="11"/>
  <c r="P5" i="11"/>
  <c r="O5" i="11"/>
  <c r="L5" i="11"/>
  <c r="K5" i="11"/>
  <c r="J5" i="11"/>
  <c r="I5" i="11"/>
  <c r="H5" i="11"/>
  <c r="E5" i="11"/>
  <c r="U4" i="11"/>
  <c r="T4" i="11"/>
  <c r="S4" i="11"/>
  <c r="R4" i="11"/>
  <c r="P4" i="11"/>
  <c r="O4" i="11"/>
  <c r="L4" i="11"/>
  <c r="K4" i="11"/>
  <c r="J4" i="11"/>
  <c r="I4" i="11"/>
  <c r="H4" i="11"/>
  <c r="E4" i="11"/>
  <c r="U3" i="11"/>
  <c r="T3" i="11"/>
  <c r="S3" i="11"/>
  <c r="R3" i="11"/>
  <c r="P3" i="11"/>
  <c r="O3" i="11"/>
  <c r="L3" i="11"/>
  <c r="K3" i="11"/>
  <c r="J3" i="11"/>
  <c r="I3" i="11"/>
  <c r="H3" i="11"/>
  <c r="E3" i="11"/>
  <c r="AE95" i="10"/>
  <c r="AD95" i="10"/>
  <c r="AC95" i="10"/>
  <c r="AB95" i="10"/>
  <c r="AA95" i="10"/>
  <c r="Z95" i="10"/>
  <c r="AE94" i="10"/>
  <c r="AD94" i="10"/>
  <c r="AC94" i="10"/>
  <c r="AB94" i="10"/>
  <c r="AA94" i="10"/>
  <c r="Z94" i="10"/>
  <c r="AE93" i="10"/>
  <c r="AD93" i="10"/>
  <c r="AC93" i="10"/>
  <c r="AB93" i="10"/>
  <c r="AA93" i="10"/>
  <c r="Z93" i="10"/>
  <c r="AE92" i="10"/>
  <c r="AB92" i="10"/>
  <c r="AA92" i="10"/>
  <c r="AE91" i="10"/>
  <c r="AC91" i="10"/>
  <c r="AB91" i="10"/>
  <c r="AA91" i="10"/>
  <c r="AE90" i="10"/>
  <c r="AC90" i="10"/>
  <c r="AB90" i="10"/>
  <c r="AE89" i="10"/>
  <c r="AB89" i="10"/>
  <c r="AA89" i="10"/>
  <c r="AM88" i="10"/>
  <c r="AL88" i="10"/>
  <c r="AK88" i="10"/>
  <c r="AJ88" i="10"/>
  <c r="AI88" i="10"/>
  <c r="AH88" i="10"/>
  <c r="AE88" i="10"/>
  <c r="AC88" i="10"/>
  <c r="AB88" i="10"/>
  <c r="AA88" i="10"/>
  <c r="AM87" i="10"/>
  <c r="AL87" i="10"/>
  <c r="AK87" i="10"/>
  <c r="AJ87" i="10"/>
  <c r="AI87" i="10"/>
  <c r="AH87" i="10"/>
  <c r="AE87" i="10"/>
  <c r="AD87" i="10"/>
  <c r="AC87" i="10"/>
  <c r="AB87" i="10"/>
  <c r="AM86" i="10"/>
  <c r="AL86" i="10"/>
  <c r="AK86" i="10"/>
  <c r="AJ86" i="10"/>
  <c r="AI86" i="10"/>
  <c r="AH86" i="10"/>
  <c r="AE86" i="10"/>
  <c r="AC86" i="10"/>
  <c r="AB86" i="10"/>
  <c r="AA86" i="10"/>
  <c r="AM85" i="10"/>
  <c r="AL85" i="10"/>
  <c r="AK85" i="10"/>
  <c r="AJ85" i="10"/>
  <c r="AI85" i="10"/>
  <c r="AH85" i="10"/>
  <c r="AE85" i="10"/>
  <c r="AC85" i="10"/>
  <c r="AB85" i="10"/>
  <c r="AM84" i="10"/>
  <c r="AL84" i="10"/>
  <c r="AK84" i="10"/>
  <c r="AJ84" i="10"/>
  <c r="AI84" i="10"/>
  <c r="AH84" i="10"/>
  <c r="AE84" i="10"/>
  <c r="AC84" i="10"/>
  <c r="AB84" i="10"/>
  <c r="AA84" i="10"/>
  <c r="AM83" i="10"/>
  <c r="AL83" i="10"/>
  <c r="AK83" i="10"/>
  <c r="AJ83" i="10"/>
  <c r="AI83" i="10"/>
  <c r="AH83" i="10"/>
  <c r="AE83" i="10"/>
  <c r="AD83" i="10"/>
  <c r="AB83" i="10"/>
  <c r="AM82" i="10"/>
  <c r="AL82" i="10"/>
  <c r="AK82" i="10"/>
  <c r="AJ82" i="10"/>
  <c r="AI82" i="10"/>
  <c r="AH82" i="10"/>
  <c r="AE82" i="10"/>
  <c r="AD82" i="10"/>
  <c r="AB82" i="10"/>
  <c r="AA82" i="10"/>
  <c r="AM81" i="10"/>
  <c r="AL81" i="10"/>
  <c r="AK81" i="10"/>
  <c r="AJ81" i="10"/>
  <c r="AI81" i="10"/>
  <c r="AH81" i="10"/>
  <c r="AE81" i="10"/>
  <c r="AC81" i="10"/>
  <c r="AB81" i="10"/>
  <c r="AA81" i="10"/>
  <c r="AM80" i="10"/>
  <c r="AL80" i="10"/>
  <c r="AK80" i="10"/>
  <c r="AJ80" i="10"/>
  <c r="AI80" i="10"/>
  <c r="AH80" i="10"/>
  <c r="AM79" i="10"/>
  <c r="AL79" i="10"/>
  <c r="AK79" i="10"/>
  <c r="AJ79" i="10"/>
  <c r="AI79" i="10"/>
  <c r="AH79" i="10"/>
  <c r="AM78" i="10"/>
  <c r="AL78" i="10"/>
  <c r="AK78" i="10"/>
  <c r="AJ78" i="10"/>
  <c r="AI78" i="10"/>
  <c r="AH78" i="10"/>
  <c r="AM77" i="10"/>
  <c r="AL77" i="10"/>
  <c r="AK77" i="10"/>
  <c r="AJ77" i="10"/>
  <c r="AI77" i="10"/>
  <c r="AH77" i="10"/>
  <c r="AM76" i="10"/>
  <c r="AL76" i="10"/>
  <c r="AK76" i="10"/>
  <c r="AJ76" i="10"/>
  <c r="AI76" i="10"/>
  <c r="AH76" i="10"/>
  <c r="AM75" i="10"/>
  <c r="AL75" i="10"/>
  <c r="AK75" i="10"/>
  <c r="AJ75" i="10"/>
  <c r="AI75" i="10"/>
  <c r="AH75" i="10"/>
  <c r="AE75" i="10"/>
  <c r="AD75" i="10"/>
  <c r="AC75" i="10"/>
  <c r="AB75" i="10"/>
  <c r="AA75" i="10"/>
  <c r="Z75" i="10"/>
  <c r="AM74" i="10"/>
  <c r="AL74" i="10"/>
  <c r="AK74" i="10"/>
  <c r="AJ74" i="10"/>
  <c r="AI74" i="10"/>
  <c r="AH74" i="10"/>
  <c r="AE74" i="10"/>
  <c r="AD74" i="10"/>
  <c r="AC74" i="10"/>
  <c r="AB74" i="10"/>
  <c r="AA74" i="10"/>
  <c r="Z74" i="10"/>
  <c r="AE73" i="10"/>
  <c r="AD73" i="10"/>
  <c r="AC73" i="10"/>
  <c r="AB73" i="10"/>
  <c r="AA73" i="10"/>
  <c r="Z73" i="10"/>
  <c r="AE72" i="10"/>
  <c r="AE71" i="10"/>
  <c r="AE70" i="10"/>
  <c r="AE69" i="10"/>
  <c r="AE68" i="10"/>
  <c r="AE67" i="10"/>
  <c r="AE66" i="10"/>
  <c r="AE65" i="10"/>
  <c r="AE64" i="10"/>
  <c r="AE63" i="10"/>
  <c r="AE62" i="10"/>
  <c r="AE61" i="10"/>
  <c r="U56" i="10"/>
  <c r="T56" i="10"/>
  <c r="S56" i="10"/>
  <c r="R56" i="10"/>
  <c r="P56" i="10"/>
  <c r="O56" i="10"/>
  <c r="L56" i="10"/>
  <c r="K56" i="10"/>
  <c r="J56" i="10"/>
  <c r="I56" i="10"/>
  <c r="H56" i="10"/>
  <c r="E56" i="10"/>
  <c r="U55" i="10"/>
  <c r="T55" i="10"/>
  <c r="S55" i="10"/>
  <c r="R55" i="10"/>
  <c r="P55" i="10"/>
  <c r="O55" i="10"/>
  <c r="L55" i="10"/>
  <c r="K55" i="10"/>
  <c r="J55" i="10"/>
  <c r="I55" i="10"/>
  <c r="H55" i="10"/>
  <c r="E55" i="10"/>
  <c r="U54" i="10"/>
  <c r="T54" i="10"/>
  <c r="S54" i="10"/>
  <c r="R54" i="10"/>
  <c r="P54" i="10"/>
  <c r="O54" i="10"/>
  <c r="L54" i="10"/>
  <c r="K54" i="10"/>
  <c r="J54" i="10"/>
  <c r="I54" i="10"/>
  <c r="H54" i="10"/>
  <c r="E54" i="10"/>
  <c r="U53" i="10"/>
  <c r="T53" i="10"/>
  <c r="S53" i="10"/>
  <c r="R53" i="10"/>
  <c r="P53" i="10"/>
  <c r="O53" i="10"/>
  <c r="L53" i="10"/>
  <c r="K53" i="10"/>
  <c r="J53" i="10"/>
  <c r="I53" i="10"/>
  <c r="H53" i="10"/>
  <c r="E53" i="10"/>
  <c r="U52" i="10"/>
  <c r="T52" i="10"/>
  <c r="S52" i="10"/>
  <c r="R52" i="10"/>
  <c r="P52" i="10"/>
  <c r="O52" i="10"/>
  <c r="L52" i="10"/>
  <c r="K52" i="10"/>
  <c r="J52" i="10"/>
  <c r="I52" i="10"/>
  <c r="H52" i="10"/>
  <c r="E52" i="10"/>
  <c r="U51" i="10"/>
  <c r="T51" i="10"/>
  <c r="S51" i="10"/>
  <c r="R51" i="10"/>
  <c r="P51" i="10"/>
  <c r="O51" i="10"/>
  <c r="L51" i="10"/>
  <c r="K51" i="10"/>
  <c r="J51" i="10"/>
  <c r="I51" i="10"/>
  <c r="H51" i="10"/>
  <c r="E51" i="10"/>
  <c r="U50" i="10"/>
  <c r="T50" i="10"/>
  <c r="S50" i="10"/>
  <c r="R50" i="10"/>
  <c r="P50" i="10"/>
  <c r="O50" i="10"/>
  <c r="L50" i="10"/>
  <c r="K50" i="10"/>
  <c r="J50" i="10"/>
  <c r="I50" i="10"/>
  <c r="H50" i="10"/>
  <c r="E50" i="10"/>
  <c r="U49" i="10"/>
  <c r="T49" i="10"/>
  <c r="S49" i="10"/>
  <c r="R49" i="10"/>
  <c r="P49" i="10"/>
  <c r="O49" i="10"/>
  <c r="L49" i="10"/>
  <c r="K49" i="10"/>
  <c r="J49" i="10"/>
  <c r="I49" i="10"/>
  <c r="H49" i="10"/>
  <c r="E49" i="10"/>
  <c r="U48" i="10"/>
  <c r="T48" i="10"/>
  <c r="S48" i="10"/>
  <c r="R48" i="10"/>
  <c r="P48" i="10"/>
  <c r="O48" i="10"/>
  <c r="L48" i="10"/>
  <c r="K48" i="10"/>
  <c r="J48" i="10"/>
  <c r="I48" i="10"/>
  <c r="H48" i="10"/>
  <c r="E48" i="10"/>
  <c r="U47" i="10"/>
  <c r="T47" i="10"/>
  <c r="S47" i="10"/>
  <c r="R47" i="10"/>
  <c r="P47" i="10"/>
  <c r="O47" i="10"/>
  <c r="L47" i="10"/>
  <c r="K47" i="10"/>
  <c r="J47" i="10"/>
  <c r="I47" i="10"/>
  <c r="H47" i="10"/>
  <c r="E47" i="10"/>
  <c r="U46" i="10"/>
  <c r="T46" i="10"/>
  <c r="S46" i="10"/>
  <c r="R46" i="10"/>
  <c r="P46" i="10"/>
  <c r="O46" i="10"/>
  <c r="L46" i="10"/>
  <c r="K46" i="10"/>
  <c r="J46" i="10"/>
  <c r="I46" i="10"/>
  <c r="H46" i="10"/>
  <c r="E46" i="10"/>
  <c r="U45" i="10"/>
  <c r="T45" i="10"/>
  <c r="S45" i="10"/>
  <c r="R45" i="10"/>
  <c r="P45" i="10"/>
  <c r="O45" i="10"/>
  <c r="L45" i="10"/>
  <c r="K45" i="10"/>
  <c r="J45" i="10"/>
  <c r="I45" i="10"/>
  <c r="H45" i="10"/>
  <c r="E45" i="10"/>
  <c r="U44" i="10"/>
  <c r="T44" i="10"/>
  <c r="S44" i="10"/>
  <c r="R44" i="10"/>
  <c r="P44" i="10"/>
  <c r="O44" i="10"/>
  <c r="L44" i="10"/>
  <c r="K44" i="10"/>
  <c r="J44" i="10"/>
  <c r="I44" i="10"/>
  <c r="H44" i="10"/>
  <c r="E44" i="10"/>
  <c r="U43" i="10"/>
  <c r="T43" i="10"/>
  <c r="S43" i="10"/>
  <c r="R43" i="10"/>
  <c r="P43" i="10"/>
  <c r="O43" i="10"/>
  <c r="L43" i="10"/>
  <c r="K43" i="10"/>
  <c r="J43" i="10"/>
  <c r="I43" i="10"/>
  <c r="H43" i="10"/>
  <c r="E43" i="10"/>
  <c r="U42" i="10"/>
  <c r="T42" i="10"/>
  <c r="S42" i="10"/>
  <c r="R42" i="10"/>
  <c r="P42" i="10"/>
  <c r="O42" i="10"/>
  <c r="L42" i="10"/>
  <c r="K42" i="10"/>
  <c r="J42" i="10"/>
  <c r="I42" i="10"/>
  <c r="H42" i="10"/>
  <c r="E42" i="10"/>
  <c r="U41" i="10"/>
  <c r="T41" i="10"/>
  <c r="S41" i="10"/>
  <c r="R41" i="10"/>
  <c r="P41" i="10"/>
  <c r="O41" i="10"/>
  <c r="L41" i="10"/>
  <c r="K41" i="10"/>
  <c r="J41" i="10"/>
  <c r="I41" i="10"/>
  <c r="H41" i="10"/>
  <c r="E41" i="10"/>
  <c r="U40" i="10"/>
  <c r="T40" i="10"/>
  <c r="S40" i="10"/>
  <c r="R40" i="10"/>
  <c r="P40" i="10"/>
  <c r="O40" i="10"/>
  <c r="L40" i="10"/>
  <c r="K40" i="10"/>
  <c r="J40" i="10"/>
  <c r="I40" i="10"/>
  <c r="H40" i="10"/>
  <c r="E40" i="10"/>
  <c r="U39" i="10"/>
  <c r="T39" i="10"/>
  <c r="S39" i="10"/>
  <c r="R39" i="10"/>
  <c r="P39" i="10"/>
  <c r="O39" i="10"/>
  <c r="L39" i="10"/>
  <c r="K39" i="10"/>
  <c r="J39" i="10"/>
  <c r="I39" i="10"/>
  <c r="H39" i="10"/>
  <c r="E39" i="10"/>
  <c r="U38" i="10"/>
  <c r="T38" i="10"/>
  <c r="S38" i="10"/>
  <c r="R38" i="10"/>
  <c r="P38" i="10"/>
  <c r="O38" i="10"/>
  <c r="L38" i="10"/>
  <c r="K38" i="10"/>
  <c r="J38" i="10"/>
  <c r="I38" i="10"/>
  <c r="H38" i="10"/>
  <c r="E38" i="10"/>
  <c r="U37" i="10"/>
  <c r="T37" i="10"/>
  <c r="S37" i="10"/>
  <c r="R37" i="10"/>
  <c r="P37" i="10"/>
  <c r="O37" i="10"/>
  <c r="L37" i="10"/>
  <c r="K37" i="10"/>
  <c r="J37" i="10"/>
  <c r="I37" i="10"/>
  <c r="H37" i="10"/>
  <c r="E37" i="10"/>
  <c r="U36" i="10"/>
  <c r="T36" i="10"/>
  <c r="S36" i="10"/>
  <c r="R36" i="10"/>
  <c r="P36" i="10"/>
  <c r="O36" i="10"/>
  <c r="L36" i="10"/>
  <c r="K36" i="10"/>
  <c r="J36" i="10"/>
  <c r="I36" i="10"/>
  <c r="H36" i="10"/>
  <c r="E36" i="10"/>
  <c r="U35" i="10"/>
  <c r="T35" i="10"/>
  <c r="S35" i="10"/>
  <c r="R35" i="10"/>
  <c r="P35" i="10"/>
  <c r="O35" i="10"/>
  <c r="L35" i="10"/>
  <c r="K35" i="10"/>
  <c r="J35" i="10"/>
  <c r="I35" i="10"/>
  <c r="H35" i="10"/>
  <c r="E35" i="10"/>
  <c r="U34" i="10"/>
  <c r="T34" i="10"/>
  <c r="S34" i="10"/>
  <c r="R34" i="10"/>
  <c r="P34" i="10"/>
  <c r="O34" i="10"/>
  <c r="L34" i="10"/>
  <c r="K34" i="10"/>
  <c r="J34" i="10"/>
  <c r="I34" i="10"/>
  <c r="H34" i="10"/>
  <c r="E34" i="10"/>
  <c r="Z33" i="10"/>
  <c r="U33" i="10"/>
  <c r="T33" i="10"/>
  <c r="S33" i="10"/>
  <c r="R33" i="10"/>
  <c r="P33" i="10"/>
  <c r="O33" i="10"/>
  <c r="L33" i="10"/>
  <c r="K33" i="10"/>
  <c r="J33" i="10"/>
  <c r="I33" i="10"/>
  <c r="H33" i="10"/>
  <c r="E33" i="10"/>
  <c r="U32" i="10"/>
  <c r="T32" i="10"/>
  <c r="S32" i="10"/>
  <c r="R32" i="10"/>
  <c r="P32" i="10"/>
  <c r="O32" i="10"/>
  <c r="L32" i="10"/>
  <c r="K32" i="10"/>
  <c r="J32" i="10"/>
  <c r="I32" i="10"/>
  <c r="H32" i="10"/>
  <c r="E32" i="10"/>
  <c r="U31" i="10"/>
  <c r="T31" i="10"/>
  <c r="S31" i="10"/>
  <c r="R31" i="10"/>
  <c r="P31" i="10"/>
  <c r="O31" i="10"/>
  <c r="L31" i="10"/>
  <c r="K31" i="10"/>
  <c r="J31" i="10"/>
  <c r="I31" i="10"/>
  <c r="H31" i="10"/>
  <c r="E31" i="10"/>
  <c r="U30" i="10"/>
  <c r="T30" i="10"/>
  <c r="S30" i="10"/>
  <c r="R30" i="10"/>
  <c r="P30" i="10"/>
  <c r="O30" i="10"/>
  <c r="L30" i="10"/>
  <c r="K30" i="10"/>
  <c r="J30" i="10"/>
  <c r="I30" i="10"/>
  <c r="H30" i="10"/>
  <c r="E30" i="10"/>
  <c r="U29" i="10"/>
  <c r="T29" i="10"/>
  <c r="S29" i="10"/>
  <c r="R29" i="10"/>
  <c r="P29" i="10"/>
  <c r="O29" i="10"/>
  <c r="L29" i="10"/>
  <c r="K29" i="10"/>
  <c r="J29" i="10"/>
  <c r="I29" i="10"/>
  <c r="H29" i="10"/>
  <c r="E29" i="10"/>
  <c r="AA28" i="10"/>
  <c r="U28" i="10"/>
  <c r="T28" i="10"/>
  <c r="S28" i="10"/>
  <c r="R28" i="10"/>
  <c r="P28" i="10"/>
  <c r="O28" i="10"/>
  <c r="L28" i="10"/>
  <c r="K28" i="10"/>
  <c r="J28" i="10"/>
  <c r="I28" i="10"/>
  <c r="H28" i="10"/>
  <c r="E28" i="10"/>
  <c r="AA27" i="10"/>
  <c r="U27" i="10"/>
  <c r="T27" i="10"/>
  <c r="S27" i="10"/>
  <c r="R27" i="10"/>
  <c r="P27" i="10"/>
  <c r="O27" i="10"/>
  <c r="L27" i="10"/>
  <c r="K27" i="10"/>
  <c r="J27" i="10"/>
  <c r="I27" i="10"/>
  <c r="H27" i="10"/>
  <c r="E27" i="10"/>
  <c r="U26" i="10"/>
  <c r="T26" i="10"/>
  <c r="S26" i="10"/>
  <c r="R26" i="10"/>
  <c r="P26" i="10"/>
  <c r="O26" i="10"/>
  <c r="L26" i="10"/>
  <c r="K26" i="10"/>
  <c r="J26" i="10"/>
  <c r="I26" i="10"/>
  <c r="H26" i="10"/>
  <c r="E26" i="10"/>
  <c r="R25" i="10"/>
  <c r="O25" i="10"/>
  <c r="I25" i="10"/>
  <c r="H25" i="10"/>
  <c r="E25" i="10"/>
  <c r="U24" i="10"/>
  <c r="T24" i="10"/>
  <c r="S24" i="10"/>
  <c r="R24" i="10"/>
  <c r="P24" i="10"/>
  <c r="O24" i="10"/>
  <c r="L24" i="10"/>
  <c r="K24" i="10"/>
  <c r="J24" i="10"/>
  <c r="I24" i="10"/>
  <c r="H24" i="10"/>
  <c r="E24" i="10"/>
  <c r="U23" i="10"/>
  <c r="T23" i="10"/>
  <c r="S23" i="10"/>
  <c r="R23" i="10"/>
  <c r="P23" i="10"/>
  <c r="O23" i="10"/>
  <c r="L23" i="10"/>
  <c r="K23" i="10"/>
  <c r="J23" i="10"/>
  <c r="I23" i="10"/>
  <c r="H23" i="10"/>
  <c r="E23" i="10"/>
  <c r="U22" i="10"/>
  <c r="T22" i="10"/>
  <c r="S22" i="10"/>
  <c r="R22" i="10"/>
  <c r="P22" i="10"/>
  <c r="O22" i="10"/>
  <c r="L22" i="10"/>
  <c r="K22" i="10"/>
  <c r="J22" i="10"/>
  <c r="I22" i="10"/>
  <c r="H22" i="10"/>
  <c r="E22" i="10"/>
  <c r="U21" i="10"/>
  <c r="T21" i="10"/>
  <c r="S21" i="10"/>
  <c r="R21" i="10"/>
  <c r="P21" i="10"/>
  <c r="O21" i="10"/>
  <c r="L21" i="10"/>
  <c r="K21" i="10"/>
  <c r="J21" i="10"/>
  <c r="I21" i="10"/>
  <c r="H21" i="10"/>
  <c r="E21" i="10"/>
  <c r="U20" i="10"/>
  <c r="T20" i="10"/>
  <c r="S20" i="10"/>
  <c r="R20" i="10"/>
  <c r="P20" i="10"/>
  <c r="O20" i="10"/>
  <c r="L20" i="10"/>
  <c r="K20" i="10"/>
  <c r="J20" i="10"/>
  <c r="I20" i="10"/>
  <c r="H20" i="10"/>
  <c r="E20" i="10"/>
  <c r="U19" i="10"/>
  <c r="T19" i="10"/>
  <c r="S19" i="10"/>
  <c r="R19" i="10"/>
  <c r="P19" i="10"/>
  <c r="O19" i="10"/>
  <c r="L19" i="10"/>
  <c r="K19" i="10"/>
  <c r="J19" i="10"/>
  <c r="I19" i="10"/>
  <c r="H19" i="10"/>
  <c r="E19" i="10"/>
  <c r="U18" i="10"/>
  <c r="T18" i="10"/>
  <c r="S18" i="10"/>
  <c r="R18" i="10"/>
  <c r="P18" i="10"/>
  <c r="O18" i="10"/>
  <c r="L18" i="10"/>
  <c r="K18" i="10"/>
  <c r="J18" i="10"/>
  <c r="I18" i="10"/>
  <c r="H18" i="10"/>
  <c r="E18" i="10"/>
  <c r="U17" i="10"/>
  <c r="T17" i="10"/>
  <c r="S17" i="10"/>
  <c r="R17" i="10"/>
  <c r="P17" i="10"/>
  <c r="O17" i="10"/>
  <c r="L17" i="10"/>
  <c r="K17" i="10"/>
  <c r="J17" i="10"/>
  <c r="I17" i="10"/>
  <c r="H17" i="10"/>
  <c r="E17" i="10"/>
  <c r="U16" i="10"/>
  <c r="T16" i="10"/>
  <c r="S16" i="10"/>
  <c r="R16" i="10"/>
  <c r="P16" i="10"/>
  <c r="O16" i="10"/>
  <c r="L16" i="10"/>
  <c r="K16" i="10"/>
  <c r="J16" i="10"/>
  <c r="I16" i="10"/>
  <c r="H16" i="10"/>
  <c r="E16" i="10"/>
  <c r="U15" i="10"/>
  <c r="T15" i="10"/>
  <c r="S15" i="10"/>
  <c r="R15" i="10"/>
  <c r="P15" i="10"/>
  <c r="O15" i="10"/>
  <c r="L15" i="10"/>
  <c r="K15" i="10"/>
  <c r="J15" i="10"/>
  <c r="I15" i="10"/>
  <c r="H15" i="10"/>
  <c r="E15" i="10"/>
  <c r="R14" i="10"/>
  <c r="O14" i="10"/>
  <c r="I14" i="10"/>
  <c r="H14" i="10"/>
  <c r="E14" i="10"/>
  <c r="U13" i="10"/>
  <c r="T13" i="10"/>
  <c r="S13" i="10"/>
  <c r="R13" i="10"/>
  <c r="P13" i="10"/>
  <c r="O13" i="10"/>
  <c r="L13" i="10"/>
  <c r="K13" i="10"/>
  <c r="J13" i="10"/>
  <c r="I13" i="10"/>
  <c r="H13" i="10"/>
  <c r="E13" i="10"/>
  <c r="U12" i="10"/>
  <c r="T12" i="10"/>
  <c r="S12" i="10"/>
  <c r="R12" i="10"/>
  <c r="P12" i="10"/>
  <c r="O12" i="10"/>
  <c r="L12" i="10"/>
  <c r="K12" i="10"/>
  <c r="J12" i="10"/>
  <c r="I12" i="10"/>
  <c r="H12" i="10"/>
  <c r="E12" i="10"/>
  <c r="U11" i="10"/>
  <c r="T11" i="10"/>
  <c r="S11" i="10"/>
  <c r="R11" i="10"/>
  <c r="P11" i="10"/>
  <c r="O11" i="10"/>
  <c r="L11" i="10"/>
  <c r="K11" i="10"/>
  <c r="J11" i="10"/>
  <c r="I11" i="10"/>
  <c r="H11" i="10"/>
  <c r="E11" i="10"/>
  <c r="T10" i="10"/>
  <c r="S10" i="10"/>
  <c r="R10" i="10"/>
  <c r="P10" i="10"/>
  <c r="O10" i="10"/>
  <c r="L10" i="10"/>
  <c r="K10" i="10"/>
  <c r="J10" i="10"/>
  <c r="I10" i="10"/>
  <c r="H10" i="10"/>
  <c r="E10" i="10"/>
  <c r="U9" i="10"/>
  <c r="T9" i="10"/>
  <c r="S9" i="10"/>
  <c r="R9" i="10"/>
  <c r="P9" i="10"/>
  <c r="O9" i="10"/>
  <c r="L9" i="10"/>
  <c r="K9" i="10"/>
  <c r="J9" i="10"/>
  <c r="I9" i="10"/>
  <c r="H9" i="10"/>
  <c r="E9" i="10"/>
  <c r="U8" i="10"/>
  <c r="T8" i="10"/>
  <c r="S8" i="10"/>
  <c r="R8" i="10"/>
  <c r="P8" i="10"/>
  <c r="O8" i="10"/>
  <c r="L8" i="10"/>
  <c r="K8" i="10"/>
  <c r="J8" i="10"/>
  <c r="I8" i="10"/>
  <c r="H8" i="10"/>
  <c r="E8" i="10"/>
  <c r="U7" i="10"/>
  <c r="T7" i="10"/>
  <c r="S7" i="10"/>
  <c r="R7" i="10"/>
  <c r="P7" i="10"/>
  <c r="O7" i="10"/>
  <c r="L7" i="10"/>
  <c r="K7" i="10"/>
  <c r="J7" i="10"/>
  <c r="I7" i="10"/>
  <c r="H7" i="10"/>
  <c r="E7" i="10"/>
  <c r="U6" i="10"/>
  <c r="T6" i="10"/>
  <c r="S6" i="10"/>
  <c r="R6" i="10"/>
  <c r="P6" i="10"/>
  <c r="O6" i="10"/>
  <c r="L6" i="10"/>
  <c r="K6" i="10"/>
  <c r="J6" i="10"/>
  <c r="I6" i="10"/>
  <c r="H6" i="10"/>
  <c r="E6" i="10"/>
  <c r="U5" i="10"/>
  <c r="T5" i="10"/>
  <c r="S5" i="10"/>
  <c r="R5" i="10"/>
  <c r="P5" i="10"/>
  <c r="O5" i="10"/>
  <c r="L5" i="10"/>
  <c r="K5" i="10"/>
  <c r="J5" i="10"/>
  <c r="I5" i="10"/>
  <c r="H5" i="10"/>
  <c r="E5" i="10"/>
  <c r="U4" i="10"/>
  <c r="T4" i="10"/>
  <c r="S4" i="10"/>
  <c r="R4" i="10"/>
  <c r="P4" i="10"/>
  <c r="O4" i="10"/>
  <c r="L4" i="10"/>
  <c r="K4" i="10"/>
  <c r="J4" i="10"/>
  <c r="I4" i="10"/>
  <c r="H4" i="10"/>
  <c r="E4" i="10"/>
  <c r="U3" i="10"/>
  <c r="T3" i="10"/>
  <c r="S3" i="10"/>
  <c r="R3" i="10"/>
  <c r="P3" i="10"/>
  <c r="O3" i="10"/>
  <c r="L3" i="10"/>
  <c r="K3" i="10"/>
  <c r="J3" i="10"/>
  <c r="I3" i="10"/>
  <c r="H3" i="10"/>
  <c r="E3" i="10"/>
  <c r="AE64" i="9"/>
  <c r="AD64" i="9"/>
  <c r="AC64" i="9"/>
  <c r="AB64" i="9"/>
  <c r="AA64" i="9"/>
  <c r="Z64" i="9"/>
  <c r="AE63" i="9"/>
  <c r="AD63" i="9"/>
  <c r="AC63" i="9"/>
  <c r="AB63" i="9"/>
  <c r="AA63" i="9"/>
  <c r="Z63" i="9"/>
  <c r="AE62" i="9"/>
  <c r="AD62" i="9"/>
  <c r="AC62" i="9"/>
  <c r="AB62" i="9"/>
  <c r="AA62" i="9"/>
  <c r="Z62" i="9"/>
  <c r="AE61" i="9"/>
  <c r="AB61" i="9"/>
  <c r="AA61" i="9"/>
  <c r="AE60" i="9"/>
  <c r="AC60" i="9"/>
  <c r="AB60" i="9"/>
  <c r="AA60" i="9"/>
  <c r="AE59" i="9"/>
  <c r="AC59" i="9"/>
  <c r="AB59" i="9"/>
  <c r="AE58" i="9"/>
  <c r="AB58" i="9"/>
  <c r="AA58" i="9"/>
  <c r="AM57" i="9"/>
  <c r="AL57" i="9"/>
  <c r="AK57" i="9"/>
  <c r="AJ57" i="9"/>
  <c r="AI57" i="9"/>
  <c r="AH57" i="9"/>
  <c r="AE57" i="9"/>
  <c r="AC57" i="9"/>
  <c r="AB57" i="9"/>
  <c r="AA57" i="9"/>
  <c r="AM56" i="9"/>
  <c r="AL56" i="9"/>
  <c r="AK56" i="9"/>
  <c r="AJ56" i="9"/>
  <c r="AI56" i="9"/>
  <c r="AH56" i="9"/>
  <c r="AE56" i="9"/>
  <c r="AD56" i="9"/>
  <c r="AC56" i="9"/>
  <c r="AB56" i="9"/>
  <c r="V56" i="9"/>
  <c r="U56" i="9"/>
  <c r="T56" i="9"/>
  <c r="S56" i="9"/>
  <c r="R56" i="9"/>
  <c r="P56" i="9"/>
  <c r="O56" i="9"/>
  <c r="L56" i="9"/>
  <c r="K56" i="9"/>
  <c r="J56" i="9"/>
  <c r="I56" i="9"/>
  <c r="H56" i="9"/>
  <c r="E56" i="9"/>
  <c r="AM55" i="9"/>
  <c r="AL55" i="9"/>
  <c r="AK55" i="9"/>
  <c r="AJ55" i="9"/>
  <c r="AI55" i="9"/>
  <c r="AH55" i="9"/>
  <c r="AE55" i="9"/>
  <c r="AC55" i="9"/>
  <c r="AB55" i="9"/>
  <c r="AA55" i="9"/>
  <c r="V55" i="9"/>
  <c r="U55" i="9"/>
  <c r="T55" i="9"/>
  <c r="S55" i="9"/>
  <c r="R55" i="9"/>
  <c r="P55" i="9"/>
  <c r="O55" i="9"/>
  <c r="L55" i="9"/>
  <c r="K55" i="9"/>
  <c r="J55" i="9"/>
  <c r="I55" i="9"/>
  <c r="H55" i="9"/>
  <c r="E55" i="9"/>
  <c r="AM54" i="9"/>
  <c r="AL54" i="9"/>
  <c r="AK54" i="9"/>
  <c r="AJ54" i="9"/>
  <c r="AI54" i="9"/>
  <c r="AH54" i="9"/>
  <c r="AE54" i="9"/>
  <c r="AC54" i="9"/>
  <c r="AB54" i="9"/>
  <c r="V54" i="9"/>
  <c r="U54" i="9"/>
  <c r="T54" i="9"/>
  <c r="S54" i="9"/>
  <c r="R54" i="9"/>
  <c r="P54" i="9"/>
  <c r="O54" i="9"/>
  <c r="L54" i="9"/>
  <c r="K54" i="9"/>
  <c r="J54" i="9"/>
  <c r="I54" i="9"/>
  <c r="H54" i="9"/>
  <c r="E54" i="9"/>
  <c r="AM53" i="9"/>
  <c r="AL53" i="9"/>
  <c r="AK53" i="9"/>
  <c r="AJ53" i="9"/>
  <c r="AI53" i="9"/>
  <c r="AH53" i="9"/>
  <c r="AE53" i="9"/>
  <c r="AC53" i="9"/>
  <c r="AB53" i="9"/>
  <c r="AA53" i="9"/>
  <c r="V53" i="9"/>
  <c r="U53" i="9"/>
  <c r="T53" i="9"/>
  <c r="S53" i="9"/>
  <c r="R53" i="9"/>
  <c r="P53" i="9"/>
  <c r="O53" i="9"/>
  <c r="L53" i="9"/>
  <c r="K53" i="9"/>
  <c r="J53" i="9"/>
  <c r="I53" i="9"/>
  <c r="H53" i="9"/>
  <c r="E53" i="9"/>
  <c r="AM52" i="9"/>
  <c r="AL52" i="9"/>
  <c r="AK52" i="9"/>
  <c r="AJ52" i="9"/>
  <c r="AI52" i="9"/>
  <c r="AH52" i="9"/>
  <c r="AE52" i="9"/>
  <c r="AD52" i="9"/>
  <c r="AB52" i="9"/>
  <c r="V52" i="9"/>
  <c r="U52" i="9"/>
  <c r="T52" i="9"/>
  <c r="S52" i="9"/>
  <c r="R52" i="9"/>
  <c r="P52" i="9"/>
  <c r="O52" i="9"/>
  <c r="L52" i="9"/>
  <c r="K52" i="9"/>
  <c r="J52" i="9"/>
  <c r="I52" i="9"/>
  <c r="H52" i="9"/>
  <c r="E52" i="9"/>
  <c r="AM51" i="9"/>
  <c r="AL51" i="9"/>
  <c r="AK51" i="9"/>
  <c r="AJ51" i="9"/>
  <c r="AI51" i="9"/>
  <c r="AH51" i="9"/>
  <c r="AE51" i="9"/>
  <c r="AD51" i="9"/>
  <c r="AB51" i="9"/>
  <c r="AA51" i="9"/>
  <c r="V51" i="9"/>
  <c r="U51" i="9"/>
  <c r="T51" i="9"/>
  <c r="S51" i="9"/>
  <c r="R51" i="9"/>
  <c r="P51" i="9"/>
  <c r="O51" i="9"/>
  <c r="L51" i="9"/>
  <c r="K51" i="9"/>
  <c r="J51" i="9"/>
  <c r="I51" i="9"/>
  <c r="H51" i="9"/>
  <c r="E51" i="9"/>
  <c r="AM50" i="9"/>
  <c r="AL50" i="9"/>
  <c r="AK50" i="9"/>
  <c r="AJ50" i="9"/>
  <c r="AI50" i="9"/>
  <c r="AH50" i="9"/>
  <c r="AE50" i="9"/>
  <c r="AC50" i="9"/>
  <c r="AB50" i="9"/>
  <c r="AA50" i="9"/>
  <c r="V50" i="9"/>
  <c r="U50" i="9"/>
  <c r="T50" i="9"/>
  <c r="S50" i="9"/>
  <c r="R50" i="9"/>
  <c r="P50" i="9"/>
  <c r="O50" i="9"/>
  <c r="L50" i="9"/>
  <c r="K50" i="9"/>
  <c r="J50" i="9"/>
  <c r="I50" i="9"/>
  <c r="H50" i="9"/>
  <c r="E50" i="9"/>
  <c r="AM49" i="9"/>
  <c r="AL49" i="9"/>
  <c r="AK49" i="9"/>
  <c r="AJ49" i="9"/>
  <c r="AI49" i="9"/>
  <c r="AH49" i="9"/>
  <c r="V49" i="9"/>
  <c r="U49" i="9"/>
  <c r="T49" i="9"/>
  <c r="S49" i="9"/>
  <c r="R49" i="9"/>
  <c r="P49" i="9"/>
  <c r="O49" i="9"/>
  <c r="L49" i="9"/>
  <c r="K49" i="9"/>
  <c r="J49" i="9"/>
  <c r="I49" i="9"/>
  <c r="H49" i="9"/>
  <c r="E49" i="9"/>
  <c r="AM48" i="9"/>
  <c r="AL48" i="9"/>
  <c r="AK48" i="9"/>
  <c r="AJ48" i="9"/>
  <c r="AI48" i="9"/>
  <c r="AH48" i="9"/>
  <c r="V48" i="9"/>
  <c r="U48" i="9"/>
  <c r="T48" i="9"/>
  <c r="S48" i="9"/>
  <c r="R48" i="9"/>
  <c r="P48" i="9"/>
  <c r="O48" i="9"/>
  <c r="L48" i="9"/>
  <c r="K48" i="9"/>
  <c r="J48" i="9"/>
  <c r="I48" i="9"/>
  <c r="H48" i="9"/>
  <c r="E48" i="9"/>
  <c r="AM47" i="9"/>
  <c r="AL47" i="9"/>
  <c r="AK47" i="9"/>
  <c r="AJ47" i="9"/>
  <c r="AI47" i="9"/>
  <c r="AH47" i="9"/>
  <c r="V47" i="9"/>
  <c r="U47" i="9"/>
  <c r="T47" i="9"/>
  <c r="S47" i="9"/>
  <c r="R47" i="9"/>
  <c r="P47" i="9"/>
  <c r="O47" i="9"/>
  <c r="L47" i="9"/>
  <c r="K47" i="9"/>
  <c r="J47" i="9"/>
  <c r="I47" i="9"/>
  <c r="H47" i="9"/>
  <c r="E47" i="9"/>
  <c r="AM46" i="9"/>
  <c r="AL46" i="9"/>
  <c r="AK46" i="9"/>
  <c r="AJ46" i="9"/>
  <c r="AI46" i="9"/>
  <c r="AH46" i="9"/>
  <c r="V46" i="9"/>
  <c r="U46" i="9"/>
  <c r="T46" i="9"/>
  <c r="S46" i="9"/>
  <c r="R46" i="9"/>
  <c r="P46" i="9"/>
  <c r="O46" i="9"/>
  <c r="L46" i="9"/>
  <c r="K46" i="9"/>
  <c r="J46" i="9"/>
  <c r="I46" i="9"/>
  <c r="H46" i="9"/>
  <c r="E46" i="9"/>
  <c r="AM45" i="9"/>
  <c r="AL45" i="9"/>
  <c r="AK45" i="9"/>
  <c r="AJ45" i="9"/>
  <c r="AI45" i="9"/>
  <c r="AH45" i="9"/>
  <c r="V45" i="9"/>
  <c r="U45" i="9"/>
  <c r="T45" i="9"/>
  <c r="S45" i="9"/>
  <c r="R45" i="9"/>
  <c r="P45" i="9"/>
  <c r="O45" i="9"/>
  <c r="L45" i="9"/>
  <c r="K45" i="9"/>
  <c r="J45" i="9"/>
  <c r="I45" i="9"/>
  <c r="H45" i="9"/>
  <c r="E45" i="9"/>
  <c r="AM44" i="9"/>
  <c r="AL44" i="9"/>
  <c r="AK44" i="9"/>
  <c r="AJ44" i="9"/>
  <c r="AI44" i="9"/>
  <c r="AH44" i="9"/>
  <c r="AE44" i="9"/>
  <c r="AD44" i="9"/>
  <c r="AC44" i="9"/>
  <c r="AB44" i="9"/>
  <c r="AA44" i="9"/>
  <c r="Z44" i="9"/>
  <c r="V44" i="9"/>
  <c r="U44" i="9"/>
  <c r="T44" i="9"/>
  <c r="S44" i="9"/>
  <c r="R44" i="9"/>
  <c r="P44" i="9"/>
  <c r="O44" i="9"/>
  <c r="L44" i="9"/>
  <c r="K44" i="9"/>
  <c r="J44" i="9"/>
  <c r="I44" i="9"/>
  <c r="H44" i="9"/>
  <c r="E44" i="9"/>
  <c r="AM43" i="9"/>
  <c r="AL43" i="9"/>
  <c r="AK43" i="9"/>
  <c r="AJ43" i="9"/>
  <c r="AI43" i="9"/>
  <c r="AH43" i="9"/>
  <c r="AE43" i="9"/>
  <c r="AD43" i="9"/>
  <c r="AC43" i="9"/>
  <c r="AB43" i="9"/>
  <c r="AA43" i="9"/>
  <c r="Z43" i="9"/>
  <c r="V43" i="9"/>
  <c r="U43" i="9"/>
  <c r="T43" i="9"/>
  <c r="S43" i="9"/>
  <c r="R43" i="9"/>
  <c r="P43" i="9"/>
  <c r="O43" i="9"/>
  <c r="L43" i="9"/>
  <c r="K43" i="9"/>
  <c r="J43" i="9"/>
  <c r="I43" i="9"/>
  <c r="H43" i="9"/>
  <c r="E43" i="9"/>
  <c r="AE42" i="9"/>
  <c r="AD42" i="9"/>
  <c r="AC42" i="9"/>
  <c r="AB42" i="9"/>
  <c r="AA42" i="9"/>
  <c r="Z42" i="9"/>
  <c r="V42" i="9"/>
  <c r="U42" i="9"/>
  <c r="T42" i="9"/>
  <c r="S42" i="9"/>
  <c r="R42" i="9"/>
  <c r="P42" i="9"/>
  <c r="O42" i="9"/>
  <c r="L42" i="9"/>
  <c r="K42" i="9"/>
  <c r="J42" i="9"/>
  <c r="I42" i="9"/>
  <c r="H42" i="9"/>
  <c r="E42" i="9"/>
  <c r="AE41" i="9"/>
  <c r="V41" i="9"/>
  <c r="U41" i="9"/>
  <c r="T41" i="9"/>
  <c r="S41" i="9"/>
  <c r="R41" i="9"/>
  <c r="P41" i="9"/>
  <c r="O41" i="9"/>
  <c r="L41" i="9"/>
  <c r="K41" i="9"/>
  <c r="J41" i="9"/>
  <c r="I41" i="9"/>
  <c r="H41" i="9"/>
  <c r="E41" i="9"/>
  <c r="AE40" i="9"/>
  <c r="V40" i="9"/>
  <c r="U40" i="9"/>
  <c r="T40" i="9"/>
  <c r="S40" i="9"/>
  <c r="R40" i="9"/>
  <c r="P40" i="9"/>
  <c r="O40" i="9"/>
  <c r="L40" i="9"/>
  <c r="K40" i="9"/>
  <c r="J40" i="9"/>
  <c r="I40" i="9"/>
  <c r="H40" i="9"/>
  <c r="E40" i="9"/>
  <c r="AE39" i="9"/>
  <c r="W39" i="9"/>
  <c r="V39" i="9"/>
  <c r="U39" i="9"/>
  <c r="T39" i="9"/>
  <c r="S39" i="9"/>
  <c r="R39" i="9"/>
  <c r="P39" i="9"/>
  <c r="O39" i="9"/>
  <c r="L39" i="9"/>
  <c r="K39" i="9"/>
  <c r="J39" i="9"/>
  <c r="I39" i="9"/>
  <c r="H39" i="9"/>
  <c r="E39" i="9"/>
  <c r="AE38" i="9"/>
  <c r="W38" i="9"/>
  <c r="V38" i="9"/>
  <c r="U38" i="9"/>
  <c r="T38" i="9"/>
  <c r="S38" i="9"/>
  <c r="R38" i="9"/>
  <c r="P38" i="9"/>
  <c r="O38" i="9"/>
  <c r="L38" i="9"/>
  <c r="K38" i="9"/>
  <c r="J38" i="9"/>
  <c r="I38" i="9"/>
  <c r="H38" i="9"/>
  <c r="E38" i="9"/>
  <c r="AE37" i="9"/>
  <c r="V37" i="9"/>
  <c r="U37" i="9"/>
  <c r="T37" i="9"/>
  <c r="S37" i="9"/>
  <c r="R37" i="9"/>
  <c r="P37" i="9"/>
  <c r="O37" i="9"/>
  <c r="L37" i="9"/>
  <c r="K37" i="9"/>
  <c r="J37" i="9"/>
  <c r="I37" i="9"/>
  <c r="H37" i="9"/>
  <c r="E37" i="9"/>
  <c r="AE36" i="9"/>
  <c r="V36" i="9"/>
  <c r="U36" i="9"/>
  <c r="T36" i="9"/>
  <c r="S36" i="9"/>
  <c r="R36" i="9"/>
  <c r="P36" i="9"/>
  <c r="O36" i="9"/>
  <c r="L36" i="9"/>
  <c r="K36" i="9"/>
  <c r="J36" i="9"/>
  <c r="I36" i="9"/>
  <c r="H36" i="9"/>
  <c r="E36" i="9"/>
  <c r="AE35" i="9"/>
  <c r="V35" i="9"/>
  <c r="U35" i="9"/>
  <c r="T35" i="9"/>
  <c r="S35" i="9"/>
  <c r="R35" i="9"/>
  <c r="P35" i="9"/>
  <c r="O35" i="9"/>
  <c r="L35" i="9"/>
  <c r="K35" i="9"/>
  <c r="J35" i="9"/>
  <c r="I35" i="9"/>
  <c r="H35" i="9"/>
  <c r="E35" i="9"/>
  <c r="AE34" i="9"/>
  <c r="V34" i="9"/>
  <c r="U34" i="9"/>
  <c r="T34" i="9"/>
  <c r="S34" i="9"/>
  <c r="R34" i="9"/>
  <c r="P34" i="9"/>
  <c r="O34" i="9"/>
  <c r="L34" i="9"/>
  <c r="K34" i="9"/>
  <c r="J34" i="9"/>
  <c r="I34" i="9"/>
  <c r="H34" i="9"/>
  <c r="E34" i="9"/>
  <c r="AE33" i="9"/>
  <c r="V33" i="9"/>
  <c r="U33" i="9"/>
  <c r="T33" i="9"/>
  <c r="S33" i="9"/>
  <c r="R33" i="9"/>
  <c r="P33" i="9"/>
  <c r="O33" i="9"/>
  <c r="L33" i="9"/>
  <c r="K33" i="9"/>
  <c r="J33" i="9"/>
  <c r="I33" i="9"/>
  <c r="H33" i="9"/>
  <c r="E33" i="9"/>
  <c r="AE32" i="9"/>
  <c r="W32" i="9"/>
  <c r="V32" i="9"/>
  <c r="U32" i="9"/>
  <c r="T32" i="9"/>
  <c r="S32" i="9"/>
  <c r="R32" i="9"/>
  <c r="P32" i="9"/>
  <c r="O32" i="9"/>
  <c r="L32" i="9"/>
  <c r="K32" i="9"/>
  <c r="J32" i="9"/>
  <c r="I32" i="9"/>
  <c r="H32" i="9"/>
  <c r="E32" i="9"/>
  <c r="AE31" i="9"/>
  <c r="V31" i="9"/>
  <c r="U31" i="9"/>
  <c r="T31" i="9"/>
  <c r="S31" i="9"/>
  <c r="R31" i="9"/>
  <c r="P31" i="9"/>
  <c r="O31" i="9"/>
  <c r="L31" i="9"/>
  <c r="K31" i="9"/>
  <c r="J31" i="9"/>
  <c r="I31" i="9"/>
  <c r="H31" i="9"/>
  <c r="E31" i="9"/>
  <c r="AE30" i="9"/>
  <c r="V30" i="9"/>
  <c r="U30" i="9"/>
  <c r="T30" i="9"/>
  <c r="S30" i="9"/>
  <c r="R30" i="9"/>
  <c r="P30" i="9"/>
  <c r="O30" i="9"/>
  <c r="L30" i="9"/>
  <c r="K30" i="9"/>
  <c r="J30" i="9"/>
  <c r="I30" i="9"/>
  <c r="H30" i="9"/>
  <c r="E30" i="9"/>
  <c r="V29" i="9"/>
  <c r="U29" i="9"/>
  <c r="T29" i="9"/>
  <c r="S29" i="9"/>
  <c r="R29" i="9"/>
  <c r="P29" i="9"/>
  <c r="O29" i="9"/>
  <c r="L29" i="9"/>
  <c r="K29" i="9"/>
  <c r="J29" i="9"/>
  <c r="I29" i="9"/>
  <c r="H29" i="9"/>
  <c r="E29" i="9"/>
  <c r="W28" i="9"/>
  <c r="V28" i="9"/>
  <c r="U28" i="9"/>
  <c r="T28" i="9"/>
  <c r="S28" i="9"/>
  <c r="R28" i="9"/>
  <c r="P28" i="9"/>
  <c r="O28" i="9"/>
  <c r="L28" i="9"/>
  <c r="K28" i="9"/>
  <c r="J28" i="9"/>
  <c r="I28" i="9"/>
  <c r="H28" i="9"/>
  <c r="E28" i="9"/>
  <c r="V27" i="9"/>
  <c r="U27" i="9"/>
  <c r="T27" i="9"/>
  <c r="S27" i="9"/>
  <c r="R27" i="9"/>
  <c r="P27" i="9"/>
  <c r="O27" i="9"/>
  <c r="L27" i="9"/>
  <c r="K27" i="9"/>
  <c r="J27" i="9"/>
  <c r="I27" i="9"/>
  <c r="H27" i="9"/>
  <c r="E27" i="9"/>
  <c r="Z26" i="9"/>
  <c r="W26" i="9"/>
  <c r="V26" i="9"/>
  <c r="U26" i="9"/>
  <c r="T26" i="9"/>
  <c r="S26" i="9"/>
  <c r="R26" i="9"/>
  <c r="P26" i="9"/>
  <c r="O26" i="9"/>
  <c r="L26" i="9"/>
  <c r="K26" i="9"/>
  <c r="J26" i="9"/>
  <c r="I26" i="9"/>
  <c r="H26" i="9"/>
  <c r="E26" i="9"/>
  <c r="V25" i="9"/>
  <c r="R25" i="9"/>
  <c r="O25" i="9"/>
  <c r="I25" i="9"/>
  <c r="H25" i="9"/>
  <c r="E25" i="9"/>
  <c r="V24" i="9"/>
  <c r="U24" i="9"/>
  <c r="T24" i="9"/>
  <c r="S24" i="9"/>
  <c r="R24" i="9"/>
  <c r="P24" i="9"/>
  <c r="O24" i="9"/>
  <c r="L24" i="9"/>
  <c r="K24" i="9"/>
  <c r="J24" i="9"/>
  <c r="I24" i="9"/>
  <c r="H24" i="9"/>
  <c r="E24" i="9"/>
  <c r="V23" i="9"/>
  <c r="U23" i="9"/>
  <c r="T23" i="9"/>
  <c r="S23" i="9"/>
  <c r="R23" i="9"/>
  <c r="P23" i="9"/>
  <c r="O23" i="9"/>
  <c r="L23" i="9"/>
  <c r="K23" i="9"/>
  <c r="J23" i="9"/>
  <c r="I23" i="9"/>
  <c r="H23" i="9"/>
  <c r="E23" i="9"/>
  <c r="V22" i="9"/>
  <c r="U22" i="9"/>
  <c r="T22" i="9"/>
  <c r="S22" i="9"/>
  <c r="R22" i="9"/>
  <c r="P22" i="9"/>
  <c r="O22" i="9"/>
  <c r="L22" i="9"/>
  <c r="K22" i="9"/>
  <c r="J22" i="9"/>
  <c r="I22" i="9"/>
  <c r="H22" i="9"/>
  <c r="E22" i="9"/>
  <c r="W21" i="9"/>
  <c r="V21" i="9"/>
  <c r="U21" i="9"/>
  <c r="T21" i="9"/>
  <c r="S21" i="9"/>
  <c r="R21" i="9"/>
  <c r="P21" i="9"/>
  <c r="O21" i="9"/>
  <c r="L21" i="9"/>
  <c r="K21" i="9"/>
  <c r="J21" i="9"/>
  <c r="I21" i="9"/>
  <c r="H21" i="9"/>
  <c r="E21" i="9"/>
  <c r="V20" i="9"/>
  <c r="U20" i="9"/>
  <c r="T20" i="9"/>
  <c r="S20" i="9"/>
  <c r="R20" i="9"/>
  <c r="P20" i="9"/>
  <c r="O20" i="9"/>
  <c r="L20" i="9"/>
  <c r="K20" i="9"/>
  <c r="J20" i="9"/>
  <c r="I20" i="9"/>
  <c r="H20" i="9"/>
  <c r="E20" i="9"/>
  <c r="V19" i="9"/>
  <c r="U19" i="9"/>
  <c r="T19" i="9"/>
  <c r="S19" i="9"/>
  <c r="R19" i="9"/>
  <c r="P19" i="9"/>
  <c r="O19" i="9"/>
  <c r="L19" i="9"/>
  <c r="K19" i="9"/>
  <c r="J19" i="9"/>
  <c r="I19" i="9"/>
  <c r="H19" i="9"/>
  <c r="E19" i="9"/>
  <c r="V18" i="9"/>
  <c r="U18" i="9"/>
  <c r="T18" i="9"/>
  <c r="S18" i="9"/>
  <c r="R18" i="9"/>
  <c r="P18" i="9"/>
  <c r="O18" i="9"/>
  <c r="L18" i="9"/>
  <c r="K18" i="9"/>
  <c r="J18" i="9"/>
  <c r="I18" i="9"/>
  <c r="H18" i="9"/>
  <c r="E18" i="9"/>
  <c r="V17" i="9"/>
  <c r="U17" i="9"/>
  <c r="T17" i="9"/>
  <c r="S17" i="9"/>
  <c r="R17" i="9"/>
  <c r="P17" i="9"/>
  <c r="O17" i="9"/>
  <c r="L17" i="9"/>
  <c r="K17" i="9"/>
  <c r="J17" i="9"/>
  <c r="I17" i="9"/>
  <c r="H17" i="9"/>
  <c r="E17" i="9"/>
  <c r="V16" i="9"/>
  <c r="U16" i="9"/>
  <c r="T16" i="9"/>
  <c r="S16" i="9"/>
  <c r="R16" i="9"/>
  <c r="P16" i="9"/>
  <c r="O16" i="9"/>
  <c r="L16" i="9"/>
  <c r="K16" i="9"/>
  <c r="J16" i="9"/>
  <c r="I16" i="9"/>
  <c r="H16" i="9"/>
  <c r="E16" i="9"/>
  <c r="V15" i="9"/>
  <c r="U15" i="9"/>
  <c r="T15" i="9"/>
  <c r="S15" i="9"/>
  <c r="R15" i="9"/>
  <c r="P15" i="9"/>
  <c r="O15" i="9"/>
  <c r="L15" i="9"/>
  <c r="K15" i="9"/>
  <c r="J15" i="9"/>
  <c r="I15" i="9"/>
  <c r="H15" i="9"/>
  <c r="E15" i="9"/>
  <c r="V14" i="9"/>
  <c r="R14" i="9"/>
  <c r="O14" i="9"/>
  <c r="I14" i="9"/>
  <c r="H14" i="9"/>
  <c r="E14" i="9"/>
  <c r="V13" i="9"/>
  <c r="U13" i="9"/>
  <c r="T13" i="9"/>
  <c r="S13" i="9"/>
  <c r="R13" i="9"/>
  <c r="P13" i="9"/>
  <c r="O13" i="9"/>
  <c r="L13" i="9"/>
  <c r="K13" i="9"/>
  <c r="J13" i="9"/>
  <c r="I13" i="9"/>
  <c r="H13" i="9"/>
  <c r="E13" i="9"/>
  <c r="V12" i="9"/>
  <c r="U12" i="9"/>
  <c r="T12" i="9"/>
  <c r="S12" i="9"/>
  <c r="R12" i="9"/>
  <c r="P12" i="9"/>
  <c r="O12" i="9"/>
  <c r="L12" i="9"/>
  <c r="K12" i="9"/>
  <c r="J12" i="9"/>
  <c r="I12" i="9"/>
  <c r="H12" i="9"/>
  <c r="E12" i="9"/>
  <c r="V11" i="9"/>
  <c r="U11" i="9"/>
  <c r="T11" i="9"/>
  <c r="S11" i="9"/>
  <c r="R11" i="9"/>
  <c r="P11" i="9"/>
  <c r="O11" i="9"/>
  <c r="L11" i="9"/>
  <c r="K11" i="9"/>
  <c r="J11" i="9"/>
  <c r="I11" i="9"/>
  <c r="H11" i="9"/>
  <c r="E11" i="9"/>
  <c r="W10" i="9"/>
  <c r="V10" i="9"/>
  <c r="U10" i="9"/>
  <c r="T10" i="9"/>
  <c r="S10" i="9"/>
  <c r="R10" i="9"/>
  <c r="P10" i="9"/>
  <c r="O10" i="9"/>
  <c r="L10" i="9"/>
  <c r="K10" i="9"/>
  <c r="J10" i="9"/>
  <c r="I10" i="9"/>
  <c r="H10" i="9"/>
  <c r="E10" i="9"/>
  <c r="V9" i="9"/>
  <c r="U9" i="9"/>
  <c r="T9" i="9"/>
  <c r="S9" i="9"/>
  <c r="R9" i="9"/>
  <c r="P9" i="9"/>
  <c r="O9" i="9"/>
  <c r="L9" i="9"/>
  <c r="K9" i="9"/>
  <c r="J9" i="9"/>
  <c r="I9" i="9"/>
  <c r="H9" i="9"/>
  <c r="E9" i="9"/>
  <c r="V8" i="9"/>
  <c r="U8" i="9"/>
  <c r="T8" i="9"/>
  <c r="S8" i="9"/>
  <c r="R8" i="9"/>
  <c r="P8" i="9"/>
  <c r="O8" i="9"/>
  <c r="L8" i="9"/>
  <c r="K8" i="9"/>
  <c r="J8" i="9"/>
  <c r="I8" i="9"/>
  <c r="H8" i="9"/>
  <c r="E8" i="9"/>
  <c r="V7" i="9"/>
  <c r="U7" i="9"/>
  <c r="T7" i="9"/>
  <c r="S7" i="9"/>
  <c r="R7" i="9"/>
  <c r="P7" i="9"/>
  <c r="O7" i="9"/>
  <c r="L7" i="9"/>
  <c r="K7" i="9"/>
  <c r="J7" i="9"/>
  <c r="I7" i="9"/>
  <c r="H7" i="9"/>
  <c r="E7" i="9"/>
  <c r="V6" i="9"/>
  <c r="U6" i="9"/>
  <c r="T6" i="9"/>
  <c r="S6" i="9"/>
  <c r="R6" i="9"/>
  <c r="P6" i="9"/>
  <c r="O6" i="9"/>
  <c r="L6" i="9"/>
  <c r="K6" i="9"/>
  <c r="J6" i="9"/>
  <c r="I6" i="9"/>
  <c r="H6" i="9"/>
  <c r="E6" i="9"/>
  <c r="V5" i="9"/>
  <c r="U5" i="9"/>
  <c r="T5" i="9"/>
  <c r="S5" i="9"/>
  <c r="R5" i="9"/>
  <c r="P5" i="9"/>
  <c r="O5" i="9"/>
  <c r="L5" i="9"/>
  <c r="K5" i="9"/>
  <c r="J5" i="9"/>
  <c r="I5" i="9"/>
  <c r="H5" i="9"/>
  <c r="E5" i="9"/>
  <c r="V4" i="9"/>
  <c r="U4" i="9"/>
  <c r="T4" i="9"/>
  <c r="S4" i="9"/>
  <c r="R4" i="9"/>
  <c r="P4" i="9"/>
  <c r="O4" i="9"/>
  <c r="L4" i="9"/>
  <c r="K4" i="9"/>
  <c r="J4" i="9"/>
  <c r="I4" i="9"/>
  <c r="H4" i="9"/>
  <c r="E4" i="9"/>
  <c r="V3" i="9"/>
  <c r="U3" i="9"/>
  <c r="T3" i="9"/>
  <c r="S3" i="9"/>
  <c r="R3" i="9"/>
  <c r="P3" i="9"/>
  <c r="O3" i="9"/>
  <c r="L3" i="9"/>
  <c r="K3" i="9"/>
  <c r="J3" i="9"/>
  <c r="I3" i="9"/>
  <c r="H3" i="9"/>
  <c r="E3" i="9"/>
  <c r="AJ64" i="8"/>
  <c r="AI64" i="8"/>
  <c r="AH64" i="8"/>
  <c r="AG64" i="8"/>
  <c r="AF64" i="8"/>
  <c r="AE64" i="8"/>
  <c r="AJ63" i="8"/>
  <c r="AI63" i="8"/>
  <c r="AH63" i="8"/>
  <c r="AG63" i="8"/>
  <c r="AF63" i="8"/>
  <c r="AE63" i="8"/>
  <c r="AJ62" i="8"/>
  <c r="AI62" i="8"/>
  <c r="AH62" i="8"/>
  <c r="AG62" i="8"/>
  <c r="AF62" i="8"/>
  <c r="AE62" i="8"/>
  <c r="AJ61" i="8"/>
  <c r="AG61" i="8"/>
  <c r="AF61" i="8"/>
  <c r="AJ60" i="8"/>
  <c r="AH60" i="8"/>
  <c r="AG60" i="8"/>
  <c r="AF60" i="8"/>
  <c r="AJ59" i="8"/>
  <c r="AH59" i="8"/>
  <c r="AG59" i="8"/>
  <c r="AJ58" i="8"/>
  <c r="AG58" i="8"/>
  <c r="AF58" i="8"/>
  <c r="AR57" i="8"/>
  <c r="AQ57" i="8"/>
  <c r="AP57" i="8"/>
  <c r="AO57" i="8"/>
  <c r="AN57" i="8"/>
  <c r="AM57" i="8"/>
  <c r="AJ57" i="8"/>
  <c r="AH57" i="8"/>
  <c r="AG57" i="8"/>
  <c r="AF57" i="8"/>
  <c r="E57" i="8"/>
  <c r="AR56" i="8"/>
  <c r="AQ56" i="8"/>
  <c r="AP56" i="8"/>
  <c r="AO56" i="8"/>
  <c r="AN56" i="8"/>
  <c r="AM56" i="8"/>
  <c r="AJ56" i="8"/>
  <c r="AI56" i="8"/>
  <c r="AH56" i="8"/>
  <c r="AG56" i="8"/>
  <c r="U56" i="8"/>
  <c r="T56" i="8"/>
  <c r="S56" i="8"/>
  <c r="R56" i="8"/>
  <c r="P56" i="8"/>
  <c r="O56" i="8"/>
  <c r="L56" i="8"/>
  <c r="K56" i="8"/>
  <c r="J56" i="8"/>
  <c r="I56" i="8"/>
  <c r="H56" i="8"/>
  <c r="E56" i="8"/>
  <c r="AR55" i="8"/>
  <c r="AQ55" i="8"/>
  <c r="AP55" i="8"/>
  <c r="AO55" i="8"/>
  <c r="AN55" i="8"/>
  <c r="AM55" i="8"/>
  <c r="AJ55" i="8"/>
  <c r="AH55" i="8"/>
  <c r="AG55" i="8"/>
  <c r="AF55" i="8"/>
  <c r="U55" i="8"/>
  <c r="T55" i="8"/>
  <c r="S55" i="8"/>
  <c r="R55" i="8"/>
  <c r="P55" i="8"/>
  <c r="O55" i="8"/>
  <c r="L55" i="8"/>
  <c r="K55" i="8"/>
  <c r="J55" i="8"/>
  <c r="I55" i="8"/>
  <c r="H55" i="8"/>
  <c r="E55" i="8"/>
  <c r="AR54" i="8"/>
  <c r="AQ54" i="8"/>
  <c r="AP54" i="8"/>
  <c r="AO54" i="8"/>
  <c r="AN54" i="8"/>
  <c r="AM54" i="8"/>
  <c r="AJ54" i="8"/>
  <c r="AH54" i="8"/>
  <c r="AG54" i="8"/>
  <c r="U54" i="8"/>
  <c r="T54" i="8"/>
  <c r="S54" i="8"/>
  <c r="R54" i="8"/>
  <c r="P54" i="8"/>
  <c r="O54" i="8"/>
  <c r="L54" i="8"/>
  <c r="K54" i="8"/>
  <c r="J54" i="8"/>
  <c r="I54" i="8"/>
  <c r="H54" i="8"/>
  <c r="E54" i="8"/>
  <c r="AR53" i="8"/>
  <c r="AQ53" i="8"/>
  <c r="AP53" i="8"/>
  <c r="AO53" i="8"/>
  <c r="AN53" i="8"/>
  <c r="AM53" i="8"/>
  <c r="AJ53" i="8"/>
  <c r="AH53" i="8"/>
  <c r="AG53" i="8"/>
  <c r="AF53" i="8"/>
  <c r="U53" i="8"/>
  <c r="T53" i="8"/>
  <c r="S53" i="8"/>
  <c r="R53" i="8"/>
  <c r="P53" i="8"/>
  <c r="O53" i="8"/>
  <c r="L53" i="8"/>
  <c r="K53" i="8"/>
  <c r="J53" i="8"/>
  <c r="I53" i="8"/>
  <c r="H53" i="8"/>
  <c r="E53" i="8"/>
  <c r="AR52" i="8"/>
  <c r="AQ52" i="8"/>
  <c r="AP52" i="8"/>
  <c r="AO52" i="8"/>
  <c r="AN52" i="8"/>
  <c r="AM52" i="8"/>
  <c r="AJ52" i="8"/>
  <c r="AI52" i="8"/>
  <c r="AG52" i="8"/>
  <c r="U52" i="8"/>
  <c r="T52" i="8"/>
  <c r="S52" i="8"/>
  <c r="R52" i="8"/>
  <c r="P52" i="8"/>
  <c r="O52" i="8"/>
  <c r="L52" i="8"/>
  <c r="K52" i="8"/>
  <c r="J52" i="8"/>
  <c r="I52" i="8"/>
  <c r="H52" i="8"/>
  <c r="E52" i="8"/>
  <c r="AR51" i="8"/>
  <c r="AQ51" i="8"/>
  <c r="AP51" i="8"/>
  <c r="AO51" i="8"/>
  <c r="AN51" i="8"/>
  <c r="AM51" i="8"/>
  <c r="AJ51" i="8"/>
  <c r="AI51" i="8"/>
  <c r="AG51" i="8"/>
  <c r="AF51" i="8"/>
  <c r="U51" i="8"/>
  <c r="T51" i="8"/>
  <c r="S51" i="8"/>
  <c r="R51" i="8"/>
  <c r="P51" i="8"/>
  <c r="O51" i="8"/>
  <c r="L51" i="8"/>
  <c r="K51" i="8"/>
  <c r="J51" i="8"/>
  <c r="I51" i="8"/>
  <c r="H51" i="8"/>
  <c r="E51" i="8"/>
  <c r="AR50" i="8"/>
  <c r="AQ50" i="8"/>
  <c r="AP50" i="8"/>
  <c r="AO50" i="8"/>
  <c r="AN50" i="8"/>
  <c r="AM50" i="8"/>
  <c r="AJ50" i="8"/>
  <c r="AH50" i="8"/>
  <c r="AG50" i="8"/>
  <c r="AF50" i="8"/>
  <c r="U50" i="8"/>
  <c r="T50" i="8"/>
  <c r="S50" i="8"/>
  <c r="R50" i="8"/>
  <c r="P50" i="8"/>
  <c r="O50" i="8"/>
  <c r="L50" i="8"/>
  <c r="K50" i="8"/>
  <c r="J50" i="8"/>
  <c r="I50" i="8"/>
  <c r="H50" i="8"/>
  <c r="E50" i="8"/>
  <c r="AR49" i="8"/>
  <c r="AQ49" i="8"/>
  <c r="AP49" i="8"/>
  <c r="AO49" i="8"/>
  <c r="AN49" i="8"/>
  <c r="AM49" i="8"/>
  <c r="U49" i="8"/>
  <c r="T49" i="8"/>
  <c r="S49" i="8"/>
  <c r="R49" i="8"/>
  <c r="P49" i="8"/>
  <c r="O49" i="8"/>
  <c r="L49" i="8"/>
  <c r="K49" i="8"/>
  <c r="J49" i="8"/>
  <c r="I49" i="8"/>
  <c r="H49" i="8"/>
  <c r="E49" i="8"/>
  <c r="AR48" i="8"/>
  <c r="AQ48" i="8"/>
  <c r="AP48" i="8"/>
  <c r="AO48" i="8"/>
  <c r="AN48" i="8"/>
  <c r="AM48" i="8"/>
  <c r="U48" i="8"/>
  <c r="T48" i="8"/>
  <c r="S48" i="8"/>
  <c r="R48" i="8"/>
  <c r="P48" i="8"/>
  <c r="O48" i="8"/>
  <c r="L48" i="8"/>
  <c r="K48" i="8"/>
  <c r="J48" i="8"/>
  <c r="I48" i="8"/>
  <c r="H48" i="8"/>
  <c r="E48" i="8"/>
  <c r="AR47" i="8"/>
  <c r="AQ47" i="8"/>
  <c r="AP47" i="8"/>
  <c r="AO47" i="8"/>
  <c r="AN47" i="8"/>
  <c r="AM47" i="8"/>
  <c r="U47" i="8"/>
  <c r="T47" i="8"/>
  <c r="S47" i="8"/>
  <c r="R47" i="8"/>
  <c r="P47" i="8"/>
  <c r="O47" i="8"/>
  <c r="L47" i="8"/>
  <c r="K47" i="8"/>
  <c r="J47" i="8"/>
  <c r="I47" i="8"/>
  <c r="H47" i="8"/>
  <c r="E47" i="8"/>
  <c r="AR46" i="8"/>
  <c r="AQ46" i="8"/>
  <c r="AP46" i="8"/>
  <c r="AO46" i="8"/>
  <c r="AN46" i="8"/>
  <c r="AM46" i="8"/>
  <c r="U46" i="8"/>
  <c r="T46" i="8"/>
  <c r="S46" i="8"/>
  <c r="R46" i="8"/>
  <c r="P46" i="8"/>
  <c r="O46" i="8"/>
  <c r="L46" i="8"/>
  <c r="K46" i="8"/>
  <c r="J46" i="8"/>
  <c r="I46" i="8"/>
  <c r="H46" i="8"/>
  <c r="E46" i="8"/>
  <c r="AR45" i="8"/>
  <c r="AQ45" i="8"/>
  <c r="AP45" i="8"/>
  <c r="AO45" i="8"/>
  <c r="AN45" i="8"/>
  <c r="AM45" i="8"/>
  <c r="U45" i="8"/>
  <c r="T45" i="8"/>
  <c r="S45" i="8"/>
  <c r="R45" i="8"/>
  <c r="P45" i="8"/>
  <c r="O45" i="8"/>
  <c r="L45" i="8"/>
  <c r="K45" i="8"/>
  <c r="J45" i="8"/>
  <c r="I45" i="8"/>
  <c r="H45" i="8"/>
  <c r="E45" i="8"/>
  <c r="AR44" i="8"/>
  <c r="AQ44" i="8"/>
  <c r="AP44" i="8"/>
  <c r="AO44" i="8"/>
  <c r="AN44" i="8"/>
  <c r="AM44" i="8"/>
  <c r="AJ44" i="8"/>
  <c r="AI44" i="8"/>
  <c r="AH44" i="8"/>
  <c r="AG44" i="8"/>
  <c r="AF44" i="8"/>
  <c r="AE44" i="8"/>
  <c r="U44" i="8"/>
  <c r="T44" i="8"/>
  <c r="S44" i="8"/>
  <c r="R44" i="8"/>
  <c r="P44" i="8"/>
  <c r="O44" i="8"/>
  <c r="L44" i="8"/>
  <c r="K44" i="8"/>
  <c r="J44" i="8"/>
  <c r="I44" i="8"/>
  <c r="H44" i="8"/>
  <c r="E44" i="8"/>
  <c r="AR43" i="8"/>
  <c r="AQ43" i="8"/>
  <c r="AP43" i="8"/>
  <c r="AO43" i="8"/>
  <c r="AN43" i="8"/>
  <c r="AM43" i="8"/>
  <c r="AJ43" i="8"/>
  <c r="AI43" i="8"/>
  <c r="AH43" i="8"/>
  <c r="AG43" i="8"/>
  <c r="AF43" i="8"/>
  <c r="AE43" i="8"/>
  <c r="U43" i="8"/>
  <c r="T43" i="8"/>
  <c r="S43" i="8"/>
  <c r="R43" i="8"/>
  <c r="P43" i="8"/>
  <c r="O43" i="8"/>
  <c r="L43" i="8"/>
  <c r="K43" i="8"/>
  <c r="J43" i="8"/>
  <c r="I43" i="8"/>
  <c r="H43" i="8"/>
  <c r="E43" i="8"/>
  <c r="AJ42" i="8"/>
  <c r="AI42" i="8"/>
  <c r="AH42" i="8"/>
  <c r="AG42" i="8"/>
  <c r="AF42" i="8"/>
  <c r="AE42" i="8"/>
  <c r="U42" i="8"/>
  <c r="T42" i="8"/>
  <c r="S42" i="8"/>
  <c r="R42" i="8"/>
  <c r="P42" i="8"/>
  <c r="O42" i="8"/>
  <c r="L42" i="8"/>
  <c r="K42" i="8"/>
  <c r="J42" i="8"/>
  <c r="I42" i="8"/>
  <c r="H42" i="8"/>
  <c r="E42" i="8"/>
  <c r="AJ41" i="8"/>
  <c r="U41" i="8"/>
  <c r="T41" i="8"/>
  <c r="S41" i="8"/>
  <c r="R41" i="8"/>
  <c r="P41" i="8"/>
  <c r="O41" i="8"/>
  <c r="L41" i="8"/>
  <c r="K41" i="8"/>
  <c r="J41" i="8"/>
  <c r="I41" i="8"/>
  <c r="H41" i="8"/>
  <c r="E41" i="8"/>
  <c r="AJ40" i="8"/>
  <c r="AA40" i="8"/>
  <c r="U40" i="8"/>
  <c r="T40" i="8"/>
  <c r="S40" i="8"/>
  <c r="R40" i="8"/>
  <c r="P40" i="8"/>
  <c r="O40" i="8"/>
  <c r="L40" i="8"/>
  <c r="K40" i="8"/>
  <c r="J40" i="8"/>
  <c r="I40" i="8"/>
  <c r="H40" i="8"/>
  <c r="E40" i="8"/>
  <c r="AJ39" i="8"/>
  <c r="U39" i="8"/>
  <c r="T39" i="8"/>
  <c r="S39" i="8"/>
  <c r="R39" i="8"/>
  <c r="P39" i="8"/>
  <c r="O39" i="8"/>
  <c r="L39" i="8"/>
  <c r="K39" i="8"/>
  <c r="J39" i="8"/>
  <c r="I39" i="8"/>
  <c r="H39" i="8"/>
  <c r="E39" i="8"/>
  <c r="AJ38" i="8"/>
  <c r="U38" i="8"/>
  <c r="T38" i="8"/>
  <c r="S38" i="8"/>
  <c r="R38" i="8"/>
  <c r="P38" i="8"/>
  <c r="O38" i="8"/>
  <c r="L38" i="8"/>
  <c r="K38" i="8"/>
  <c r="J38" i="8"/>
  <c r="I38" i="8"/>
  <c r="H38" i="8"/>
  <c r="E38" i="8"/>
  <c r="AJ37" i="8"/>
  <c r="U37" i="8"/>
  <c r="T37" i="8"/>
  <c r="S37" i="8"/>
  <c r="R37" i="8"/>
  <c r="P37" i="8"/>
  <c r="O37" i="8"/>
  <c r="L37" i="8"/>
  <c r="K37" i="8"/>
  <c r="J37" i="8"/>
  <c r="I37" i="8"/>
  <c r="H37" i="8"/>
  <c r="E37" i="8"/>
  <c r="AJ36" i="8"/>
  <c r="U36" i="8"/>
  <c r="T36" i="8"/>
  <c r="S36" i="8"/>
  <c r="R36" i="8"/>
  <c r="P36" i="8"/>
  <c r="O36" i="8"/>
  <c r="L36" i="8"/>
  <c r="K36" i="8"/>
  <c r="J36" i="8"/>
  <c r="I36" i="8"/>
  <c r="H36" i="8"/>
  <c r="E36" i="8"/>
  <c r="AJ35" i="8"/>
  <c r="U35" i="8"/>
  <c r="T35" i="8"/>
  <c r="S35" i="8"/>
  <c r="R35" i="8"/>
  <c r="P35" i="8"/>
  <c r="O35" i="8"/>
  <c r="L35" i="8"/>
  <c r="K35" i="8"/>
  <c r="J35" i="8"/>
  <c r="I35" i="8"/>
  <c r="H35" i="8"/>
  <c r="E35" i="8"/>
  <c r="AJ34" i="8"/>
  <c r="U34" i="8"/>
  <c r="T34" i="8"/>
  <c r="S34" i="8"/>
  <c r="R34" i="8"/>
  <c r="P34" i="8"/>
  <c r="O34" i="8"/>
  <c r="L34" i="8"/>
  <c r="K34" i="8"/>
  <c r="J34" i="8"/>
  <c r="I34" i="8"/>
  <c r="H34" i="8"/>
  <c r="E34" i="8"/>
  <c r="AJ33" i="8"/>
  <c r="U33" i="8"/>
  <c r="T33" i="8"/>
  <c r="S33" i="8"/>
  <c r="R33" i="8"/>
  <c r="P33" i="8"/>
  <c r="O33" i="8"/>
  <c r="L33" i="8"/>
  <c r="K33" i="8"/>
  <c r="J33" i="8"/>
  <c r="I33" i="8"/>
  <c r="H33" i="8"/>
  <c r="E33" i="8"/>
  <c r="AJ32" i="8"/>
  <c r="U32" i="8"/>
  <c r="T32" i="8"/>
  <c r="S32" i="8"/>
  <c r="R32" i="8"/>
  <c r="P32" i="8"/>
  <c r="O32" i="8"/>
  <c r="L32" i="8"/>
  <c r="K32" i="8"/>
  <c r="J32" i="8"/>
  <c r="I32" i="8"/>
  <c r="H32" i="8"/>
  <c r="E32" i="8"/>
  <c r="AJ31" i="8"/>
  <c r="U31" i="8"/>
  <c r="T31" i="8"/>
  <c r="S31" i="8"/>
  <c r="R31" i="8"/>
  <c r="P31" i="8"/>
  <c r="O31" i="8"/>
  <c r="L31" i="8"/>
  <c r="K31" i="8"/>
  <c r="J31" i="8"/>
  <c r="I31" i="8"/>
  <c r="H31" i="8"/>
  <c r="E31" i="8"/>
  <c r="AJ30" i="8"/>
  <c r="U30" i="8"/>
  <c r="T30" i="8"/>
  <c r="S30" i="8"/>
  <c r="R30" i="8"/>
  <c r="P30" i="8"/>
  <c r="O30" i="8"/>
  <c r="L30" i="8"/>
  <c r="K30" i="8"/>
  <c r="J30" i="8"/>
  <c r="I30" i="8"/>
  <c r="H30" i="8"/>
  <c r="E30" i="8"/>
  <c r="U29" i="8"/>
  <c r="T29" i="8"/>
  <c r="S29" i="8"/>
  <c r="R29" i="8"/>
  <c r="P29" i="8"/>
  <c r="O29" i="8"/>
  <c r="L29" i="8"/>
  <c r="K29" i="8"/>
  <c r="J29" i="8"/>
  <c r="I29" i="8"/>
  <c r="H29" i="8"/>
  <c r="E29" i="8"/>
  <c r="U28" i="8"/>
  <c r="T28" i="8"/>
  <c r="S28" i="8"/>
  <c r="R28" i="8"/>
  <c r="P28" i="8"/>
  <c r="O28" i="8"/>
  <c r="L28" i="8"/>
  <c r="K28" i="8"/>
  <c r="J28" i="8"/>
  <c r="I28" i="8"/>
  <c r="H28" i="8"/>
  <c r="E28" i="8"/>
  <c r="U27" i="8"/>
  <c r="T27" i="8"/>
  <c r="S27" i="8"/>
  <c r="R27" i="8"/>
  <c r="P27" i="8"/>
  <c r="O27" i="8"/>
  <c r="L27" i="8"/>
  <c r="K27" i="8"/>
  <c r="J27" i="8"/>
  <c r="I27" i="8"/>
  <c r="H27" i="8"/>
  <c r="E27" i="8"/>
  <c r="U26" i="8"/>
  <c r="T26" i="8"/>
  <c r="S26" i="8"/>
  <c r="R26" i="8"/>
  <c r="P26" i="8"/>
  <c r="O26" i="8"/>
  <c r="L26" i="8"/>
  <c r="K26" i="8"/>
  <c r="J26" i="8"/>
  <c r="I26" i="8"/>
  <c r="H26" i="8"/>
  <c r="E26" i="8"/>
  <c r="R25" i="8"/>
  <c r="O25" i="8"/>
  <c r="I25" i="8"/>
  <c r="H25" i="8"/>
  <c r="E25" i="8"/>
  <c r="U24" i="8"/>
  <c r="T24" i="8"/>
  <c r="S24" i="8"/>
  <c r="R24" i="8"/>
  <c r="P24" i="8"/>
  <c r="O24" i="8"/>
  <c r="L24" i="8"/>
  <c r="K24" i="8"/>
  <c r="J24" i="8"/>
  <c r="I24" i="8"/>
  <c r="H24" i="8"/>
  <c r="E24" i="8"/>
  <c r="U23" i="8"/>
  <c r="T23" i="8"/>
  <c r="S23" i="8"/>
  <c r="R23" i="8"/>
  <c r="P23" i="8"/>
  <c r="O23" i="8"/>
  <c r="L23" i="8"/>
  <c r="K23" i="8"/>
  <c r="J23" i="8"/>
  <c r="I23" i="8"/>
  <c r="H23" i="8"/>
  <c r="E23" i="8"/>
  <c r="U22" i="8"/>
  <c r="T22" i="8"/>
  <c r="S22" i="8"/>
  <c r="R22" i="8"/>
  <c r="P22" i="8"/>
  <c r="O22" i="8"/>
  <c r="L22" i="8"/>
  <c r="K22" i="8"/>
  <c r="J22" i="8"/>
  <c r="I22" i="8"/>
  <c r="H22" i="8"/>
  <c r="E22" i="8"/>
  <c r="U21" i="8"/>
  <c r="T21" i="8"/>
  <c r="S21" i="8"/>
  <c r="R21" i="8"/>
  <c r="P21" i="8"/>
  <c r="O21" i="8"/>
  <c r="L21" i="8"/>
  <c r="K21" i="8"/>
  <c r="J21" i="8"/>
  <c r="I21" i="8"/>
  <c r="H21" i="8"/>
  <c r="E21" i="8"/>
  <c r="U20" i="8"/>
  <c r="T20" i="8"/>
  <c r="S20" i="8"/>
  <c r="R20" i="8"/>
  <c r="P20" i="8"/>
  <c r="O20" i="8"/>
  <c r="L20" i="8"/>
  <c r="K20" i="8"/>
  <c r="J20" i="8"/>
  <c r="I20" i="8"/>
  <c r="H20" i="8"/>
  <c r="E20" i="8"/>
  <c r="U19" i="8"/>
  <c r="T19" i="8"/>
  <c r="S19" i="8"/>
  <c r="R19" i="8"/>
  <c r="P19" i="8"/>
  <c r="O19" i="8"/>
  <c r="L19" i="8"/>
  <c r="K19" i="8"/>
  <c r="J19" i="8"/>
  <c r="I19" i="8"/>
  <c r="H19" i="8"/>
  <c r="E19" i="8"/>
  <c r="U18" i="8"/>
  <c r="T18" i="8"/>
  <c r="S18" i="8"/>
  <c r="R18" i="8"/>
  <c r="P18" i="8"/>
  <c r="O18" i="8"/>
  <c r="L18" i="8"/>
  <c r="K18" i="8"/>
  <c r="J18" i="8"/>
  <c r="I18" i="8"/>
  <c r="H18" i="8"/>
  <c r="E18" i="8"/>
  <c r="U17" i="8"/>
  <c r="T17" i="8"/>
  <c r="S17" i="8"/>
  <c r="R17" i="8"/>
  <c r="P17" i="8"/>
  <c r="O17" i="8"/>
  <c r="L17" i="8"/>
  <c r="K17" i="8"/>
  <c r="J17" i="8"/>
  <c r="I17" i="8"/>
  <c r="H17" i="8"/>
  <c r="E17" i="8"/>
  <c r="U16" i="8"/>
  <c r="T16" i="8"/>
  <c r="S16" i="8"/>
  <c r="R16" i="8"/>
  <c r="P16" i="8"/>
  <c r="O16" i="8"/>
  <c r="L16" i="8"/>
  <c r="K16" i="8"/>
  <c r="J16" i="8"/>
  <c r="I16" i="8"/>
  <c r="H16" i="8"/>
  <c r="E16" i="8"/>
  <c r="U15" i="8"/>
  <c r="T15" i="8"/>
  <c r="S15" i="8"/>
  <c r="R15" i="8"/>
  <c r="P15" i="8"/>
  <c r="O15" i="8"/>
  <c r="L15" i="8"/>
  <c r="K15" i="8"/>
  <c r="J15" i="8"/>
  <c r="I15" i="8"/>
  <c r="H15" i="8"/>
  <c r="E15" i="8"/>
  <c r="R14" i="8"/>
  <c r="O14" i="8"/>
  <c r="I14" i="8"/>
  <c r="H14" i="8"/>
  <c r="E14" i="8"/>
  <c r="U13" i="8"/>
  <c r="T13" i="8"/>
  <c r="S13" i="8"/>
  <c r="R13" i="8"/>
  <c r="P13" i="8"/>
  <c r="O13" i="8"/>
  <c r="L13" i="8"/>
  <c r="K13" i="8"/>
  <c r="J13" i="8"/>
  <c r="I13" i="8"/>
  <c r="H13" i="8"/>
  <c r="E13" i="8"/>
  <c r="U12" i="8"/>
  <c r="T12" i="8"/>
  <c r="S12" i="8"/>
  <c r="R12" i="8"/>
  <c r="P12" i="8"/>
  <c r="O12" i="8"/>
  <c r="L12" i="8"/>
  <c r="K12" i="8"/>
  <c r="J12" i="8"/>
  <c r="I12" i="8"/>
  <c r="H12" i="8"/>
  <c r="E12" i="8"/>
  <c r="U11" i="8"/>
  <c r="T11" i="8"/>
  <c r="S11" i="8"/>
  <c r="R11" i="8"/>
  <c r="P11" i="8"/>
  <c r="O11" i="8"/>
  <c r="L11" i="8"/>
  <c r="K11" i="8"/>
  <c r="J11" i="8"/>
  <c r="I11" i="8"/>
  <c r="H11" i="8"/>
  <c r="E11" i="8"/>
  <c r="T10" i="8"/>
  <c r="S10" i="8"/>
  <c r="R10" i="8"/>
  <c r="P10" i="8"/>
  <c r="O10" i="8"/>
  <c r="L10" i="8"/>
  <c r="K10" i="8"/>
  <c r="J10" i="8"/>
  <c r="I10" i="8"/>
  <c r="H10" i="8"/>
  <c r="E10" i="8"/>
  <c r="U9" i="8"/>
  <c r="T9" i="8"/>
  <c r="S9" i="8"/>
  <c r="R9" i="8"/>
  <c r="P9" i="8"/>
  <c r="O9" i="8"/>
  <c r="L9" i="8"/>
  <c r="K9" i="8"/>
  <c r="J9" i="8"/>
  <c r="I9" i="8"/>
  <c r="H9" i="8"/>
  <c r="E9" i="8"/>
  <c r="U8" i="8"/>
  <c r="T8" i="8"/>
  <c r="S8" i="8"/>
  <c r="R8" i="8"/>
  <c r="P8" i="8"/>
  <c r="O8" i="8"/>
  <c r="L8" i="8"/>
  <c r="K8" i="8"/>
  <c r="J8" i="8"/>
  <c r="I8" i="8"/>
  <c r="H8" i="8"/>
  <c r="E8" i="8"/>
  <c r="U7" i="8"/>
  <c r="T7" i="8"/>
  <c r="S7" i="8"/>
  <c r="R7" i="8"/>
  <c r="P7" i="8"/>
  <c r="O7" i="8"/>
  <c r="L7" i="8"/>
  <c r="K7" i="8"/>
  <c r="J7" i="8"/>
  <c r="I7" i="8"/>
  <c r="H7" i="8"/>
  <c r="E7" i="8"/>
  <c r="U6" i="8"/>
  <c r="T6" i="8"/>
  <c r="S6" i="8"/>
  <c r="R6" i="8"/>
  <c r="P6" i="8"/>
  <c r="O6" i="8"/>
  <c r="L6" i="8"/>
  <c r="K6" i="8"/>
  <c r="J6" i="8"/>
  <c r="I6" i="8"/>
  <c r="H6" i="8"/>
  <c r="E6" i="8"/>
  <c r="U5" i="8"/>
  <c r="T5" i="8"/>
  <c r="S5" i="8"/>
  <c r="R5" i="8"/>
  <c r="P5" i="8"/>
  <c r="O5" i="8"/>
  <c r="L5" i="8"/>
  <c r="K5" i="8"/>
  <c r="J5" i="8"/>
  <c r="I5" i="8"/>
  <c r="H5" i="8"/>
  <c r="E5" i="8"/>
  <c r="U4" i="8"/>
  <c r="T4" i="8"/>
  <c r="S4" i="8"/>
  <c r="R4" i="8"/>
  <c r="P4" i="8"/>
  <c r="O4" i="8"/>
  <c r="L4" i="8"/>
  <c r="K4" i="8"/>
  <c r="J4" i="8"/>
  <c r="I4" i="8"/>
  <c r="H4" i="8"/>
  <c r="E4" i="8"/>
  <c r="U3" i="8"/>
  <c r="T3" i="8"/>
  <c r="S3" i="8"/>
  <c r="R3" i="8"/>
  <c r="P3" i="8"/>
  <c r="O3" i="8"/>
  <c r="L3" i="8"/>
  <c r="K3" i="8"/>
  <c r="J3" i="8"/>
  <c r="I3" i="8"/>
  <c r="H3" i="8"/>
  <c r="E3" i="8"/>
  <c r="AE95" i="6"/>
  <c r="AD95" i="6"/>
  <c r="AC95" i="6"/>
  <c r="AB95" i="6"/>
  <c r="AA95" i="6"/>
  <c r="Z95" i="6"/>
  <c r="AE94" i="6"/>
  <c r="AD94" i="6"/>
  <c r="AC94" i="6"/>
  <c r="AB94" i="6"/>
  <c r="AA94" i="6"/>
  <c r="Z94" i="6"/>
  <c r="AE93" i="6"/>
  <c r="AD93" i="6"/>
  <c r="AC93" i="6"/>
  <c r="AB93" i="6"/>
  <c r="AA93" i="6"/>
  <c r="Z93" i="6"/>
  <c r="AE92" i="6"/>
  <c r="AB92" i="6"/>
  <c r="AA92" i="6"/>
  <c r="AE91" i="6"/>
  <c r="AC91" i="6"/>
  <c r="AB91" i="6"/>
  <c r="AA91" i="6"/>
  <c r="AE90" i="6"/>
  <c r="AC90" i="6"/>
  <c r="AB90" i="6"/>
  <c r="AE89" i="6"/>
  <c r="AB89" i="6"/>
  <c r="AA89" i="6"/>
  <c r="AM88" i="6"/>
  <c r="AL88" i="6"/>
  <c r="AK88" i="6"/>
  <c r="AJ88" i="6"/>
  <c r="AI88" i="6"/>
  <c r="AH88" i="6"/>
  <c r="AE88" i="6"/>
  <c r="AC88" i="6"/>
  <c r="AB88" i="6"/>
  <c r="AA88" i="6"/>
  <c r="AM87" i="6"/>
  <c r="AL87" i="6"/>
  <c r="AK87" i="6"/>
  <c r="AJ87" i="6"/>
  <c r="AI87" i="6"/>
  <c r="AH87" i="6"/>
  <c r="AE87" i="6"/>
  <c r="AD87" i="6"/>
  <c r="AC87" i="6"/>
  <c r="AB87" i="6"/>
  <c r="AM86" i="6"/>
  <c r="AL86" i="6"/>
  <c r="AK86" i="6"/>
  <c r="AJ86" i="6"/>
  <c r="AI86" i="6"/>
  <c r="AH86" i="6"/>
  <c r="AE86" i="6"/>
  <c r="AC86" i="6"/>
  <c r="AB86" i="6"/>
  <c r="AA86" i="6"/>
  <c r="AM85" i="6"/>
  <c r="AL85" i="6"/>
  <c r="AK85" i="6"/>
  <c r="AJ85" i="6"/>
  <c r="AI85" i="6"/>
  <c r="AH85" i="6"/>
  <c r="AE85" i="6"/>
  <c r="AC85" i="6"/>
  <c r="AB85" i="6"/>
  <c r="AM84" i="6"/>
  <c r="AL84" i="6"/>
  <c r="AK84" i="6"/>
  <c r="AJ84" i="6"/>
  <c r="AI84" i="6"/>
  <c r="AH84" i="6"/>
  <c r="AE84" i="6"/>
  <c r="AC84" i="6"/>
  <c r="AB84" i="6"/>
  <c r="AA84" i="6"/>
  <c r="AM83" i="6"/>
  <c r="AL83" i="6"/>
  <c r="AK83" i="6"/>
  <c r="AJ83" i="6"/>
  <c r="AI83" i="6"/>
  <c r="AH83" i="6"/>
  <c r="AE83" i="6"/>
  <c r="AD83" i="6"/>
  <c r="AB83" i="6"/>
  <c r="AM82" i="6"/>
  <c r="AL82" i="6"/>
  <c r="AK82" i="6"/>
  <c r="AJ82" i="6"/>
  <c r="AI82" i="6"/>
  <c r="AH82" i="6"/>
  <c r="AE82" i="6"/>
  <c r="AD82" i="6"/>
  <c r="AB82" i="6"/>
  <c r="AA82" i="6"/>
  <c r="AM81" i="6"/>
  <c r="AL81" i="6"/>
  <c r="AK81" i="6"/>
  <c r="AJ81" i="6"/>
  <c r="AI81" i="6"/>
  <c r="AH81" i="6"/>
  <c r="AE81" i="6"/>
  <c r="AC81" i="6"/>
  <c r="AB81" i="6"/>
  <c r="AA81" i="6"/>
  <c r="AM80" i="6"/>
  <c r="AL80" i="6"/>
  <c r="AK80" i="6"/>
  <c r="AJ80" i="6"/>
  <c r="AI80" i="6"/>
  <c r="AH80" i="6"/>
  <c r="AM79" i="6"/>
  <c r="AL79" i="6"/>
  <c r="AK79" i="6"/>
  <c r="AJ79" i="6"/>
  <c r="AI79" i="6"/>
  <c r="AH79" i="6"/>
  <c r="AM78" i="6"/>
  <c r="AL78" i="6"/>
  <c r="AK78" i="6"/>
  <c r="AJ78" i="6"/>
  <c r="AI78" i="6"/>
  <c r="AH78" i="6"/>
  <c r="AM77" i="6"/>
  <c r="AL77" i="6"/>
  <c r="AK77" i="6"/>
  <c r="AJ77" i="6"/>
  <c r="AI77" i="6"/>
  <c r="AH77" i="6"/>
  <c r="AM76" i="6"/>
  <c r="AL76" i="6"/>
  <c r="AK76" i="6"/>
  <c r="AJ76" i="6"/>
  <c r="AI76" i="6"/>
  <c r="AH76" i="6"/>
  <c r="AM75" i="6"/>
  <c r="AL75" i="6"/>
  <c r="AK75" i="6"/>
  <c r="AJ75" i="6"/>
  <c r="AI75" i="6"/>
  <c r="AH75" i="6"/>
  <c r="AE75" i="6"/>
  <c r="AD75" i="6"/>
  <c r="AC75" i="6"/>
  <c r="AB75" i="6"/>
  <c r="AA75" i="6"/>
  <c r="Z75" i="6"/>
  <c r="AM74" i="6"/>
  <c r="AL74" i="6"/>
  <c r="AK74" i="6"/>
  <c r="AJ74" i="6"/>
  <c r="AI74" i="6"/>
  <c r="AH74" i="6"/>
  <c r="AE74" i="6"/>
  <c r="AD74" i="6"/>
  <c r="AC74" i="6"/>
  <c r="AB74" i="6"/>
  <c r="AA74" i="6"/>
  <c r="Z74" i="6"/>
  <c r="AE73" i="6"/>
  <c r="AD73" i="6"/>
  <c r="AC73" i="6"/>
  <c r="AB73" i="6"/>
  <c r="AA73" i="6"/>
  <c r="Z73" i="6"/>
  <c r="AE72" i="6"/>
  <c r="AE71" i="6"/>
  <c r="AE70" i="6"/>
  <c r="AE69" i="6"/>
  <c r="AE68" i="6"/>
  <c r="AE67" i="6"/>
  <c r="AE66" i="6"/>
  <c r="AE65" i="6"/>
  <c r="AE64" i="6"/>
  <c r="AE63" i="6"/>
  <c r="AE62" i="6"/>
  <c r="AE61" i="6"/>
  <c r="U56" i="6"/>
  <c r="T56" i="6"/>
  <c r="S56" i="6"/>
  <c r="R56" i="6"/>
  <c r="P56" i="6"/>
  <c r="O56" i="6"/>
  <c r="L56" i="6"/>
  <c r="K56" i="6"/>
  <c r="J56" i="6"/>
  <c r="I56" i="6"/>
  <c r="H56" i="6"/>
  <c r="E56" i="6"/>
  <c r="U55" i="6"/>
  <c r="T55" i="6"/>
  <c r="S55" i="6"/>
  <c r="R55" i="6"/>
  <c r="P55" i="6"/>
  <c r="O55" i="6"/>
  <c r="L55" i="6"/>
  <c r="K55" i="6"/>
  <c r="J55" i="6"/>
  <c r="I55" i="6"/>
  <c r="H55" i="6"/>
  <c r="E55" i="6"/>
  <c r="U54" i="6"/>
  <c r="T54" i="6"/>
  <c r="S54" i="6"/>
  <c r="R54" i="6"/>
  <c r="P54" i="6"/>
  <c r="O54" i="6"/>
  <c r="L54" i="6"/>
  <c r="K54" i="6"/>
  <c r="J54" i="6"/>
  <c r="I54" i="6"/>
  <c r="H54" i="6"/>
  <c r="E54" i="6"/>
  <c r="U53" i="6"/>
  <c r="T53" i="6"/>
  <c r="S53" i="6"/>
  <c r="R53" i="6"/>
  <c r="P53" i="6"/>
  <c r="O53" i="6"/>
  <c r="L53" i="6"/>
  <c r="K53" i="6"/>
  <c r="J53" i="6"/>
  <c r="I53" i="6"/>
  <c r="H53" i="6"/>
  <c r="E53" i="6"/>
  <c r="U52" i="6"/>
  <c r="T52" i="6"/>
  <c r="S52" i="6"/>
  <c r="R52" i="6"/>
  <c r="P52" i="6"/>
  <c r="O52" i="6"/>
  <c r="L52" i="6"/>
  <c r="K52" i="6"/>
  <c r="J52" i="6"/>
  <c r="I52" i="6"/>
  <c r="H52" i="6"/>
  <c r="E52" i="6"/>
  <c r="U51" i="6"/>
  <c r="T51" i="6"/>
  <c r="S51" i="6"/>
  <c r="R51" i="6"/>
  <c r="P51" i="6"/>
  <c r="O51" i="6"/>
  <c r="L51" i="6"/>
  <c r="K51" i="6"/>
  <c r="J51" i="6"/>
  <c r="I51" i="6"/>
  <c r="H51" i="6"/>
  <c r="E51" i="6"/>
  <c r="U50" i="6"/>
  <c r="T50" i="6"/>
  <c r="S50" i="6"/>
  <c r="R50" i="6"/>
  <c r="P50" i="6"/>
  <c r="O50" i="6"/>
  <c r="L50" i="6"/>
  <c r="K50" i="6"/>
  <c r="J50" i="6"/>
  <c r="I50" i="6"/>
  <c r="H50" i="6"/>
  <c r="E50" i="6"/>
  <c r="U49" i="6"/>
  <c r="T49" i="6"/>
  <c r="S49" i="6"/>
  <c r="R49" i="6"/>
  <c r="P49" i="6"/>
  <c r="O49" i="6"/>
  <c r="L49" i="6"/>
  <c r="K49" i="6"/>
  <c r="J49" i="6"/>
  <c r="I49" i="6"/>
  <c r="H49" i="6"/>
  <c r="E49" i="6"/>
  <c r="U48" i="6"/>
  <c r="T48" i="6"/>
  <c r="S48" i="6"/>
  <c r="R48" i="6"/>
  <c r="P48" i="6"/>
  <c r="O48" i="6"/>
  <c r="L48" i="6"/>
  <c r="K48" i="6"/>
  <c r="J48" i="6"/>
  <c r="I48" i="6"/>
  <c r="H48" i="6"/>
  <c r="E48" i="6"/>
  <c r="U47" i="6"/>
  <c r="T47" i="6"/>
  <c r="S47" i="6"/>
  <c r="R47" i="6"/>
  <c r="P47" i="6"/>
  <c r="O47" i="6"/>
  <c r="L47" i="6"/>
  <c r="K47" i="6"/>
  <c r="J47" i="6"/>
  <c r="I47" i="6"/>
  <c r="H47" i="6"/>
  <c r="E47" i="6"/>
  <c r="U46" i="6"/>
  <c r="T46" i="6"/>
  <c r="S46" i="6"/>
  <c r="R46" i="6"/>
  <c r="P46" i="6"/>
  <c r="O46" i="6"/>
  <c r="L46" i="6"/>
  <c r="K46" i="6"/>
  <c r="J46" i="6"/>
  <c r="I46" i="6"/>
  <c r="H46" i="6"/>
  <c r="E46" i="6"/>
  <c r="U45" i="6"/>
  <c r="T45" i="6"/>
  <c r="S45" i="6"/>
  <c r="R45" i="6"/>
  <c r="P45" i="6"/>
  <c r="O45" i="6"/>
  <c r="L45" i="6"/>
  <c r="K45" i="6"/>
  <c r="J45" i="6"/>
  <c r="I45" i="6"/>
  <c r="H45" i="6"/>
  <c r="E45" i="6"/>
  <c r="U44" i="6"/>
  <c r="T44" i="6"/>
  <c r="S44" i="6"/>
  <c r="R44" i="6"/>
  <c r="P44" i="6"/>
  <c r="O44" i="6"/>
  <c r="L44" i="6"/>
  <c r="K44" i="6"/>
  <c r="J44" i="6"/>
  <c r="I44" i="6"/>
  <c r="H44" i="6"/>
  <c r="E44" i="6"/>
  <c r="U43" i="6"/>
  <c r="T43" i="6"/>
  <c r="S43" i="6"/>
  <c r="R43" i="6"/>
  <c r="P43" i="6"/>
  <c r="O43" i="6"/>
  <c r="L43" i="6"/>
  <c r="K43" i="6"/>
  <c r="J43" i="6"/>
  <c r="I43" i="6"/>
  <c r="H43" i="6"/>
  <c r="E43" i="6"/>
  <c r="U42" i="6"/>
  <c r="T42" i="6"/>
  <c r="S42" i="6"/>
  <c r="R42" i="6"/>
  <c r="P42" i="6"/>
  <c r="O42" i="6"/>
  <c r="L42" i="6"/>
  <c r="K42" i="6"/>
  <c r="J42" i="6"/>
  <c r="I42" i="6"/>
  <c r="H42" i="6"/>
  <c r="E42" i="6"/>
  <c r="U41" i="6"/>
  <c r="T41" i="6"/>
  <c r="S41" i="6"/>
  <c r="R41" i="6"/>
  <c r="P41" i="6"/>
  <c r="O41" i="6"/>
  <c r="L41" i="6"/>
  <c r="K41" i="6"/>
  <c r="J41" i="6"/>
  <c r="I41" i="6"/>
  <c r="H41" i="6"/>
  <c r="E41" i="6"/>
  <c r="U40" i="6"/>
  <c r="T40" i="6"/>
  <c r="S40" i="6"/>
  <c r="R40" i="6"/>
  <c r="P40" i="6"/>
  <c r="O40" i="6"/>
  <c r="L40" i="6"/>
  <c r="K40" i="6"/>
  <c r="J40" i="6"/>
  <c r="I40" i="6"/>
  <c r="H40" i="6"/>
  <c r="E40" i="6"/>
  <c r="U39" i="6"/>
  <c r="T39" i="6"/>
  <c r="S39" i="6"/>
  <c r="R39" i="6"/>
  <c r="P39" i="6"/>
  <c r="O39" i="6"/>
  <c r="L39" i="6"/>
  <c r="K39" i="6"/>
  <c r="J39" i="6"/>
  <c r="I39" i="6"/>
  <c r="H39" i="6"/>
  <c r="E39" i="6"/>
  <c r="U38" i="6"/>
  <c r="T38" i="6"/>
  <c r="S38" i="6"/>
  <c r="R38" i="6"/>
  <c r="P38" i="6"/>
  <c r="O38" i="6"/>
  <c r="L38" i="6"/>
  <c r="K38" i="6"/>
  <c r="J38" i="6"/>
  <c r="I38" i="6"/>
  <c r="H38" i="6"/>
  <c r="E38" i="6"/>
  <c r="U37" i="6"/>
  <c r="T37" i="6"/>
  <c r="S37" i="6"/>
  <c r="R37" i="6"/>
  <c r="P37" i="6"/>
  <c r="O37" i="6"/>
  <c r="L37" i="6"/>
  <c r="K37" i="6"/>
  <c r="J37" i="6"/>
  <c r="I37" i="6"/>
  <c r="H37" i="6"/>
  <c r="E37" i="6"/>
  <c r="U36" i="6"/>
  <c r="T36" i="6"/>
  <c r="S36" i="6"/>
  <c r="R36" i="6"/>
  <c r="P36" i="6"/>
  <c r="O36" i="6"/>
  <c r="L36" i="6"/>
  <c r="K36" i="6"/>
  <c r="J36" i="6"/>
  <c r="I36" i="6"/>
  <c r="H36" i="6"/>
  <c r="E36" i="6"/>
  <c r="U35" i="6"/>
  <c r="T35" i="6"/>
  <c r="S35" i="6"/>
  <c r="R35" i="6"/>
  <c r="P35" i="6"/>
  <c r="O35" i="6"/>
  <c r="L35" i="6"/>
  <c r="K35" i="6"/>
  <c r="J35" i="6"/>
  <c r="I35" i="6"/>
  <c r="H35" i="6"/>
  <c r="E35" i="6"/>
  <c r="U34" i="6"/>
  <c r="T34" i="6"/>
  <c r="S34" i="6"/>
  <c r="R34" i="6"/>
  <c r="P34" i="6"/>
  <c r="O34" i="6"/>
  <c r="L34" i="6"/>
  <c r="K34" i="6"/>
  <c r="J34" i="6"/>
  <c r="I34" i="6"/>
  <c r="H34" i="6"/>
  <c r="E34" i="6"/>
  <c r="Z33" i="6"/>
  <c r="U33" i="6"/>
  <c r="T33" i="6"/>
  <c r="S33" i="6"/>
  <c r="R33" i="6"/>
  <c r="P33" i="6"/>
  <c r="O33" i="6"/>
  <c r="L33" i="6"/>
  <c r="K33" i="6"/>
  <c r="J33" i="6"/>
  <c r="I33" i="6"/>
  <c r="H33" i="6"/>
  <c r="E33" i="6"/>
  <c r="U32" i="6"/>
  <c r="T32" i="6"/>
  <c r="S32" i="6"/>
  <c r="R32" i="6"/>
  <c r="P32" i="6"/>
  <c r="O32" i="6"/>
  <c r="L32" i="6"/>
  <c r="K32" i="6"/>
  <c r="J32" i="6"/>
  <c r="I32" i="6"/>
  <c r="H32" i="6"/>
  <c r="E32" i="6"/>
  <c r="U31" i="6"/>
  <c r="T31" i="6"/>
  <c r="S31" i="6"/>
  <c r="R31" i="6"/>
  <c r="P31" i="6"/>
  <c r="O31" i="6"/>
  <c r="L31" i="6"/>
  <c r="K31" i="6"/>
  <c r="J31" i="6"/>
  <c r="I31" i="6"/>
  <c r="H31" i="6"/>
  <c r="E31" i="6"/>
  <c r="U30" i="6"/>
  <c r="T30" i="6"/>
  <c r="S30" i="6"/>
  <c r="R30" i="6"/>
  <c r="P30" i="6"/>
  <c r="O30" i="6"/>
  <c r="L30" i="6"/>
  <c r="K30" i="6"/>
  <c r="J30" i="6"/>
  <c r="I30" i="6"/>
  <c r="H30" i="6"/>
  <c r="E30" i="6"/>
  <c r="U29" i="6"/>
  <c r="T29" i="6"/>
  <c r="S29" i="6"/>
  <c r="R29" i="6"/>
  <c r="P29" i="6"/>
  <c r="O29" i="6"/>
  <c r="L29" i="6"/>
  <c r="K29" i="6"/>
  <c r="J29" i="6"/>
  <c r="I29" i="6"/>
  <c r="H29" i="6"/>
  <c r="E29" i="6"/>
  <c r="AA28" i="6"/>
  <c r="U28" i="6"/>
  <c r="T28" i="6"/>
  <c r="S28" i="6"/>
  <c r="R28" i="6"/>
  <c r="P28" i="6"/>
  <c r="O28" i="6"/>
  <c r="L28" i="6"/>
  <c r="K28" i="6"/>
  <c r="J28" i="6"/>
  <c r="I28" i="6"/>
  <c r="H28" i="6"/>
  <c r="E28" i="6"/>
  <c r="AA27" i="6"/>
  <c r="U27" i="6"/>
  <c r="T27" i="6"/>
  <c r="S27" i="6"/>
  <c r="R27" i="6"/>
  <c r="P27" i="6"/>
  <c r="O27" i="6"/>
  <c r="L27" i="6"/>
  <c r="K27" i="6"/>
  <c r="J27" i="6"/>
  <c r="I27" i="6"/>
  <c r="H27" i="6"/>
  <c r="E27" i="6"/>
  <c r="U26" i="6"/>
  <c r="T26" i="6"/>
  <c r="S26" i="6"/>
  <c r="R26" i="6"/>
  <c r="P26" i="6"/>
  <c r="O26" i="6"/>
  <c r="L26" i="6"/>
  <c r="K26" i="6"/>
  <c r="J26" i="6"/>
  <c r="I26" i="6"/>
  <c r="H26" i="6"/>
  <c r="E26" i="6"/>
  <c r="R25" i="6"/>
  <c r="O25" i="6"/>
  <c r="I25" i="6"/>
  <c r="H25" i="6"/>
  <c r="E25" i="6"/>
  <c r="U24" i="6"/>
  <c r="T24" i="6"/>
  <c r="S24" i="6"/>
  <c r="R24" i="6"/>
  <c r="P24" i="6"/>
  <c r="O24" i="6"/>
  <c r="L24" i="6"/>
  <c r="K24" i="6"/>
  <c r="J24" i="6"/>
  <c r="I24" i="6"/>
  <c r="H24" i="6"/>
  <c r="E24" i="6"/>
  <c r="U23" i="6"/>
  <c r="T23" i="6"/>
  <c r="S23" i="6"/>
  <c r="R23" i="6"/>
  <c r="P23" i="6"/>
  <c r="O23" i="6"/>
  <c r="L23" i="6"/>
  <c r="K23" i="6"/>
  <c r="J23" i="6"/>
  <c r="I23" i="6"/>
  <c r="H23" i="6"/>
  <c r="E23" i="6"/>
  <c r="U22" i="6"/>
  <c r="T22" i="6"/>
  <c r="S22" i="6"/>
  <c r="R22" i="6"/>
  <c r="P22" i="6"/>
  <c r="O22" i="6"/>
  <c r="L22" i="6"/>
  <c r="K22" i="6"/>
  <c r="J22" i="6"/>
  <c r="I22" i="6"/>
  <c r="H22" i="6"/>
  <c r="E22" i="6"/>
  <c r="U21" i="6"/>
  <c r="T21" i="6"/>
  <c r="S21" i="6"/>
  <c r="R21" i="6"/>
  <c r="P21" i="6"/>
  <c r="O21" i="6"/>
  <c r="L21" i="6"/>
  <c r="K21" i="6"/>
  <c r="J21" i="6"/>
  <c r="I21" i="6"/>
  <c r="H21" i="6"/>
  <c r="E21" i="6"/>
  <c r="U20" i="6"/>
  <c r="T20" i="6"/>
  <c r="S20" i="6"/>
  <c r="R20" i="6"/>
  <c r="P20" i="6"/>
  <c r="O20" i="6"/>
  <c r="L20" i="6"/>
  <c r="K20" i="6"/>
  <c r="J20" i="6"/>
  <c r="I20" i="6"/>
  <c r="H20" i="6"/>
  <c r="E20" i="6"/>
  <c r="U19" i="6"/>
  <c r="T19" i="6"/>
  <c r="S19" i="6"/>
  <c r="R19" i="6"/>
  <c r="P19" i="6"/>
  <c r="O19" i="6"/>
  <c r="L19" i="6"/>
  <c r="K19" i="6"/>
  <c r="J19" i="6"/>
  <c r="I19" i="6"/>
  <c r="H19" i="6"/>
  <c r="E19" i="6"/>
  <c r="U18" i="6"/>
  <c r="T18" i="6"/>
  <c r="S18" i="6"/>
  <c r="R18" i="6"/>
  <c r="P18" i="6"/>
  <c r="O18" i="6"/>
  <c r="L18" i="6"/>
  <c r="K18" i="6"/>
  <c r="J18" i="6"/>
  <c r="I18" i="6"/>
  <c r="H18" i="6"/>
  <c r="E18" i="6"/>
  <c r="U17" i="6"/>
  <c r="T17" i="6"/>
  <c r="S17" i="6"/>
  <c r="R17" i="6"/>
  <c r="P17" i="6"/>
  <c r="O17" i="6"/>
  <c r="L17" i="6"/>
  <c r="K17" i="6"/>
  <c r="J17" i="6"/>
  <c r="I17" i="6"/>
  <c r="H17" i="6"/>
  <c r="E17" i="6"/>
  <c r="U16" i="6"/>
  <c r="T16" i="6"/>
  <c r="S16" i="6"/>
  <c r="R16" i="6"/>
  <c r="P16" i="6"/>
  <c r="O16" i="6"/>
  <c r="L16" i="6"/>
  <c r="K16" i="6"/>
  <c r="J16" i="6"/>
  <c r="I16" i="6"/>
  <c r="H16" i="6"/>
  <c r="E16" i="6"/>
  <c r="U15" i="6"/>
  <c r="T15" i="6"/>
  <c r="S15" i="6"/>
  <c r="R15" i="6"/>
  <c r="P15" i="6"/>
  <c r="O15" i="6"/>
  <c r="L15" i="6"/>
  <c r="K15" i="6"/>
  <c r="J15" i="6"/>
  <c r="I15" i="6"/>
  <c r="H15" i="6"/>
  <c r="E15" i="6"/>
  <c r="R14" i="6"/>
  <c r="O14" i="6"/>
  <c r="I14" i="6"/>
  <c r="H14" i="6"/>
  <c r="E14" i="6"/>
  <c r="U13" i="6"/>
  <c r="T13" i="6"/>
  <c r="S13" i="6"/>
  <c r="R13" i="6"/>
  <c r="P13" i="6"/>
  <c r="O13" i="6"/>
  <c r="L13" i="6"/>
  <c r="K13" i="6"/>
  <c r="J13" i="6"/>
  <c r="I13" i="6"/>
  <c r="H13" i="6"/>
  <c r="E13" i="6"/>
  <c r="U12" i="6"/>
  <c r="T12" i="6"/>
  <c r="S12" i="6"/>
  <c r="R12" i="6"/>
  <c r="P12" i="6"/>
  <c r="O12" i="6"/>
  <c r="L12" i="6"/>
  <c r="K12" i="6"/>
  <c r="J12" i="6"/>
  <c r="I12" i="6"/>
  <c r="H12" i="6"/>
  <c r="E12" i="6"/>
  <c r="U11" i="6"/>
  <c r="T11" i="6"/>
  <c r="S11" i="6"/>
  <c r="R11" i="6"/>
  <c r="P11" i="6"/>
  <c r="O11" i="6"/>
  <c r="L11" i="6"/>
  <c r="K11" i="6"/>
  <c r="J11" i="6"/>
  <c r="I11" i="6"/>
  <c r="H11" i="6"/>
  <c r="E11" i="6"/>
  <c r="T10" i="6"/>
  <c r="S10" i="6"/>
  <c r="R10" i="6"/>
  <c r="P10" i="6"/>
  <c r="O10" i="6"/>
  <c r="L10" i="6"/>
  <c r="K10" i="6"/>
  <c r="J10" i="6"/>
  <c r="I10" i="6"/>
  <c r="H10" i="6"/>
  <c r="E10" i="6"/>
  <c r="U9" i="6"/>
  <c r="T9" i="6"/>
  <c r="S9" i="6"/>
  <c r="R9" i="6"/>
  <c r="P9" i="6"/>
  <c r="O9" i="6"/>
  <c r="L9" i="6"/>
  <c r="K9" i="6"/>
  <c r="J9" i="6"/>
  <c r="I9" i="6"/>
  <c r="H9" i="6"/>
  <c r="E9" i="6"/>
  <c r="U8" i="6"/>
  <c r="T8" i="6"/>
  <c r="S8" i="6"/>
  <c r="R8" i="6"/>
  <c r="P8" i="6"/>
  <c r="O8" i="6"/>
  <c r="L8" i="6"/>
  <c r="K8" i="6"/>
  <c r="J8" i="6"/>
  <c r="I8" i="6"/>
  <c r="H8" i="6"/>
  <c r="E8" i="6"/>
  <c r="U7" i="6"/>
  <c r="T7" i="6"/>
  <c r="S7" i="6"/>
  <c r="R7" i="6"/>
  <c r="P7" i="6"/>
  <c r="O7" i="6"/>
  <c r="L7" i="6"/>
  <c r="K7" i="6"/>
  <c r="J7" i="6"/>
  <c r="I7" i="6"/>
  <c r="H7" i="6"/>
  <c r="E7" i="6"/>
  <c r="U6" i="6"/>
  <c r="T6" i="6"/>
  <c r="S6" i="6"/>
  <c r="R6" i="6"/>
  <c r="P6" i="6"/>
  <c r="O6" i="6"/>
  <c r="L6" i="6"/>
  <c r="K6" i="6"/>
  <c r="J6" i="6"/>
  <c r="I6" i="6"/>
  <c r="H6" i="6"/>
  <c r="E6" i="6"/>
  <c r="U5" i="6"/>
  <c r="T5" i="6"/>
  <c r="S5" i="6"/>
  <c r="R5" i="6"/>
  <c r="P5" i="6"/>
  <c r="O5" i="6"/>
  <c r="L5" i="6"/>
  <c r="K5" i="6"/>
  <c r="J5" i="6"/>
  <c r="I5" i="6"/>
  <c r="H5" i="6"/>
  <c r="E5" i="6"/>
  <c r="U4" i="6"/>
  <c r="T4" i="6"/>
  <c r="S4" i="6"/>
  <c r="R4" i="6"/>
  <c r="P4" i="6"/>
  <c r="O4" i="6"/>
  <c r="L4" i="6"/>
  <c r="K4" i="6"/>
  <c r="J4" i="6"/>
  <c r="I4" i="6"/>
  <c r="H4" i="6"/>
  <c r="E4" i="6"/>
  <c r="U3" i="6"/>
  <c r="T3" i="6"/>
  <c r="S3" i="6"/>
  <c r="R3" i="6"/>
  <c r="P3" i="6"/>
  <c r="O3" i="6"/>
  <c r="L3" i="6"/>
  <c r="K3" i="6"/>
  <c r="J3" i="6"/>
  <c r="I3" i="6"/>
  <c r="H3" i="6"/>
  <c r="E3" i="6"/>
  <c r="AE70" i="5"/>
  <c r="AD70" i="5"/>
  <c r="AC70" i="5"/>
  <c r="AB70" i="5"/>
  <c r="AA70" i="5"/>
  <c r="Z70" i="5"/>
  <c r="AE69" i="5"/>
  <c r="AD69" i="5"/>
  <c r="AC69" i="5"/>
  <c r="AB69" i="5"/>
  <c r="AA69" i="5"/>
  <c r="Z69" i="5"/>
  <c r="AE68" i="5"/>
  <c r="AD68" i="5"/>
  <c r="AC68" i="5"/>
  <c r="AB68" i="5"/>
  <c r="AA68" i="5"/>
  <c r="Z68" i="5"/>
  <c r="AE67" i="5"/>
  <c r="AB67" i="5"/>
  <c r="AA67" i="5"/>
  <c r="AE66" i="5"/>
  <c r="AC66" i="5"/>
  <c r="AB66" i="5"/>
  <c r="AA66" i="5"/>
  <c r="AE65" i="5"/>
  <c r="AC65" i="5"/>
  <c r="AB65" i="5"/>
  <c r="AE64" i="5"/>
  <c r="AB64" i="5"/>
  <c r="AA64" i="5"/>
  <c r="AM63" i="5"/>
  <c r="AL63" i="5"/>
  <c r="AK63" i="5"/>
  <c r="AJ63" i="5"/>
  <c r="AI63" i="5"/>
  <c r="AH63" i="5"/>
  <c r="AE63" i="5"/>
  <c r="AC63" i="5"/>
  <c r="AB63" i="5"/>
  <c r="AA63" i="5"/>
  <c r="AM62" i="5"/>
  <c r="AL62" i="5"/>
  <c r="AK62" i="5"/>
  <c r="AJ62" i="5"/>
  <c r="AI62" i="5"/>
  <c r="AH62" i="5"/>
  <c r="AE62" i="5"/>
  <c r="AD62" i="5"/>
  <c r="AC62" i="5"/>
  <c r="AB62" i="5"/>
  <c r="AM61" i="5"/>
  <c r="AL61" i="5"/>
  <c r="AK61" i="5"/>
  <c r="AJ61" i="5"/>
  <c r="AI61" i="5"/>
  <c r="AH61" i="5"/>
  <c r="AE61" i="5"/>
  <c r="AC61" i="5"/>
  <c r="AB61" i="5"/>
  <c r="AA61" i="5"/>
  <c r="AM60" i="5"/>
  <c r="AL60" i="5"/>
  <c r="AK60" i="5"/>
  <c r="AJ60" i="5"/>
  <c r="AI60" i="5"/>
  <c r="AH60" i="5"/>
  <c r="AE60" i="5"/>
  <c r="AC60" i="5"/>
  <c r="AB60" i="5"/>
  <c r="AM59" i="5"/>
  <c r="AL59" i="5"/>
  <c r="AK59" i="5"/>
  <c r="AJ59" i="5"/>
  <c r="AI59" i="5"/>
  <c r="AH59" i="5"/>
  <c r="AE59" i="5"/>
  <c r="AC59" i="5"/>
  <c r="AB59" i="5"/>
  <c r="AA59" i="5"/>
  <c r="AM58" i="5"/>
  <c r="AL58" i="5"/>
  <c r="AK58" i="5"/>
  <c r="AJ58" i="5"/>
  <c r="AI58" i="5"/>
  <c r="AH58" i="5"/>
  <c r="AE58" i="5"/>
  <c r="AD58" i="5"/>
  <c r="AB58" i="5"/>
  <c r="AM57" i="5"/>
  <c r="AL57" i="5"/>
  <c r="AK57" i="5"/>
  <c r="AJ57" i="5"/>
  <c r="AI57" i="5"/>
  <c r="AH57" i="5"/>
  <c r="AE57" i="5"/>
  <c r="AD57" i="5"/>
  <c r="AB57" i="5"/>
  <c r="AA57" i="5"/>
  <c r="J57" i="5"/>
  <c r="AM56" i="5"/>
  <c r="AL56" i="5"/>
  <c r="AK56" i="5"/>
  <c r="AJ56" i="5"/>
  <c r="AI56" i="5"/>
  <c r="AH56" i="5"/>
  <c r="AE56" i="5"/>
  <c r="AC56" i="5"/>
  <c r="AB56" i="5"/>
  <c r="AA56" i="5"/>
  <c r="U56" i="5"/>
  <c r="T56" i="5"/>
  <c r="S56" i="5"/>
  <c r="R56" i="5"/>
  <c r="P56" i="5"/>
  <c r="O56" i="5"/>
  <c r="L56" i="5"/>
  <c r="K56" i="5"/>
  <c r="J56" i="5"/>
  <c r="I56" i="5"/>
  <c r="H56" i="5"/>
  <c r="E56" i="5"/>
  <c r="AM55" i="5"/>
  <c r="AL55" i="5"/>
  <c r="AK55" i="5"/>
  <c r="AJ55" i="5"/>
  <c r="AI55" i="5"/>
  <c r="AH55" i="5"/>
  <c r="U55" i="5"/>
  <c r="T55" i="5"/>
  <c r="S55" i="5"/>
  <c r="R55" i="5"/>
  <c r="P55" i="5"/>
  <c r="O55" i="5"/>
  <c r="L55" i="5"/>
  <c r="K55" i="5"/>
  <c r="J55" i="5"/>
  <c r="I55" i="5"/>
  <c r="H55" i="5"/>
  <c r="E55" i="5"/>
  <c r="AM54" i="5"/>
  <c r="AL54" i="5"/>
  <c r="AK54" i="5"/>
  <c r="AJ54" i="5"/>
  <c r="AI54" i="5"/>
  <c r="AH54" i="5"/>
  <c r="U54" i="5"/>
  <c r="T54" i="5"/>
  <c r="S54" i="5"/>
  <c r="R54" i="5"/>
  <c r="P54" i="5"/>
  <c r="O54" i="5"/>
  <c r="L54" i="5"/>
  <c r="K54" i="5"/>
  <c r="J54" i="5"/>
  <c r="I54" i="5"/>
  <c r="H54" i="5"/>
  <c r="E54" i="5"/>
  <c r="AM53" i="5"/>
  <c r="AL53" i="5"/>
  <c r="AK53" i="5"/>
  <c r="AJ53" i="5"/>
  <c r="AI53" i="5"/>
  <c r="AH53" i="5"/>
  <c r="U53" i="5"/>
  <c r="T53" i="5"/>
  <c r="S53" i="5"/>
  <c r="R53" i="5"/>
  <c r="P53" i="5"/>
  <c r="O53" i="5"/>
  <c r="L53" i="5"/>
  <c r="K53" i="5"/>
  <c r="J53" i="5"/>
  <c r="I53" i="5"/>
  <c r="H53" i="5"/>
  <c r="E53" i="5"/>
  <c r="AM52" i="5"/>
  <c r="AL52" i="5"/>
  <c r="AK52" i="5"/>
  <c r="AJ52" i="5"/>
  <c r="AI52" i="5"/>
  <c r="AH52" i="5"/>
  <c r="U52" i="5"/>
  <c r="T52" i="5"/>
  <c r="S52" i="5"/>
  <c r="R52" i="5"/>
  <c r="P52" i="5"/>
  <c r="O52" i="5"/>
  <c r="L52" i="5"/>
  <c r="K52" i="5"/>
  <c r="J52" i="5"/>
  <c r="I52" i="5"/>
  <c r="H52" i="5"/>
  <c r="E52" i="5"/>
  <c r="AM51" i="5"/>
  <c r="AL51" i="5"/>
  <c r="AK51" i="5"/>
  <c r="AJ51" i="5"/>
  <c r="AI51" i="5"/>
  <c r="AH51" i="5"/>
  <c r="U51" i="5"/>
  <c r="T51" i="5"/>
  <c r="S51" i="5"/>
  <c r="R51" i="5"/>
  <c r="P51" i="5"/>
  <c r="O51" i="5"/>
  <c r="L51" i="5"/>
  <c r="K51" i="5"/>
  <c r="J51" i="5"/>
  <c r="I51" i="5"/>
  <c r="H51" i="5"/>
  <c r="E51" i="5"/>
  <c r="AM50" i="5"/>
  <c r="AL50" i="5"/>
  <c r="AK50" i="5"/>
  <c r="AJ50" i="5"/>
  <c r="AI50" i="5"/>
  <c r="AH50" i="5"/>
  <c r="AE50" i="5"/>
  <c r="AD50" i="5"/>
  <c r="AC50" i="5"/>
  <c r="AB50" i="5"/>
  <c r="AA50" i="5"/>
  <c r="Z50" i="5"/>
  <c r="U50" i="5"/>
  <c r="T50" i="5"/>
  <c r="S50" i="5"/>
  <c r="R50" i="5"/>
  <c r="P50" i="5"/>
  <c r="O50" i="5"/>
  <c r="L50" i="5"/>
  <c r="K50" i="5"/>
  <c r="J50" i="5"/>
  <c r="I50" i="5"/>
  <c r="H50" i="5"/>
  <c r="E50" i="5"/>
  <c r="AM49" i="5"/>
  <c r="AL49" i="5"/>
  <c r="AK49" i="5"/>
  <c r="AJ49" i="5"/>
  <c r="AI49" i="5"/>
  <c r="AH49" i="5"/>
  <c r="AE49" i="5"/>
  <c r="AD49" i="5"/>
  <c r="AC49" i="5"/>
  <c r="AB49" i="5"/>
  <c r="AA49" i="5"/>
  <c r="Z49" i="5"/>
  <c r="U49" i="5"/>
  <c r="T49" i="5"/>
  <c r="S49" i="5"/>
  <c r="R49" i="5"/>
  <c r="P49" i="5"/>
  <c r="O49" i="5"/>
  <c r="L49" i="5"/>
  <c r="K49" i="5"/>
  <c r="J49" i="5"/>
  <c r="I49" i="5"/>
  <c r="H49" i="5"/>
  <c r="E49" i="5"/>
  <c r="AE48" i="5"/>
  <c r="AD48" i="5"/>
  <c r="AC48" i="5"/>
  <c r="AB48" i="5"/>
  <c r="AA48" i="5"/>
  <c r="Z48" i="5"/>
  <c r="U48" i="5"/>
  <c r="T48" i="5"/>
  <c r="S48" i="5"/>
  <c r="R48" i="5"/>
  <c r="P48" i="5"/>
  <c r="O48" i="5"/>
  <c r="L48" i="5"/>
  <c r="K48" i="5"/>
  <c r="J48" i="5"/>
  <c r="I48" i="5"/>
  <c r="H48" i="5"/>
  <c r="E48" i="5"/>
  <c r="AE47" i="5"/>
  <c r="U47" i="5"/>
  <c r="T47" i="5"/>
  <c r="S47" i="5"/>
  <c r="R47" i="5"/>
  <c r="P47" i="5"/>
  <c r="O47" i="5"/>
  <c r="L47" i="5"/>
  <c r="K47" i="5"/>
  <c r="J47" i="5"/>
  <c r="I47" i="5"/>
  <c r="H47" i="5"/>
  <c r="E47" i="5"/>
  <c r="AE46" i="5"/>
  <c r="U46" i="5"/>
  <c r="T46" i="5"/>
  <c r="S46" i="5"/>
  <c r="R46" i="5"/>
  <c r="P46" i="5"/>
  <c r="O46" i="5"/>
  <c r="L46" i="5"/>
  <c r="K46" i="5"/>
  <c r="J46" i="5"/>
  <c r="I46" i="5"/>
  <c r="H46" i="5"/>
  <c r="E46" i="5"/>
  <c r="AE45" i="5"/>
  <c r="U45" i="5"/>
  <c r="T45" i="5"/>
  <c r="S45" i="5"/>
  <c r="R45" i="5"/>
  <c r="P45" i="5"/>
  <c r="O45" i="5"/>
  <c r="L45" i="5"/>
  <c r="K45" i="5"/>
  <c r="J45" i="5"/>
  <c r="I45" i="5"/>
  <c r="H45" i="5"/>
  <c r="E45" i="5"/>
  <c r="AE44" i="5"/>
  <c r="U44" i="5"/>
  <c r="T44" i="5"/>
  <c r="S44" i="5"/>
  <c r="R44" i="5"/>
  <c r="P44" i="5"/>
  <c r="O44" i="5"/>
  <c r="L44" i="5"/>
  <c r="K44" i="5"/>
  <c r="J44" i="5"/>
  <c r="I44" i="5"/>
  <c r="H44" i="5"/>
  <c r="E44" i="5"/>
  <c r="AE43" i="5"/>
  <c r="U43" i="5"/>
  <c r="T43" i="5"/>
  <c r="S43" i="5"/>
  <c r="R43" i="5"/>
  <c r="P43" i="5"/>
  <c r="O43" i="5"/>
  <c r="L43" i="5"/>
  <c r="K43" i="5"/>
  <c r="J43" i="5"/>
  <c r="I43" i="5"/>
  <c r="H43" i="5"/>
  <c r="E43" i="5"/>
  <c r="AE42" i="5"/>
  <c r="U42" i="5"/>
  <c r="T42" i="5"/>
  <c r="S42" i="5"/>
  <c r="R42" i="5"/>
  <c r="P42" i="5"/>
  <c r="O42" i="5"/>
  <c r="L42" i="5"/>
  <c r="K42" i="5"/>
  <c r="J42" i="5"/>
  <c r="I42" i="5"/>
  <c r="H42" i="5"/>
  <c r="E42" i="5"/>
  <c r="AE41" i="5"/>
  <c r="U41" i="5"/>
  <c r="T41" i="5"/>
  <c r="S41" i="5"/>
  <c r="R41" i="5"/>
  <c r="P41" i="5"/>
  <c r="O41" i="5"/>
  <c r="L41" i="5"/>
  <c r="K41" i="5"/>
  <c r="J41" i="5"/>
  <c r="I41" i="5"/>
  <c r="H41" i="5"/>
  <c r="E41" i="5"/>
  <c r="AE40" i="5"/>
  <c r="U40" i="5"/>
  <c r="T40" i="5"/>
  <c r="S40" i="5"/>
  <c r="R40" i="5"/>
  <c r="P40" i="5"/>
  <c r="O40" i="5"/>
  <c r="L40" i="5"/>
  <c r="K40" i="5"/>
  <c r="J40" i="5"/>
  <c r="I40" i="5"/>
  <c r="H40" i="5"/>
  <c r="E40" i="5"/>
  <c r="AE39" i="5"/>
  <c r="U39" i="5"/>
  <c r="T39" i="5"/>
  <c r="S39" i="5"/>
  <c r="R39" i="5"/>
  <c r="P39" i="5"/>
  <c r="O39" i="5"/>
  <c r="L39" i="5"/>
  <c r="K39" i="5"/>
  <c r="J39" i="5"/>
  <c r="I39" i="5"/>
  <c r="H39" i="5"/>
  <c r="E39" i="5"/>
  <c r="AE38" i="5"/>
  <c r="U38" i="5"/>
  <c r="T38" i="5"/>
  <c r="S38" i="5"/>
  <c r="R38" i="5"/>
  <c r="P38" i="5"/>
  <c r="O38" i="5"/>
  <c r="L38" i="5"/>
  <c r="K38" i="5"/>
  <c r="J38" i="5"/>
  <c r="I38" i="5"/>
  <c r="H38" i="5"/>
  <c r="E38" i="5"/>
  <c r="AE37" i="5"/>
  <c r="U37" i="5"/>
  <c r="T37" i="5"/>
  <c r="S37" i="5"/>
  <c r="R37" i="5"/>
  <c r="P37" i="5"/>
  <c r="O37" i="5"/>
  <c r="L37" i="5"/>
  <c r="K37" i="5"/>
  <c r="J37" i="5"/>
  <c r="I37" i="5"/>
  <c r="H37" i="5"/>
  <c r="E37" i="5"/>
  <c r="AE36" i="5"/>
  <c r="U36" i="5"/>
  <c r="T36" i="5"/>
  <c r="S36" i="5"/>
  <c r="R36" i="5"/>
  <c r="P36" i="5"/>
  <c r="O36" i="5"/>
  <c r="L36" i="5"/>
  <c r="K36" i="5"/>
  <c r="J36" i="5"/>
  <c r="I36" i="5"/>
  <c r="H36" i="5"/>
  <c r="E36" i="5"/>
  <c r="U35" i="5"/>
  <c r="T35" i="5"/>
  <c r="S35" i="5"/>
  <c r="R35" i="5"/>
  <c r="P35" i="5"/>
  <c r="O35" i="5"/>
  <c r="L35" i="5"/>
  <c r="K35" i="5"/>
  <c r="J35" i="5"/>
  <c r="I35" i="5"/>
  <c r="H35" i="5"/>
  <c r="E35" i="5"/>
  <c r="U34" i="5"/>
  <c r="T34" i="5"/>
  <c r="S34" i="5"/>
  <c r="R34" i="5"/>
  <c r="P34" i="5"/>
  <c r="O34" i="5"/>
  <c r="L34" i="5"/>
  <c r="K34" i="5"/>
  <c r="J34" i="5"/>
  <c r="I34" i="5"/>
  <c r="H34" i="5"/>
  <c r="E34" i="5"/>
  <c r="U33" i="5"/>
  <c r="T33" i="5"/>
  <c r="S33" i="5"/>
  <c r="R33" i="5"/>
  <c r="P33" i="5"/>
  <c r="O33" i="5"/>
  <c r="L33" i="5"/>
  <c r="K33" i="5"/>
  <c r="J33" i="5"/>
  <c r="I33" i="5"/>
  <c r="H33" i="5"/>
  <c r="E33" i="5"/>
  <c r="Z32" i="5"/>
  <c r="U32" i="5"/>
  <c r="T32" i="5"/>
  <c r="S32" i="5"/>
  <c r="R32" i="5"/>
  <c r="P32" i="5"/>
  <c r="O32" i="5"/>
  <c r="L32" i="5"/>
  <c r="K32" i="5"/>
  <c r="J32" i="5"/>
  <c r="I32" i="5"/>
  <c r="H32" i="5"/>
  <c r="E32" i="5"/>
  <c r="Z31" i="5"/>
  <c r="U31" i="5"/>
  <c r="T31" i="5"/>
  <c r="S31" i="5"/>
  <c r="R31" i="5"/>
  <c r="P31" i="5"/>
  <c r="O31" i="5"/>
  <c r="L31" i="5"/>
  <c r="K31" i="5"/>
  <c r="J31" i="5"/>
  <c r="I31" i="5"/>
  <c r="H31" i="5"/>
  <c r="E31" i="5"/>
  <c r="U30" i="5"/>
  <c r="T30" i="5"/>
  <c r="S30" i="5"/>
  <c r="R30" i="5"/>
  <c r="P30" i="5"/>
  <c r="O30" i="5"/>
  <c r="L30" i="5"/>
  <c r="K30" i="5"/>
  <c r="J30" i="5"/>
  <c r="I30" i="5"/>
  <c r="H30" i="5"/>
  <c r="E30" i="5"/>
  <c r="U29" i="5"/>
  <c r="T29" i="5"/>
  <c r="S29" i="5"/>
  <c r="R29" i="5"/>
  <c r="P29" i="5"/>
  <c r="O29" i="5"/>
  <c r="L29" i="5"/>
  <c r="K29" i="5"/>
  <c r="J29" i="5"/>
  <c r="I29" i="5"/>
  <c r="H29" i="5"/>
  <c r="E29" i="5"/>
  <c r="AA28" i="5"/>
  <c r="U28" i="5"/>
  <c r="T28" i="5"/>
  <c r="S28" i="5"/>
  <c r="R28" i="5"/>
  <c r="P28" i="5"/>
  <c r="O28" i="5"/>
  <c r="L28" i="5"/>
  <c r="K28" i="5"/>
  <c r="J28" i="5"/>
  <c r="I28" i="5"/>
  <c r="H28" i="5"/>
  <c r="E28" i="5"/>
  <c r="AA27" i="5"/>
  <c r="U27" i="5"/>
  <c r="T27" i="5"/>
  <c r="S27" i="5"/>
  <c r="R27" i="5"/>
  <c r="P27" i="5"/>
  <c r="O27" i="5"/>
  <c r="L27" i="5"/>
  <c r="K27" i="5"/>
  <c r="J27" i="5"/>
  <c r="I27" i="5"/>
  <c r="H27" i="5"/>
  <c r="E27" i="5"/>
  <c r="AA26" i="5"/>
  <c r="U26" i="5"/>
  <c r="T26" i="5"/>
  <c r="S26" i="5"/>
  <c r="R26" i="5"/>
  <c r="P26" i="5"/>
  <c r="O26" i="5"/>
  <c r="L26" i="5"/>
  <c r="K26" i="5"/>
  <c r="J26" i="5"/>
  <c r="I26" i="5"/>
  <c r="H26" i="5"/>
  <c r="E26" i="5"/>
  <c r="AA25" i="5"/>
  <c r="R25" i="5"/>
  <c r="O25" i="5"/>
  <c r="I25" i="5"/>
  <c r="H25" i="5"/>
  <c r="E25" i="5"/>
  <c r="AA24" i="5"/>
  <c r="U24" i="5"/>
  <c r="T24" i="5"/>
  <c r="S24" i="5"/>
  <c r="R24" i="5"/>
  <c r="P24" i="5"/>
  <c r="O24" i="5"/>
  <c r="L24" i="5"/>
  <c r="K24" i="5"/>
  <c r="J24" i="5"/>
  <c r="I24" i="5"/>
  <c r="H24" i="5"/>
  <c r="E24" i="5"/>
  <c r="AA23" i="5"/>
  <c r="U23" i="5"/>
  <c r="T23" i="5"/>
  <c r="S23" i="5"/>
  <c r="R23" i="5"/>
  <c r="P23" i="5"/>
  <c r="O23" i="5"/>
  <c r="L23" i="5"/>
  <c r="K23" i="5"/>
  <c r="J23" i="5"/>
  <c r="I23" i="5"/>
  <c r="H23" i="5"/>
  <c r="E23" i="5"/>
  <c r="AA22" i="5"/>
  <c r="U22" i="5"/>
  <c r="T22" i="5"/>
  <c r="S22" i="5"/>
  <c r="R22" i="5"/>
  <c r="P22" i="5"/>
  <c r="O22" i="5"/>
  <c r="L22" i="5"/>
  <c r="K22" i="5"/>
  <c r="J22" i="5"/>
  <c r="I22" i="5"/>
  <c r="H22" i="5"/>
  <c r="E22" i="5"/>
  <c r="U21" i="5"/>
  <c r="T21" i="5"/>
  <c r="S21" i="5"/>
  <c r="R21" i="5"/>
  <c r="P21" i="5"/>
  <c r="O21" i="5"/>
  <c r="L21" i="5"/>
  <c r="K21" i="5"/>
  <c r="J21" i="5"/>
  <c r="I21" i="5"/>
  <c r="H21" i="5"/>
  <c r="E21" i="5"/>
  <c r="U20" i="5"/>
  <c r="T20" i="5"/>
  <c r="S20" i="5"/>
  <c r="R20" i="5"/>
  <c r="P20" i="5"/>
  <c r="O20" i="5"/>
  <c r="L20" i="5"/>
  <c r="K20" i="5"/>
  <c r="J20" i="5"/>
  <c r="I20" i="5"/>
  <c r="H20" i="5"/>
  <c r="E20" i="5"/>
  <c r="U19" i="5"/>
  <c r="T19" i="5"/>
  <c r="S19" i="5"/>
  <c r="R19" i="5"/>
  <c r="P19" i="5"/>
  <c r="O19" i="5"/>
  <c r="L19" i="5"/>
  <c r="K19" i="5"/>
  <c r="J19" i="5"/>
  <c r="I19" i="5"/>
  <c r="H19" i="5"/>
  <c r="E19" i="5"/>
  <c r="U18" i="5"/>
  <c r="T18" i="5"/>
  <c r="S18" i="5"/>
  <c r="R18" i="5"/>
  <c r="P18" i="5"/>
  <c r="O18" i="5"/>
  <c r="L18" i="5"/>
  <c r="K18" i="5"/>
  <c r="J18" i="5"/>
  <c r="I18" i="5"/>
  <c r="H18" i="5"/>
  <c r="E18" i="5"/>
  <c r="U17" i="5"/>
  <c r="T17" i="5"/>
  <c r="S17" i="5"/>
  <c r="R17" i="5"/>
  <c r="P17" i="5"/>
  <c r="O17" i="5"/>
  <c r="L17" i="5"/>
  <c r="K17" i="5"/>
  <c r="J17" i="5"/>
  <c r="I17" i="5"/>
  <c r="H17" i="5"/>
  <c r="E17" i="5"/>
  <c r="U16" i="5"/>
  <c r="T16" i="5"/>
  <c r="S16" i="5"/>
  <c r="R16" i="5"/>
  <c r="P16" i="5"/>
  <c r="O16" i="5"/>
  <c r="L16" i="5"/>
  <c r="K16" i="5"/>
  <c r="J16" i="5"/>
  <c r="I16" i="5"/>
  <c r="H16" i="5"/>
  <c r="E16" i="5"/>
  <c r="U15" i="5"/>
  <c r="T15" i="5"/>
  <c r="S15" i="5"/>
  <c r="R15" i="5"/>
  <c r="P15" i="5"/>
  <c r="O15" i="5"/>
  <c r="L15" i="5"/>
  <c r="K15" i="5"/>
  <c r="J15" i="5"/>
  <c r="I15" i="5"/>
  <c r="H15" i="5"/>
  <c r="E15" i="5"/>
  <c r="R14" i="5"/>
  <c r="O14" i="5"/>
  <c r="I14" i="5"/>
  <c r="H14" i="5"/>
  <c r="E14" i="5"/>
  <c r="U13" i="5"/>
  <c r="T13" i="5"/>
  <c r="S13" i="5"/>
  <c r="R13" i="5"/>
  <c r="P13" i="5"/>
  <c r="O13" i="5"/>
  <c r="L13" i="5"/>
  <c r="K13" i="5"/>
  <c r="J13" i="5"/>
  <c r="I13" i="5"/>
  <c r="H13" i="5"/>
  <c r="E13" i="5"/>
  <c r="U12" i="5"/>
  <c r="T12" i="5"/>
  <c r="S12" i="5"/>
  <c r="R12" i="5"/>
  <c r="P12" i="5"/>
  <c r="O12" i="5"/>
  <c r="L12" i="5"/>
  <c r="K12" i="5"/>
  <c r="J12" i="5"/>
  <c r="I12" i="5"/>
  <c r="H12" i="5"/>
  <c r="E12" i="5"/>
  <c r="U11" i="5"/>
  <c r="T11" i="5"/>
  <c r="S11" i="5"/>
  <c r="R11" i="5"/>
  <c r="P11" i="5"/>
  <c r="O11" i="5"/>
  <c r="L11" i="5"/>
  <c r="K11" i="5"/>
  <c r="J11" i="5"/>
  <c r="I11" i="5"/>
  <c r="H11" i="5"/>
  <c r="E11" i="5"/>
  <c r="U10" i="5"/>
  <c r="T10" i="5"/>
  <c r="S10" i="5"/>
  <c r="R10" i="5"/>
  <c r="P10" i="5"/>
  <c r="O10" i="5"/>
  <c r="L10" i="5"/>
  <c r="K10" i="5"/>
  <c r="J10" i="5"/>
  <c r="I10" i="5"/>
  <c r="H10" i="5"/>
  <c r="E10" i="5"/>
  <c r="U9" i="5"/>
  <c r="T9" i="5"/>
  <c r="S9" i="5"/>
  <c r="R9" i="5"/>
  <c r="P9" i="5"/>
  <c r="O9" i="5"/>
  <c r="L9" i="5"/>
  <c r="K9" i="5"/>
  <c r="J9" i="5"/>
  <c r="I9" i="5"/>
  <c r="H9" i="5"/>
  <c r="E9" i="5"/>
  <c r="U8" i="5"/>
  <c r="T8" i="5"/>
  <c r="S8" i="5"/>
  <c r="R8" i="5"/>
  <c r="P8" i="5"/>
  <c r="O8" i="5"/>
  <c r="L8" i="5"/>
  <c r="K8" i="5"/>
  <c r="J8" i="5"/>
  <c r="I8" i="5"/>
  <c r="H8" i="5"/>
  <c r="E8" i="5"/>
  <c r="U7" i="5"/>
  <c r="T7" i="5"/>
  <c r="S7" i="5"/>
  <c r="R7" i="5"/>
  <c r="P7" i="5"/>
  <c r="O7" i="5"/>
  <c r="L7" i="5"/>
  <c r="K7" i="5"/>
  <c r="J7" i="5"/>
  <c r="I7" i="5"/>
  <c r="H7" i="5"/>
  <c r="E7" i="5"/>
  <c r="U6" i="5"/>
  <c r="T6" i="5"/>
  <c r="S6" i="5"/>
  <c r="R6" i="5"/>
  <c r="P6" i="5"/>
  <c r="O6" i="5"/>
  <c r="L6" i="5"/>
  <c r="K6" i="5"/>
  <c r="J6" i="5"/>
  <c r="I6" i="5"/>
  <c r="H6" i="5"/>
  <c r="E6" i="5"/>
  <c r="U5" i="5"/>
  <c r="T5" i="5"/>
  <c r="S5" i="5"/>
  <c r="R5" i="5"/>
  <c r="P5" i="5"/>
  <c r="O5" i="5"/>
  <c r="L5" i="5"/>
  <c r="K5" i="5"/>
  <c r="J5" i="5"/>
  <c r="I5" i="5"/>
  <c r="H5" i="5"/>
  <c r="E5" i="5"/>
  <c r="U4" i="5"/>
  <c r="T4" i="5"/>
  <c r="S4" i="5"/>
  <c r="R4" i="5"/>
  <c r="P4" i="5"/>
  <c r="O4" i="5"/>
  <c r="L4" i="5"/>
  <c r="K4" i="5"/>
  <c r="J4" i="5"/>
  <c r="I4" i="5"/>
  <c r="H4" i="5"/>
  <c r="E4" i="5"/>
  <c r="U3" i="5"/>
  <c r="T3" i="5"/>
  <c r="S3" i="5"/>
  <c r="R3" i="5"/>
  <c r="P3" i="5"/>
  <c r="O3" i="5"/>
  <c r="L3" i="5"/>
  <c r="K3" i="5"/>
  <c r="J3" i="5"/>
  <c r="I3" i="5"/>
  <c r="H3" i="5"/>
  <c r="E3" i="5"/>
  <c r="AJ78" i="16"/>
  <c r="AI78" i="16"/>
  <c r="AH78" i="16"/>
  <c r="AG78" i="16"/>
  <c r="AF78" i="16"/>
  <c r="AE78" i="16"/>
  <c r="AJ77" i="16"/>
  <c r="AI77" i="16"/>
  <c r="AH77" i="16"/>
  <c r="AG77" i="16"/>
  <c r="AF77" i="16"/>
  <c r="AE77" i="16"/>
  <c r="AJ76" i="16"/>
  <c r="AI76" i="16"/>
  <c r="AH76" i="16"/>
  <c r="AG76" i="16"/>
  <c r="AF76" i="16"/>
  <c r="AE76" i="16"/>
  <c r="AJ75" i="16"/>
  <c r="AG75" i="16"/>
  <c r="AF75" i="16"/>
  <c r="AJ74" i="16"/>
  <c r="AH74" i="16"/>
  <c r="AG74" i="16"/>
  <c r="AF74" i="16"/>
  <c r="AJ73" i="16"/>
  <c r="AH73" i="16"/>
  <c r="AG73" i="16"/>
  <c r="AJ72" i="16"/>
  <c r="AG72" i="16"/>
  <c r="AF72" i="16"/>
  <c r="AR71" i="16"/>
  <c r="AQ71" i="16"/>
  <c r="AP71" i="16"/>
  <c r="AO71" i="16"/>
  <c r="AN71" i="16"/>
  <c r="AM71" i="16"/>
  <c r="AJ71" i="16"/>
  <c r="AH71" i="16"/>
  <c r="AG71" i="16"/>
  <c r="AF71" i="16"/>
  <c r="AR70" i="16"/>
  <c r="AQ70" i="16"/>
  <c r="AP70" i="16"/>
  <c r="AO70" i="16"/>
  <c r="AN70" i="16"/>
  <c r="AM70" i="16"/>
  <c r="AJ70" i="16"/>
  <c r="AI70" i="16"/>
  <c r="AH70" i="16"/>
  <c r="AG70" i="16"/>
  <c r="AR69" i="16"/>
  <c r="AQ69" i="16"/>
  <c r="AP69" i="16"/>
  <c r="AO69" i="16"/>
  <c r="AN69" i="16"/>
  <c r="AM69" i="16"/>
  <c r="AJ69" i="16"/>
  <c r="AH69" i="16"/>
  <c r="AG69" i="16"/>
  <c r="AF69" i="16"/>
  <c r="AR68" i="16"/>
  <c r="AQ68" i="16"/>
  <c r="AP68" i="16"/>
  <c r="AO68" i="16"/>
  <c r="AN68" i="16"/>
  <c r="AM68" i="16"/>
  <c r="AJ68" i="16"/>
  <c r="AH68" i="16"/>
  <c r="AG68" i="16"/>
  <c r="AR67" i="16"/>
  <c r="AQ67" i="16"/>
  <c r="AP67" i="16"/>
  <c r="AO67" i="16"/>
  <c r="AN67" i="16"/>
  <c r="AM67" i="16"/>
  <c r="AJ67" i="16"/>
  <c r="AH67" i="16"/>
  <c r="AG67" i="16"/>
  <c r="AF67" i="16"/>
  <c r="AR66" i="16"/>
  <c r="AQ66" i="16"/>
  <c r="AP66" i="16"/>
  <c r="AO66" i="16"/>
  <c r="AN66" i="16"/>
  <c r="AM66" i="16"/>
  <c r="AJ66" i="16"/>
  <c r="AI66" i="16"/>
  <c r="AG66" i="16"/>
  <c r="AR65" i="16"/>
  <c r="AQ65" i="16"/>
  <c r="AP65" i="16"/>
  <c r="AO65" i="16"/>
  <c r="AN65" i="16"/>
  <c r="AM65" i="16"/>
  <c r="AJ65" i="16"/>
  <c r="AI65" i="16"/>
  <c r="AG65" i="16"/>
  <c r="AF65" i="16"/>
  <c r="AR64" i="16"/>
  <c r="AQ64" i="16"/>
  <c r="AP64" i="16"/>
  <c r="AO64" i="16"/>
  <c r="AN64" i="16"/>
  <c r="AM64" i="16"/>
  <c r="AJ64" i="16"/>
  <c r="AH64" i="16"/>
  <c r="AG64" i="16"/>
  <c r="AF64" i="16"/>
  <c r="AR63" i="16"/>
  <c r="AQ63" i="16"/>
  <c r="AP63" i="16"/>
  <c r="AO63" i="16"/>
  <c r="AN63" i="16"/>
  <c r="AM63" i="16"/>
  <c r="AR62" i="16"/>
  <c r="AQ62" i="16"/>
  <c r="AP62" i="16"/>
  <c r="AO62" i="16"/>
  <c r="AN62" i="16"/>
  <c r="AM62" i="16"/>
  <c r="AR61" i="16"/>
  <c r="AQ61" i="16"/>
  <c r="AP61" i="16"/>
  <c r="AO61" i="16"/>
  <c r="AN61" i="16"/>
  <c r="AM61" i="16"/>
  <c r="AR60" i="16"/>
  <c r="AQ60" i="16"/>
  <c r="AP60" i="16"/>
  <c r="AO60" i="16"/>
  <c r="AN60" i="16"/>
  <c r="AM60" i="16"/>
  <c r="AR59" i="16"/>
  <c r="AQ59" i="16"/>
  <c r="AP59" i="16"/>
  <c r="AO59" i="16"/>
  <c r="AN59" i="16"/>
  <c r="AM59" i="16"/>
  <c r="AR58" i="16"/>
  <c r="AQ58" i="16"/>
  <c r="AP58" i="16"/>
  <c r="AO58" i="16"/>
  <c r="AN58" i="16"/>
  <c r="AM58" i="16"/>
  <c r="AJ58" i="16"/>
  <c r="AI58" i="16"/>
  <c r="AH58" i="16"/>
  <c r="AG58" i="16"/>
  <c r="AF58" i="16"/>
  <c r="AE58" i="16"/>
  <c r="AR57" i="16"/>
  <c r="AQ57" i="16"/>
  <c r="AP57" i="16"/>
  <c r="AO57" i="16"/>
  <c r="AN57" i="16"/>
  <c r="AM57" i="16"/>
  <c r="AJ57" i="16"/>
  <c r="AI57" i="16"/>
  <c r="AH57" i="16"/>
  <c r="AG57" i="16"/>
  <c r="AF57" i="16"/>
  <c r="AE57" i="16"/>
  <c r="AJ56" i="16"/>
  <c r="AI56" i="16"/>
  <c r="AH56" i="16"/>
  <c r="AG56" i="16"/>
  <c r="AF56" i="16"/>
  <c r="AE56" i="16"/>
  <c r="U56" i="16"/>
  <c r="T56" i="16"/>
  <c r="S56" i="16"/>
  <c r="R56" i="16"/>
  <c r="P56" i="16"/>
  <c r="O56" i="16"/>
  <c r="L56" i="16"/>
  <c r="K56" i="16"/>
  <c r="J56" i="16"/>
  <c r="I56" i="16"/>
  <c r="H56" i="16"/>
  <c r="E56" i="16"/>
  <c r="AJ55" i="16"/>
  <c r="U55" i="16"/>
  <c r="T55" i="16"/>
  <c r="S55" i="16"/>
  <c r="R55" i="16"/>
  <c r="P55" i="16"/>
  <c r="O55" i="16"/>
  <c r="L55" i="16"/>
  <c r="K55" i="16"/>
  <c r="J55" i="16"/>
  <c r="I55" i="16"/>
  <c r="H55" i="16"/>
  <c r="E55" i="16"/>
  <c r="AJ54" i="16"/>
  <c r="U54" i="16"/>
  <c r="T54" i="16"/>
  <c r="S54" i="16"/>
  <c r="R54" i="16"/>
  <c r="P54" i="16"/>
  <c r="O54" i="16"/>
  <c r="L54" i="16"/>
  <c r="K54" i="16"/>
  <c r="J54" i="16"/>
  <c r="I54" i="16"/>
  <c r="H54" i="16"/>
  <c r="E54" i="16"/>
  <c r="AJ53" i="16"/>
  <c r="U53" i="16"/>
  <c r="T53" i="16"/>
  <c r="S53" i="16"/>
  <c r="R53" i="16"/>
  <c r="P53" i="16"/>
  <c r="O53" i="16"/>
  <c r="L53" i="16"/>
  <c r="K53" i="16"/>
  <c r="J53" i="16"/>
  <c r="I53" i="16"/>
  <c r="H53" i="16"/>
  <c r="E53" i="16"/>
  <c r="AJ52" i="16"/>
  <c r="AA52" i="16"/>
  <c r="U52" i="16"/>
  <c r="T52" i="16"/>
  <c r="S52" i="16"/>
  <c r="R52" i="16"/>
  <c r="P52" i="16"/>
  <c r="O52" i="16"/>
  <c r="L52" i="16"/>
  <c r="K52" i="16"/>
  <c r="J52" i="16"/>
  <c r="I52" i="16"/>
  <c r="H52" i="16"/>
  <c r="E52" i="16"/>
  <c r="AJ51" i="16"/>
  <c r="AA51" i="16"/>
  <c r="U51" i="16"/>
  <c r="T51" i="16"/>
  <c r="S51" i="16"/>
  <c r="R51" i="16"/>
  <c r="P51" i="16"/>
  <c r="O51" i="16"/>
  <c r="L51" i="16"/>
  <c r="K51" i="16"/>
  <c r="J51" i="16"/>
  <c r="I51" i="16"/>
  <c r="H51" i="16"/>
  <c r="E51" i="16"/>
  <c r="AJ50" i="16"/>
  <c r="U50" i="16"/>
  <c r="T50" i="16"/>
  <c r="S50" i="16"/>
  <c r="R50" i="16"/>
  <c r="P50" i="16"/>
  <c r="O50" i="16"/>
  <c r="L50" i="16"/>
  <c r="K50" i="16"/>
  <c r="J50" i="16"/>
  <c r="I50" i="16"/>
  <c r="H50" i="16"/>
  <c r="E50" i="16"/>
  <c r="AJ49" i="16"/>
  <c r="AB49" i="16"/>
  <c r="U49" i="16"/>
  <c r="T49" i="16"/>
  <c r="S49" i="16"/>
  <c r="R49" i="16"/>
  <c r="P49" i="16"/>
  <c r="O49" i="16"/>
  <c r="L49" i="16"/>
  <c r="K49" i="16"/>
  <c r="J49" i="16"/>
  <c r="I49" i="16"/>
  <c r="H49" i="16"/>
  <c r="E49" i="16"/>
  <c r="AJ48" i="16"/>
  <c r="AB48" i="16"/>
  <c r="U48" i="16"/>
  <c r="T48" i="16"/>
  <c r="S48" i="16"/>
  <c r="R48" i="16"/>
  <c r="P48" i="16"/>
  <c r="O48" i="16"/>
  <c r="L48" i="16"/>
  <c r="K48" i="16"/>
  <c r="J48" i="16"/>
  <c r="I48" i="16"/>
  <c r="H48" i="16"/>
  <c r="E48" i="16"/>
  <c r="AJ47" i="16"/>
  <c r="AB47" i="16"/>
  <c r="U47" i="16"/>
  <c r="T47" i="16"/>
  <c r="S47" i="16"/>
  <c r="R47" i="16"/>
  <c r="P47" i="16"/>
  <c r="O47" i="16"/>
  <c r="L47" i="16"/>
  <c r="K47" i="16"/>
  <c r="J47" i="16"/>
  <c r="I47" i="16"/>
  <c r="H47" i="16"/>
  <c r="E47" i="16"/>
  <c r="AJ46" i="16"/>
  <c r="AB46" i="16"/>
  <c r="U46" i="16"/>
  <c r="T46" i="16"/>
  <c r="S46" i="16"/>
  <c r="R46" i="16"/>
  <c r="P46" i="16"/>
  <c r="O46" i="16"/>
  <c r="L46" i="16"/>
  <c r="K46" i="16"/>
  <c r="J46" i="16"/>
  <c r="I46" i="16"/>
  <c r="H46" i="16"/>
  <c r="E46" i="16"/>
  <c r="AJ45" i="16"/>
  <c r="AB45" i="16"/>
  <c r="U45" i="16"/>
  <c r="T45" i="16"/>
  <c r="S45" i="16"/>
  <c r="R45" i="16"/>
  <c r="P45" i="16"/>
  <c r="O45" i="16"/>
  <c r="L45" i="16"/>
  <c r="K45" i="16"/>
  <c r="J45" i="16"/>
  <c r="I45" i="16"/>
  <c r="H45" i="16"/>
  <c r="E45" i="16"/>
  <c r="AJ44" i="16"/>
  <c r="U44" i="16"/>
  <c r="T44" i="16"/>
  <c r="S44" i="16"/>
  <c r="R44" i="16"/>
  <c r="P44" i="16"/>
  <c r="O44" i="16"/>
  <c r="L44" i="16"/>
  <c r="K44" i="16"/>
  <c r="J44" i="16"/>
  <c r="I44" i="16"/>
  <c r="H44" i="16"/>
  <c r="E44" i="16"/>
  <c r="U43" i="16"/>
  <c r="T43" i="16"/>
  <c r="S43" i="16"/>
  <c r="R43" i="16"/>
  <c r="P43" i="16"/>
  <c r="O43" i="16"/>
  <c r="L43" i="16"/>
  <c r="K43" i="16"/>
  <c r="J43" i="16"/>
  <c r="I43" i="16"/>
  <c r="H43" i="16"/>
  <c r="E43" i="16"/>
  <c r="U42" i="16"/>
  <c r="T42" i="16"/>
  <c r="S42" i="16"/>
  <c r="R42" i="16"/>
  <c r="P42" i="16"/>
  <c r="O42" i="16"/>
  <c r="L42" i="16"/>
  <c r="K42" i="16"/>
  <c r="J42" i="16"/>
  <c r="I42" i="16"/>
  <c r="H42" i="16"/>
  <c r="E42" i="16"/>
  <c r="U41" i="16"/>
  <c r="T41" i="16"/>
  <c r="S41" i="16"/>
  <c r="R41" i="16"/>
  <c r="P41" i="16"/>
  <c r="O41" i="16"/>
  <c r="L41" i="16"/>
  <c r="K41" i="16"/>
  <c r="J41" i="16"/>
  <c r="I41" i="16"/>
  <c r="H41" i="16"/>
  <c r="E41" i="16"/>
  <c r="U40" i="16"/>
  <c r="T40" i="16"/>
  <c r="S40" i="16"/>
  <c r="R40" i="16"/>
  <c r="P40" i="16"/>
  <c r="O40" i="16"/>
  <c r="L40" i="16"/>
  <c r="K40" i="16"/>
  <c r="J40" i="16"/>
  <c r="I40" i="16"/>
  <c r="H40" i="16"/>
  <c r="E40" i="16"/>
  <c r="V39" i="16"/>
  <c r="U39" i="16"/>
  <c r="T39" i="16"/>
  <c r="S39" i="16"/>
  <c r="R39" i="16"/>
  <c r="P39" i="16"/>
  <c r="O39" i="16"/>
  <c r="L39" i="16"/>
  <c r="K39" i="16"/>
  <c r="J39" i="16"/>
  <c r="I39" i="16"/>
  <c r="H39" i="16"/>
  <c r="E39" i="16"/>
  <c r="V38" i="16"/>
  <c r="U38" i="16"/>
  <c r="T38" i="16"/>
  <c r="S38" i="16"/>
  <c r="R38" i="16"/>
  <c r="P38" i="16"/>
  <c r="O38" i="16"/>
  <c r="L38" i="16"/>
  <c r="K38" i="16"/>
  <c r="J38" i="16"/>
  <c r="I38" i="16"/>
  <c r="H38" i="16"/>
  <c r="E38" i="16"/>
  <c r="U37" i="16"/>
  <c r="T37" i="16"/>
  <c r="S37" i="16"/>
  <c r="R37" i="16"/>
  <c r="P37" i="16"/>
  <c r="O37" i="16"/>
  <c r="L37" i="16"/>
  <c r="K37" i="16"/>
  <c r="J37" i="16"/>
  <c r="I37" i="16"/>
  <c r="H37" i="16"/>
  <c r="E37" i="16"/>
  <c r="U36" i="16"/>
  <c r="T36" i="16"/>
  <c r="S36" i="16"/>
  <c r="R36" i="16"/>
  <c r="P36" i="16"/>
  <c r="O36" i="16"/>
  <c r="L36" i="16"/>
  <c r="K36" i="16"/>
  <c r="J36" i="16"/>
  <c r="I36" i="16"/>
  <c r="H36" i="16"/>
  <c r="E36" i="16"/>
  <c r="U35" i="16"/>
  <c r="T35" i="16"/>
  <c r="S35" i="16"/>
  <c r="R35" i="16"/>
  <c r="P35" i="16"/>
  <c r="O35" i="16"/>
  <c r="L35" i="16"/>
  <c r="K35" i="16"/>
  <c r="J35" i="16"/>
  <c r="I35" i="16"/>
  <c r="H35" i="16"/>
  <c r="E35" i="16"/>
  <c r="U34" i="16"/>
  <c r="T34" i="16"/>
  <c r="S34" i="16"/>
  <c r="R34" i="16"/>
  <c r="P34" i="16"/>
  <c r="O34" i="16"/>
  <c r="L34" i="16"/>
  <c r="K34" i="16"/>
  <c r="J34" i="16"/>
  <c r="I34" i="16"/>
  <c r="H34" i="16"/>
  <c r="E34" i="16"/>
  <c r="U33" i="16"/>
  <c r="T33" i="16"/>
  <c r="S33" i="16"/>
  <c r="R33" i="16"/>
  <c r="P33" i="16"/>
  <c r="O33" i="16"/>
  <c r="L33" i="16"/>
  <c r="K33" i="16"/>
  <c r="J33" i="16"/>
  <c r="I33" i="16"/>
  <c r="H33" i="16"/>
  <c r="E33" i="16"/>
  <c r="V32" i="16"/>
  <c r="U32" i="16"/>
  <c r="T32" i="16"/>
  <c r="S32" i="16"/>
  <c r="R32" i="16"/>
  <c r="P32" i="16"/>
  <c r="O32" i="16"/>
  <c r="L32" i="16"/>
  <c r="K32" i="16"/>
  <c r="J32" i="16"/>
  <c r="I32" i="16"/>
  <c r="H32" i="16"/>
  <c r="E32" i="16"/>
  <c r="U31" i="16"/>
  <c r="T31" i="16"/>
  <c r="S31" i="16"/>
  <c r="R31" i="16"/>
  <c r="P31" i="16"/>
  <c r="O31" i="16"/>
  <c r="L31" i="16"/>
  <c r="K31" i="16"/>
  <c r="J31" i="16"/>
  <c r="I31" i="16"/>
  <c r="H31" i="16"/>
  <c r="E31" i="16"/>
  <c r="U30" i="16"/>
  <c r="T30" i="16"/>
  <c r="S30" i="16"/>
  <c r="R30" i="16"/>
  <c r="P30" i="16"/>
  <c r="O30" i="16"/>
  <c r="L30" i="16"/>
  <c r="K30" i="16"/>
  <c r="J30" i="16"/>
  <c r="I30" i="16"/>
  <c r="H30" i="16"/>
  <c r="E30" i="16"/>
  <c r="U29" i="16"/>
  <c r="T29" i="16"/>
  <c r="S29" i="16"/>
  <c r="R29" i="16"/>
  <c r="P29" i="16"/>
  <c r="O29" i="16"/>
  <c r="L29" i="16"/>
  <c r="K29" i="16"/>
  <c r="J29" i="16"/>
  <c r="I29" i="16"/>
  <c r="H29" i="16"/>
  <c r="E29" i="16"/>
  <c r="V28" i="16"/>
  <c r="U28" i="16"/>
  <c r="T28" i="16"/>
  <c r="S28" i="16"/>
  <c r="R28" i="16"/>
  <c r="P28" i="16"/>
  <c r="O28" i="16"/>
  <c r="L28" i="16"/>
  <c r="K28" i="16"/>
  <c r="J28" i="16"/>
  <c r="I28" i="16"/>
  <c r="H28" i="16"/>
  <c r="E28" i="16"/>
  <c r="U27" i="16"/>
  <c r="T27" i="16"/>
  <c r="S27" i="16"/>
  <c r="R27" i="16"/>
  <c r="P27" i="16"/>
  <c r="O27" i="16"/>
  <c r="L27" i="16"/>
  <c r="K27" i="16"/>
  <c r="J27" i="16"/>
  <c r="I27" i="16"/>
  <c r="H27" i="16"/>
  <c r="E27" i="16"/>
  <c r="V26" i="16"/>
  <c r="U26" i="16"/>
  <c r="T26" i="16"/>
  <c r="S26" i="16"/>
  <c r="R26" i="16"/>
  <c r="P26" i="16"/>
  <c r="O26" i="16"/>
  <c r="L26" i="16"/>
  <c r="K26" i="16"/>
  <c r="J26" i="16"/>
  <c r="I26" i="16"/>
  <c r="H26" i="16"/>
  <c r="E26" i="16"/>
  <c r="R25" i="16"/>
  <c r="O25" i="16"/>
  <c r="I25" i="16"/>
  <c r="H25" i="16"/>
  <c r="E25" i="16"/>
  <c r="U24" i="16"/>
  <c r="T24" i="16"/>
  <c r="S24" i="16"/>
  <c r="R24" i="16"/>
  <c r="P24" i="16"/>
  <c r="O24" i="16"/>
  <c r="L24" i="16"/>
  <c r="K24" i="16"/>
  <c r="J24" i="16"/>
  <c r="I24" i="16"/>
  <c r="H24" i="16"/>
  <c r="E24" i="16"/>
  <c r="U23" i="16"/>
  <c r="T23" i="16"/>
  <c r="S23" i="16"/>
  <c r="R23" i="16"/>
  <c r="P23" i="16"/>
  <c r="O23" i="16"/>
  <c r="L23" i="16"/>
  <c r="K23" i="16"/>
  <c r="J23" i="16"/>
  <c r="I23" i="16"/>
  <c r="H23" i="16"/>
  <c r="E23" i="16"/>
  <c r="U22" i="16"/>
  <c r="T22" i="16"/>
  <c r="S22" i="16"/>
  <c r="R22" i="16"/>
  <c r="P22" i="16"/>
  <c r="O22" i="16"/>
  <c r="L22" i="16"/>
  <c r="K22" i="16"/>
  <c r="J22" i="16"/>
  <c r="I22" i="16"/>
  <c r="H22" i="16"/>
  <c r="E22" i="16"/>
  <c r="U21" i="16"/>
  <c r="T21" i="16"/>
  <c r="S21" i="16"/>
  <c r="R21" i="16"/>
  <c r="P21" i="16"/>
  <c r="O21" i="16"/>
  <c r="L21" i="16"/>
  <c r="K21" i="16"/>
  <c r="J21" i="16"/>
  <c r="I21" i="16"/>
  <c r="H21" i="16"/>
  <c r="E21" i="16"/>
  <c r="U20" i="16"/>
  <c r="T20" i="16"/>
  <c r="S20" i="16"/>
  <c r="R20" i="16"/>
  <c r="P20" i="16"/>
  <c r="O20" i="16"/>
  <c r="L20" i="16"/>
  <c r="K20" i="16"/>
  <c r="J20" i="16"/>
  <c r="I20" i="16"/>
  <c r="H20" i="16"/>
  <c r="E20" i="16"/>
  <c r="U19" i="16"/>
  <c r="T19" i="16"/>
  <c r="S19" i="16"/>
  <c r="R19" i="16"/>
  <c r="P19" i="16"/>
  <c r="O19" i="16"/>
  <c r="L19" i="16"/>
  <c r="K19" i="16"/>
  <c r="J19" i="16"/>
  <c r="I19" i="16"/>
  <c r="H19" i="16"/>
  <c r="E19" i="16"/>
  <c r="U18" i="16"/>
  <c r="T18" i="16"/>
  <c r="S18" i="16"/>
  <c r="R18" i="16"/>
  <c r="P18" i="16"/>
  <c r="O18" i="16"/>
  <c r="L18" i="16"/>
  <c r="K18" i="16"/>
  <c r="J18" i="16"/>
  <c r="I18" i="16"/>
  <c r="H18" i="16"/>
  <c r="E18" i="16"/>
  <c r="U17" i="16"/>
  <c r="T17" i="16"/>
  <c r="S17" i="16"/>
  <c r="R17" i="16"/>
  <c r="P17" i="16"/>
  <c r="O17" i="16"/>
  <c r="L17" i="16"/>
  <c r="K17" i="16"/>
  <c r="J17" i="16"/>
  <c r="I17" i="16"/>
  <c r="H17" i="16"/>
  <c r="E17" i="16"/>
  <c r="U16" i="16"/>
  <c r="T16" i="16"/>
  <c r="S16" i="16"/>
  <c r="R16" i="16"/>
  <c r="P16" i="16"/>
  <c r="O16" i="16"/>
  <c r="L16" i="16"/>
  <c r="K16" i="16"/>
  <c r="J16" i="16"/>
  <c r="I16" i="16"/>
  <c r="H16" i="16"/>
  <c r="E16" i="16"/>
  <c r="U15" i="16"/>
  <c r="T15" i="16"/>
  <c r="S15" i="16"/>
  <c r="R15" i="16"/>
  <c r="P15" i="16"/>
  <c r="O15" i="16"/>
  <c r="L15" i="16"/>
  <c r="K15" i="16"/>
  <c r="J15" i="16"/>
  <c r="I15" i="16"/>
  <c r="H15" i="16"/>
  <c r="E15" i="16"/>
  <c r="R14" i="16"/>
  <c r="O14" i="16"/>
  <c r="I14" i="16"/>
  <c r="H14" i="16"/>
  <c r="E14" i="16"/>
  <c r="U13" i="16"/>
  <c r="T13" i="16"/>
  <c r="S13" i="16"/>
  <c r="R13" i="16"/>
  <c r="P13" i="16"/>
  <c r="O13" i="16"/>
  <c r="L13" i="16"/>
  <c r="K13" i="16"/>
  <c r="J13" i="16"/>
  <c r="I13" i="16"/>
  <c r="H13" i="16"/>
  <c r="E13" i="16"/>
  <c r="U12" i="16"/>
  <c r="T12" i="16"/>
  <c r="S12" i="16"/>
  <c r="R12" i="16"/>
  <c r="P12" i="16"/>
  <c r="O12" i="16"/>
  <c r="L12" i="16"/>
  <c r="K12" i="16"/>
  <c r="J12" i="16"/>
  <c r="I12" i="16"/>
  <c r="H12" i="16"/>
  <c r="E12" i="16"/>
  <c r="U11" i="16"/>
  <c r="T11" i="16"/>
  <c r="S11" i="16"/>
  <c r="R11" i="16"/>
  <c r="P11" i="16"/>
  <c r="O11" i="16"/>
  <c r="L11" i="16"/>
  <c r="K11" i="16"/>
  <c r="J11" i="16"/>
  <c r="I11" i="16"/>
  <c r="H11" i="16"/>
  <c r="E11" i="16"/>
  <c r="T10" i="16"/>
  <c r="S10" i="16"/>
  <c r="R10" i="16"/>
  <c r="P10" i="16"/>
  <c r="O10" i="16"/>
  <c r="L10" i="16"/>
  <c r="K10" i="16"/>
  <c r="J10" i="16"/>
  <c r="I10" i="16"/>
  <c r="H10" i="16"/>
  <c r="E10" i="16"/>
  <c r="U9" i="16"/>
  <c r="T9" i="16"/>
  <c r="S9" i="16"/>
  <c r="R9" i="16"/>
  <c r="P9" i="16"/>
  <c r="O9" i="16"/>
  <c r="L9" i="16"/>
  <c r="K9" i="16"/>
  <c r="J9" i="16"/>
  <c r="I9" i="16"/>
  <c r="H9" i="16"/>
  <c r="E9" i="16"/>
  <c r="U8" i="16"/>
  <c r="T8" i="16"/>
  <c r="S8" i="16"/>
  <c r="R8" i="16"/>
  <c r="P8" i="16"/>
  <c r="O8" i="16"/>
  <c r="L8" i="16"/>
  <c r="K8" i="16"/>
  <c r="J8" i="16"/>
  <c r="I8" i="16"/>
  <c r="H8" i="16"/>
  <c r="E8" i="16"/>
  <c r="U7" i="16"/>
  <c r="T7" i="16"/>
  <c r="S7" i="16"/>
  <c r="R7" i="16"/>
  <c r="P7" i="16"/>
  <c r="O7" i="16"/>
  <c r="L7" i="16"/>
  <c r="K7" i="16"/>
  <c r="J7" i="16"/>
  <c r="I7" i="16"/>
  <c r="H7" i="16"/>
  <c r="E7" i="16"/>
  <c r="U6" i="16"/>
  <c r="T6" i="16"/>
  <c r="S6" i="16"/>
  <c r="R6" i="16"/>
  <c r="P6" i="16"/>
  <c r="O6" i="16"/>
  <c r="L6" i="16"/>
  <c r="K6" i="16"/>
  <c r="J6" i="16"/>
  <c r="I6" i="16"/>
  <c r="H6" i="16"/>
  <c r="E6" i="16"/>
  <c r="U5" i="16"/>
  <c r="T5" i="16"/>
  <c r="S5" i="16"/>
  <c r="R5" i="16"/>
  <c r="P5" i="16"/>
  <c r="O5" i="16"/>
  <c r="L5" i="16"/>
  <c r="K5" i="16"/>
  <c r="J5" i="16"/>
  <c r="I5" i="16"/>
  <c r="H5" i="16"/>
  <c r="E5" i="16"/>
  <c r="U4" i="16"/>
  <c r="T4" i="16"/>
  <c r="S4" i="16"/>
  <c r="R4" i="16"/>
  <c r="P4" i="16"/>
  <c r="O4" i="16"/>
  <c r="L4" i="16"/>
  <c r="K4" i="16"/>
  <c r="J4" i="16"/>
  <c r="I4" i="16"/>
  <c r="H4" i="16"/>
  <c r="E4" i="16"/>
  <c r="U3" i="16"/>
  <c r="T3" i="16"/>
  <c r="S3" i="16"/>
  <c r="R3" i="16"/>
  <c r="P3" i="16"/>
  <c r="O3" i="16"/>
  <c r="L3" i="16"/>
  <c r="K3" i="16"/>
  <c r="J3" i="16"/>
  <c r="I3" i="16"/>
  <c r="H3" i="16"/>
  <c r="E3" i="16"/>
  <c r="U56" i="15"/>
  <c r="T56" i="15"/>
  <c r="S56" i="15"/>
  <c r="R56" i="15"/>
  <c r="P56" i="15"/>
  <c r="O56" i="15"/>
  <c r="L56" i="15"/>
  <c r="K56" i="15"/>
  <c r="J56" i="15"/>
  <c r="I56" i="15"/>
  <c r="H56" i="15"/>
  <c r="E56" i="15"/>
  <c r="U55" i="15"/>
  <c r="T55" i="15"/>
  <c r="S55" i="15"/>
  <c r="R55" i="15"/>
  <c r="P55" i="15"/>
  <c r="O55" i="15"/>
  <c r="L55" i="15"/>
  <c r="K55" i="15"/>
  <c r="J55" i="15"/>
  <c r="I55" i="15"/>
  <c r="H55" i="15"/>
  <c r="E55" i="15"/>
  <c r="U54" i="15"/>
  <c r="T54" i="15"/>
  <c r="S54" i="15"/>
  <c r="R54" i="15"/>
  <c r="P54" i="15"/>
  <c r="O54" i="15"/>
  <c r="L54" i="15"/>
  <c r="K54" i="15"/>
  <c r="J54" i="15"/>
  <c r="I54" i="15"/>
  <c r="H54" i="15"/>
  <c r="E54" i="15"/>
  <c r="U53" i="15"/>
  <c r="T53" i="15"/>
  <c r="S53" i="15"/>
  <c r="R53" i="15"/>
  <c r="P53" i="15"/>
  <c r="O53" i="15"/>
  <c r="L53" i="15"/>
  <c r="K53" i="15"/>
  <c r="J53" i="15"/>
  <c r="I53" i="15"/>
  <c r="H53" i="15"/>
  <c r="E53" i="15"/>
  <c r="U52" i="15"/>
  <c r="T52" i="15"/>
  <c r="S52" i="15"/>
  <c r="R52" i="15"/>
  <c r="P52" i="15"/>
  <c r="O52" i="15"/>
  <c r="L52" i="15"/>
  <c r="K52" i="15"/>
  <c r="J52" i="15"/>
  <c r="I52" i="15"/>
  <c r="H52" i="15"/>
  <c r="E52" i="15"/>
  <c r="U51" i="15"/>
  <c r="T51" i="15"/>
  <c r="S51" i="15"/>
  <c r="R51" i="15"/>
  <c r="P51" i="15"/>
  <c r="O51" i="15"/>
  <c r="L51" i="15"/>
  <c r="K51" i="15"/>
  <c r="J51" i="15"/>
  <c r="I51" i="15"/>
  <c r="H51" i="15"/>
  <c r="E51" i="15"/>
  <c r="U50" i="15"/>
  <c r="T50" i="15"/>
  <c r="S50" i="15"/>
  <c r="R50" i="15"/>
  <c r="P50" i="15"/>
  <c r="O50" i="15"/>
  <c r="L50" i="15"/>
  <c r="K50" i="15"/>
  <c r="J50" i="15"/>
  <c r="I50" i="15"/>
  <c r="H50" i="15"/>
  <c r="E50" i="15"/>
  <c r="U49" i="15"/>
  <c r="T49" i="15"/>
  <c r="S49" i="15"/>
  <c r="R49" i="15"/>
  <c r="P49" i="15"/>
  <c r="O49" i="15"/>
  <c r="L49" i="15"/>
  <c r="K49" i="15"/>
  <c r="J49" i="15"/>
  <c r="I49" i="15"/>
  <c r="H49" i="15"/>
  <c r="E49" i="15"/>
  <c r="U48" i="15"/>
  <c r="T48" i="15"/>
  <c r="S48" i="15"/>
  <c r="R48" i="15"/>
  <c r="P48" i="15"/>
  <c r="O48" i="15"/>
  <c r="L48" i="15"/>
  <c r="K48" i="15"/>
  <c r="J48" i="15"/>
  <c r="I48" i="15"/>
  <c r="H48" i="15"/>
  <c r="E48" i="15"/>
  <c r="U47" i="15"/>
  <c r="T47" i="15"/>
  <c r="S47" i="15"/>
  <c r="R47" i="15"/>
  <c r="P47" i="15"/>
  <c r="O47" i="15"/>
  <c r="L47" i="15"/>
  <c r="K47" i="15"/>
  <c r="J47" i="15"/>
  <c r="I47" i="15"/>
  <c r="H47" i="15"/>
  <c r="E47" i="15"/>
  <c r="U46" i="15"/>
  <c r="T46" i="15"/>
  <c r="S46" i="15"/>
  <c r="R46" i="15"/>
  <c r="P46" i="15"/>
  <c r="O46" i="15"/>
  <c r="L46" i="15"/>
  <c r="K46" i="15"/>
  <c r="J46" i="15"/>
  <c r="I46" i="15"/>
  <c r="H46" i="15"/>
  <c r="E46" i="15"/>
  <c r="U45" i="15"/>
  <c r="T45" i="15"/>
  <c r="S45" i="15"/>
  <c r="R45" i="15"/>
  <c r="P45" i="15"/>
  <c r="O45" i="15"/>
  <c r="L45" i="15"/>
  <c r="K45" i="15"/>
  <c r="J45" i="15"/>
  <c r="I45" i="15"/>
  <c r="H45" i="15"/>
  <c r="E45" i="15"/>
  <c r="U44" i="15"/>
  <c r="T44" i="15"/>
  <c r="S44" i="15"/>
  <c r="R44" i="15"/>
  <c r="P44" i="15"/>
  <c r="O44" i="15"/>
  <c r="L44" i="15"/>
  <c r="K44" i="15"/>
  <c r="J44" i="15"/>
  <c r="I44" i="15"/>
  <c r="H44" i="15"/>
  <c r="E44" i="15"/>
  <c r="U43" i="15"/>
  <c r="T43" i="15"/>
  <c r="S43" i="15"/>
  <c r="R43" i="15"/>
  <c r="P43" i="15"/>
  <c r="O43" i="15"/>
  <c r="L43" i="15"/>
  <c r="K43" i="15"/>
  <c r="J43" i="15"/>
  <c r="I43" i="15"/>
  <c r="H43" i="15"/>
  <c r="E43" i="15"/>
  <c r="U42" i="15"/>
  <c r="T42" i="15"/>
  <c r="S42" i="15"/>
  <c r="R42" i="15"/>
  <c r="P42" i="15"/>
  <c r="O42" i="15"/>
  <c r="L42" i="15"/>
  <c r="K42" i="15"/>
  <c r="J42" i="15"/>
  <c r="I42" i="15"/>
  <c r="H42" i="15"/>
  <c r="E42" i="15"/>
  <c r="U41" i="15"/>
  <c r="T41" i="15"/>
  <c r="S41" i="15"/>
  <c r="R41" i="15"/>
  <c r="P41" i="15"/>
  <c r="O41" i="15"/>
  <c r="L41" i="15"/>
  <c r="K41" i="15"/>
  <c r="J41" i="15"/>
  <c r="I41" i="15"/>
  <c r="H41" i="15"/>
  <c r="E41" i="15"/>
  <c r="AP40" i="15"/>
  <c r="AO40" i="15"/>
  <c r="AN40" i="15"/>
  <c r="AM40" i="15"/>
  <c r="AL40" i="15"/>
  <c r="AK40" i="15"/>
  <c r="U40" i="15"/>
  <c r="T40" i="15"/>
  <c r="S40" i="15"/>
  <c r="R40" i="15"/>
  <c r="P40" i="15"/>
  <c r="O40" i="15"/>
  <c r="L40" i="15"/>
  <c r="K40" i="15"/>
  <c r="J40" i="15"/>
  <c r="I40" i="15"/>
  <c r="H40" i="15"/>
  <c r="E40" i="15"/>
  <c r="AP39" i="15"/>
  <c r="AO39" i="15"/>
  <c r="AN39" i="15"/>
  <c r="AM39" i="15"/>
  <c r="AL39" i="15"/>
  <c r="AK39" i="15"/>
  <c r="U39" i="15"/>
  <c r="T39" i="15"/>
  <c r="S39" i="15"/>
  <c r="R39" i="15"/>
  <c r="P39" i="15"/>
  <c r="O39" i="15"/>
  <c r="L39" i="15"/>
  <c r="K39" i="15"/>
  <c r="J39" i="15"/>
  <c r="I39" i="15"/>
  <c r="H39" i="15"/>
  <c r="E39" i="15"/>
  <c r="AP38" i="15"/>
  <c r="AO38" i="15"/>
  <c r="AN38" i="15"/>
  <c r="AM38" i="15"/>
  <c r="AL38" i="15"/>
  <c r="AK38" i="15"/>
  <c r="U38" i="15"/>
  <c r="T38" i="15"/>
  <c r="S38" i="15"/>
  <c r="R38" i="15"/>
  <c r="P38" i="15"/>
  <c r="O38" i="15"/>
  <c r="L38" i="15"/>
  <c r="K38" i="15"/>
  <c r="J38" i="15"/>
  <c r="I38" i="15"/>
  <c r="H38" i="15"/>
  <c r="E38" i="15"/>
  <c r="AP37" i="15"/>
  <c r="AM37" i="15"/>
  <c r="AL37" i="15"/>
  <c r="U37" i="15"/>
  <c r="T37" i="15"/>
  <c r="S37" i="15"/>
  <c r="R37" i="15"/>
  <c r="P37" i="15"/>
  <c r="O37" i="15"/>
  <c r="L37" i="15"/>
  <c r="K37" i="15"/>
  <c r="J37" i="15"/>
  <c r="I37" i="15"/>
  <c r="H37" i="15"/>
  <c r="E37" i="15"/>
  <c r="AP36" i="15"/>
  <c r="AN36" i="15"/>
  <c r="AM36" i="15"/>
  <c r="AL36" i="15"/>
  <c r="U36" i="15"/>
  <c r="T36" i="15"/>
  <c r="S36" i="15"/>
  <c r="R36" i="15"/>
  <c r="P36" i="15"/>
  <c r="O36" i="15"/>
  <c r="L36" i="15"/>
  <c r="K36" i="15"/>
  <c r="J36" i="15"/>
  <c r="I36" i="15"/>
  <c r="H36" i="15"/>
  <c r="E36" i="15"/>
  <c r="AP35" i="15"/>
  <c r="AN35" i="15"/>
  <c r="AM35" i="15"/>
  <c r="U35" i="15"/>
  <c r="T35" i="15"/>
  <c r="S35" i="15"/>
  <c r="R35" i="15"/>
  <c r="P35" i="15"/>
  <c r="O35" i="15"/>
  <c r="L35" i="15"/>
  <c r="K35" i="15"/>
  <c r="J35" i="15"/>
  <c r="I35" i="15"/>
  <c r="H35" i="15"/>
  <c r="E35" i="15"/>
  <c r="AP34" i="15"/>
  <c r="AM34" i="15"/>
  <c r="AL34" i="15"/>
  <c r="U34" i="15"/>
  <c r="T34" i="15"/>
  <c r="S34" i="15"/>
  <c r="R34" i="15"/>
  <c r="P34" i="15"/>
  <c r="O34" i="15"/>
  <c r="L34" i="15"/>
  <c r="K34" i="15"/>
  <c r="J34" i="15"/>
  <c r="I34" i="15"/>
  <c r="H34" i="15"/>
  <c r="E34" i="15"/>
  <c r="AP33" i="15"/>
  <c r="AN33" i="15"/>
  <c r="AM33" i="15"/>
  <c r="AL33" i="15"/>
  <c r="U33" i="15"/>
  <c r="T33" i="15"/>
  <c r="S33" i="15"/>
  <c r="R33" i="15"/>
  <c r="P33" i="15"/>
  <c r="O33" i="15"/>
  <c r="L33" i="15"/>
  <c r="K33" i="15"/>
  <c r="J33" i="15"/>
  <c r="I33" i="15"/>
  <c r="H33" i="15"/>
  <c r="E33" i="15"/>
  <c r="AP32" i="15"/>
  <c r="AO32" i="15"/>
  <c r="AN32" i="15"/>
  <c r="AM32" i="15"/>
  <c r="U32" i="15"/>
  <c r="T32" i="15"/>
  <c r="S32" i="15"/>
  <c r="R32" i="15"/>
  <c r="P32" i="15"/>
  <c r="O32" i="15"/>
  <c r="L32" i="15"/>
  <c r="K32" i="15"/>
  <c r="J32" i="15"/>
  <c r="I32" i="15"/>
  <c r="H32" i="15"/>
  <c r="E32" i="15"/>
  <c r="AY31" i="15"/>
  <c r="AX31" i="15"/>
  <c r="AW31" i="15"/>
  <c r="AV31" i="15"/>
  <c r="AU31" i="15"/>
  <c r="AT31" i="15"/>
  <c r="AP31" i="15"/>
  <c r="AN31" i="15"/>
  <c r="AM31" i="15"/>
  <c r="AL31" i="15"/>
  <c r="U31" i="15"/>
  <c r="T31" i="15"/>
  <c r="S31" i="15"/>
  <c r="R31" i="15"/>
  <c r="P31" i="15"/>
  <c r="O31" i="15"/>
  <c r="L31" i="15"/>
  <c r="K31" i="15"/>
  <c r="J31" i="15"/>
  <c r="I31" i="15"/>
  <c r="H31" i="15"/>
  <c r="E31" i="15"/>
  <c r="AY30" i="15"/>
  <c r="AX30" i="15"/>
  <c r="AW30" i="15"/>
  <c r="AV30" i="15"/>
  <c r="AU30" i="15"/>
  <c r="AT30" i="15"/>
  <c r="AP30" i="15"/>
  <c r="AN30" i="15"/>
  <c r="AM30" i="15"/>
  <c r="U30" i="15"/>
  <c r="T30" i="15"/>
  <c r="S30" i="15"/>
  <c r="R30" i="15"/>
  <c r="P30" i="15"/>
  <c r="O30" i="15"/>
  <c r="L30" i="15"/>
  <c r="K30" i="15"/>
  <c r="J30" i="15"/>
  <c r="I30" i="15"/>
  <c r="H30" i="15"/>
  <c r="E30" i="15"/>
  <c r="AY29" i="15"/>
  <c r="AX29" i="15"/>
  <c r="AW29" i="15"/>
  <c r="AV29" i="15"/>
  <c r="AU29" i="15"/>
  <c r="AT29" i="15"/>
  <c r="AP29" i="15"/>
  <c r="AN29" i="15"/>
  <c r="AM29" i="15"/>
  <c r="AL29" i="15"/>
  <c r="U29" i="15"/>
  <c r="T29" i="15"/>
  <c r="S29" i="15"/>
  <c r="R29" i="15"/>
  <c r="P29" i="15"/>
  <c r="O29" i="15"/>
  <c r="L29" i="15"/>
  <c r="K29" i="15"/>
  <c r="J29" i="15"/>
  <c r="I29" i="15"/>
  <c r="H29" i="15"/>
  <c r="E29" i="15"/>
  <c r="AY28" i="15"/>
  <c r="AX28" i="15"/>
  <c r="AW28" i="15"/>
  <c r="AV28" i="15"/>
  <c r="AU28" i="15"/>
  <c r="AT28" i="15"/>
  <c r="AP28" i="15"/>
  <c r="AO28" i="15"/>
  <c r="AM28" i="15"/>
  <c r="U28" i="15"/>
  <c r="T28" i="15"/>
  <c r="S28" i="15"/>
  <c r="R28" i="15"/>
  <c r="P28" i="15"/>
  <c r="O28" i="15"/>
  <c r="L28" i="15"/>
  <c r="K28" i="15"/>
  <c r="J28" i="15"/>
  <c r="I28" i="15"/>
  <c r="H28" i="15"/>
  <c r="E28" i="15"/>
  <c r="AY27" i="15"/>
  <c r="AX27" i="15"/>
  <c r="AW27" i="15"/>
  <c r="AV27" i="15"/>
  <c r="AU27" i="15"/>
  <c r="AT27" i="15"/>
  <c r="AP27" i="15"/>
  <c r="AO27" i="15"/>
  <c r="AM27" i="15"/>
  <c r="AL27" i="15"/>
  <c r="U27" i="15"/>
  <c r="T27" i="15"/>
  <c r="S27" i="15"/>
  <c r="R27" i="15"/>
  <c r="P27" i="15"/>
  <c r="O27" i="15"/>
  <c r="L27" i="15"/>
  <c r="K27" i="15"/>
  <c r="J27" i="15"/>
  <c r="I27" i="15"/>
  <c r="H27" i="15"/>
  <c r="E27" i="15"/>
  <c r="AY26" i="15"/>
  <c r="AX26" i="15"/>
  <c r="AW26" i="15"/>
  <c r="AV26" i="15"/>
  <c r="AU26" i="15"/>
  <c r="AT26" i="15"/>
  <c r="AP26" i="15"/>
  <c r="AN26" i="15"/>
  <c r="AM26" i="15"/>
  <c r="AL26" i="15"/>
  <c r="U26" i="15"/>
  <c r="T26" i="15"/>
  <c r="S26" i="15"/>
  <c r="R26" i="15"/>
  <c r="P26" i="15"/>
  <c r="O26" i="15"/>
  <c r="L26" i="15"/>
  <c r="K26" i="15"/>
  <c r="J26" i="15"/>
  <c r="I26" i="15"/>
  <c r="H26" i="15"/>
  <c r="E26" i="15"/>
  <c r="AY25" i="15"/>
  <c r="AX25" i="15"/>
  <c r="AW25" i="15"/>
  <c r="AV25" i="15"/>
  <c r="AU25" i="15"/>
  <c r="AT25" i="15"/>
  <c r="R25" i="15"/>
  <c r="O25" i="15"/>
  <c r="I25" i="15"/>
  <c r="H25" i="15"/>
  <c r="E25" i="15"/>
  <c r="AY24" i="15"/>
  <c r="AX24" i="15"/>
  <c r="AW24" i="15"/>
  <c r="AV24" i="15"/>
  <c r="AU24" i="15"/>
  <c r="AT24" i="15"/>
  <c r="U24" i="15"/>
  <c r="T24" i="15"/>
  <c r="S24" i="15"/>
  <c r="R24" i="15"/>
  <c r="P24" i="15"/>
  <c r="O24" i="15"/>
  <c r="L24" i="15"/>
  <c r="K24" i="15"/>
  <c r="J24" i="15"/>
  <c r="I24" i="15"/>
  <c r="H24" i="15"/>
  <c r="E24" i="15"/>
  <c r="AY23" i="15"/>
  <c r="AX23" i="15"/>
  <c r="AW23" i="15"/>
  <c r="AV23" i="15"/>
  <c r="AU23" i="15"/>
  <c r="AT23" i="15"/>
  <c r="U23" i="15"/>
  <c r="T23" i="15"/>
  <c r="S23" i="15"/>
  <c r="R23" i="15"/>
  <c r="P23" i="15"/>
  <c r="O23" i="15"/>
  <c r="L23" i="15"/>
  <c r="K23" i="15"/>
  <c r="J23" i="15"/>
  <c r="I23" i="15"/>
  <c r="H23" i="15"/>
  <c r="E23" i="15"/>
  <c r="AY22" i="15"/>
  <c r="AX22" i="15"/>
  <c r="AW22" i="15"/>
  <c r="AV22" i="15"/>
  <c r="AU22" i="15"/>
  <c r="AT22" i="15"/>
  <c r="U22" i="15"/>
  <c r="T22" i="15"/>
  <c r="S22" i="15"/>
  <c r="R22" i="15"/>
  <c r="P22" i="15"/>
  <c r="O22" i="15"/>
  <c r="L22" i="15"/>
  <c r="K22" i="15"/>
  <c r="J22" i="15"/>
  <c r="I22" i="15"/>
  <c r="H22" i="15"/>
  <c r="E22" i="15"/>
  <c r="AY21" i="15"/>
  <c r="AX21" i="15"/>
  <c r="AW21" i="15"/>
  <c r="AV21" i="15"/>
  <c r="AU21" i="15"/>
  <c r="AT21" i="15"/>
  <c r="U21" i="15"/>
  <c r="T21" i="15"/>
  <c r="S21" i="15"/>
  <c r="R21" i="15"/>
  <c r="P21" i="15"/>
  <c r="O21" i="15"/>
  <c r="L21" i="15"/>
  <c r="K21" i="15"/>
  <c r="J21" i="15"/>
  <c r="I21" i="15"/>
  <c r="H21" i="15"/>
  <c r="E21" i="15"/>
  <c r="AY20" i="15"/>
  <c r="AX20" i="15"/>
  <c r="AW20" i="15"/>
  <c r="AV20" i="15"/>
  <c r="AU20" i="15"/>
  <c r="AT20" i="15"/>
  <c r="AP20" i="15"/>
  <c r="AO20" i="15"/>
  <c r="AN20" i="15"/>
  <c r="AM20" i="15"/>
  <c r="AL20" i="15"/>
  <c r="AK20" i="15"/>
  <c r="U20" i="15"/>
  <c r="T20" i="15"/>
  <c r="S20" i="15"/>
  <c r="R20" i="15"/>
  <c r="P20" i="15"/>
  <c r="O20" i="15"/>
  <c r="L20" i="15"/>
  <c r="K20" i="15"/>
  <c r="J20" i="15"/>
  <c r="I20" i="15"/>
  <c r="H20" i="15"/>
  <c r="E20" i="15"/>
  <c r="AY19" i="15"/>
  <c r="AX19" i="15"/>
  <c r="AW19" i="15"/>
  <c r="AV19" i="15"/>
  <c r="AU19" i="15"/>
  <c r="AT19" i="15"/>
  <c r="AP19" i="15"/>
  <c r="AO19" i="15"/>
  <c r="AN19" i="15"/>
  <c r="AM19" i="15"/>
  <c r="AL19" i="15"/>
  <c r="AK19" i="15"/>
  <c r="U19" i="15"/>
  <c r="T19" i="15"/>
  <c r="S19" i="15"/>
  <c r="R19" i="15"/>
  <c r="P19" i="15"/>
  <c r="O19" i="15"/>
  <c r="L19" i="15"/>
  <c r="K19" i="15"/>
  <c r="J19" i="15"/>
  <c r="I19" i="15"/>
  <c r="H19" i="15"/>
  <c r="E19" i="15"/>
  <c r="AY18" i="15"/>
  <c r="AX18" i="15"/>
  <c r="AW18" i="15"/>
  <c r="AV18" i="15"/>
  <c r="AU18" i="15"/>
  <c r="AT18" i="15"/>
  <c r="AP18" i="15"/>
  <c r="AO18" i="15"/>
  <c r="AN18" i="15"/>
  <c r="AM18" i="15"/>
  <c r="AL18" i="15"/>
  <c r="AK18" i="15"/>
  <c r="U18" i="15"/>
  <c r="T18" i="15"/>
  <c r="S18" i="15"/>
  <c r="R18" i="15"/>
  <c r="P18" i="15"/>
  <c r="O18" i="15"/>
  <c r="L18" i="15"/>
  <c r="K18" i="15"/>
  <c r="J18" i="15"/>
  <c r="I18" i="15"/>
  <c r="H18" i="15"/>
  <c r="E18" i="15"/>
  <c r="AY17" i="15"/>
  <c r="AX17" i="15"/>
  <c r="AW17" i="15"/>
  <c r="AV17" i="15"/>
  <c r="AU17" i="15"/>
  <c r="AT17" i="15"/>
  <c r="AP17" i="15"/>
  <c r="U17" i="15"/>
  <c r="T17" i="15"/>
  <c r="S17" i="15"/>
  <c r="R17" i="15"/>
  <c r="P17" i="15"/>
  <c r="O17" i="15"/>
  <c r="L17" i="15"/>
  <c r="K17" i="15"/>
  <c r="J17" i="15"/>
  <c r="I17" i="15"/>
  <c r="H17" i="15"/>
  <c r="E17" i="15"/>
  <c r="AP16" i="15"/>
  <c r="U16" i="15"/>
  <c r="T16" i="15"/>
  <c r="S16" i="15"/>
  <c r="R16" i="15"/>
  <c r="P16" i="15"/>
  <c r="O16" i="15"/>
  <c r="L16" i="15"/>
  <c r="K16" i="15"/>
  <c r="J16" i="15"/>
  <c r="I16" i="15"/>
  <c r="H16" i="15"/>
  <c r="E16" i="15"/>
  <c r="AP15" i="15"/>
  <c r="U15" i="15"/>
  <c r="T15" i="15"/>
  <c r="S15" i="15"/>
  <c r="R15" i="15"/>
  <c r="P15" i="15"/>
  <c r="O15" i="15"/>
  <c r="L15" i="15"/>
  <c r="K15" i="15"/>
  <c r="J15" i="15"/>
  <c r="I15" i="15"/>
  <c r="H15" i="15"/>
  <c r="E15" i="15"/>
  <c r="AP14" i="15"/>
  <c r="R14" i="15"/>
  <c r="O14" i="15"/>
  <c r="I14" i="15"/>
  <c r="H14" i="15"/>
  <c r="E14" i="15"/>
  <c r="AP13" i="15"/>
  <c r="U13" i="15"/>
  <c r="T13" i="15"/>
  <c r="S13" i="15"/>
  <c r="R13" i="15"/>
  <c r="P13" i="15"/>
  <c r="O13" i="15"/>
  <c r="L13" i="15"/>
  <c r="K13" i="15"/>
  <c r="J13" i="15"/>
  <c r="I13" i="15"/>
  <c r="H13" i="15"/>
  <c r="E13" i="15"/>
  <c r="AP12" i="15"/>
  <c r="U12" i="15"/>
  <c r="T12" i="15"/>
  <c r="S12" i="15"/>
  <c r="R12" i="15"/>
  <c r="P12" i="15"/>
  <c r="O12" i="15"/>
  <c r="L12" i="15"/>
  <c r="K12" i="15"/>
  <c r="J12" i="15"/>
  <c r="I12" i="15"/>
  <c r="H12" i="15"/>
  <c r="E12" i="15"/>
  <c r="AP11" i="15"/>
  <c r="U11" i="15"/>
  <c r="T11" i="15"/>
  <c r="S11" i="15"/>
  <c r="R11" i="15"/>
  <c r="P11" i="15"/>
  <c r="O11" i="15"/>
  <c r="L11" i="15"/>
  <c r="K11" i="15"/>
  <c r="J11" i="15"/>
  <c r="I11" i="15"/>
  <c r="H11" i="15"/>
  <c r="E11" i="15"/>
  <c r="AP10" i="15"/>
  <c r="T10" i="15"/>
  <c r="S10" i="15"/>
  <c r="R10" i="15"/>
  <c r="P10" i="15"/>
  <c r="O10" i="15"/>
  <c r="L10" i="15"/>
  <c r="K10" i="15"/>
  <c r="J10" i="15"/>
  <c r="I10" i="15"/>
  <c r="H10" i="15"/>
  <c r="E10" i="15"/>
  <c r="AP9" i="15"/>
  <c r="U9" i="15"/>
  <c r="T9" i="15"/>
  <c r="S9" i="15"/>
  <c r="R9" i="15"/>
  <c r="P9" i="15"/>
  <c r="O9" i="15"/>
  <c r="L9" i="15"/>
  <c r="K9" i="15"/>
  <c r="J9" i="15"/>
  <c r="I9" i="15"/>
  <c r="H9" i="15"/>
  <c r="E9" i="15"/>
  <c r="AP8" i="15"/>
  <c r="U8" i="15"/>
  <c r="T8" i="15"/>
  <c r="S8" i="15"/>
  <c r="R8" i="15"/>
  <c r="P8" i="15"/>
  <c r="O8" i="15"/>
  <c r="L8" i="15"/>
  <c r="K8" i="15"/>
  <c r="J8" i="15"/>
  <c r="I8" i="15"/>
  <c r="H8" i="15"/>
  <c r="E8" i="15"/>
  <c r="AP7" i="15"/>
  <c r="AA7" i="15"/>
  <c r="U7" i="15"/>
  <c r="T7" i="15"/>
  <c r="S7" i="15"/>
  <c r="R7" i="15"/>
  <c r="P7" i="15"/>
  <c r="O7" i="15"/>
  <c r="L7" i="15"/>
  <c r="K7" i="15"/>
  <c r="J7" i="15"/>
  <c r="I7" i="15"/>
  <c r="H7" i="15"/>
  <c r="E7" i="15"/>
  <c r="AP6" i="15"/>
  <c r="AA6" i="15"/>
  <c r="U6" i="15"/>
  <c r="T6" i="15"/>
  <c r="S6" i="15"/>
  <c r="R6" i="15"/>
  <c r="P6" i="15"/>
  <c r="O6" i="15"/>
  <c r="L6" i="15"/>
  <c r="K6" i="15"/>
  <c r="J6" i="15"/>
  <c r="I6" i="15"/>
  <c r="H6" i="15"/>
  <c r="E6" i="15"/>
  <c r="AA5" i="15"/>
  <c r="U5" i="15"/>
  <c r="T5" i="15"/>
  <c r="S5" i="15"/>
  <c r="R5" i="15"/>
  <c r="P5" i="15"/>
  <c r="O5" i="15"/>
  <c r="L5" i="15"/>
  <c r="K5" i="15"/>
  <c r="J5" i="15"/>
  <c r="I5" i="15"/>
  <c r="H5" i="15"/>
  <c r="E5" i="15"/>
  <c r="AA4" i="15"/>
  <c r="U4" i="15"/>
  <c r="T4" i="15"/>
  <c r="S4" i="15"/>
  <c r="R4" i="15"/>
  <c r="P4" i="15"/>
  <c r="O4" i="15"/>
  <c r="L4" i="15"/>
  <c r="K4" i="15"/>
  <c r="J4" i="15"/>
  <c r="I4" i="15"/>
  <c r="H4" i="15"/>
  <c r="E4" i="15"/>
  <c r="U3" i="15"/>
  <c r="T3" i="15"/>
  <c r="S3" i="15"/>
  <c r="R3" i="15"/>
  <c r="P3" i="15"/>
  <c r="O3" i="15"/>
  <c r="L3" i="15"/>
  <c r="K3" i="15"/>
  <c r="J3" i="15"/>
  <c r="I3" i="15"/>
  <c r="H3" i="15"/>
  <c r="E3" i="15"/>
  <c r="U56" i="4"/>
  <c r="T56" i="4"/>
  <c r="S56" i="4"/>
  <c r="R56" i="4"/>
  <c r="P56" i="4"/>
  <c r="O56" i="4"/>
  <c r="L56" i="4"/>
  <c r="K56" i="4"/>
  <c r="J56" i="4"/>
  <c r="I56" i="4"/>
  <c r="H56" i="4"/>
  <c r="E56" i="4"/>
  <c r="AE55" i="4"/>
  <c r="AD55" i="4"/>
  <c r="AC55" i="4"/>
  <c r="AB55" i="4"/>
  <c r="AA55" i="4"/>
  <c r="Z55" i="4"/>
  <c r="U55" i="4"/>
  <c r="T55" i="4"/>
  <c r="S55" i="4"/>
  <c r="R55" i="4"/>
  <c r="P55" i="4"/>
  <c r="O55" i="4"/>
  <c r="L55" i="4"/>
  <c r="K55" i="4"/>
  <c r="J55" i="4"/>
  <c r="I55" i="4"/>
  <c r="H55" i="4"/>
  <c r="E55" i="4"/>
  <c r="AE54" i="4"/>
  <c r="AD54" i="4"/>
  <c r="AC54" i="4"/>
  <c r="AB54" i="4"/>
  <c r="AA54" i="4"/>
  <c r="Z54" i="4"/>
  <c r="U54" i="4"/>
  <c r="T54" i="4"/>
  <c r="S54" i="4"/>
  <c r="R54" i="4"/>
  <c r="P54" i="4"/>
  <c r="O54" i="4"/>
  <c r="L54" i="4"/>
  <c r="K54" i="4"/>
  <c r="J54" i="4"/>
  <c r="I54" i="4"/>
  <c r="H54" i="4"/>
  <c r="E54" i="4"/>
  <c r="AE53" i="4"/>
  <c r="AD53" i="4"/>
  <c r="AC53" i="4"/>
  <c r="AB53" i="4"/>
  <c r="AA53" i="4"/>
  <c r="Z53" i="4"/>
  <c r="U53" i="4"/>
  <c r="T53" i="4"/>
  <c r="S53" i="4"/>
  <c r="R53" i="4"/>
  <c r="P53" i="4"/>
  <c r="O53" i="4"/>
  <c r="L53" i="4"/>
  <c r="K53" i="4"/>
  <c r="J53" i="4"/>
  <c r="I53" i="4"/>
  <c r="H53" i="4"/>
  <c r="E53" i="4"/>
  <c r="AE52" i="4"/>
  <c r="AB52" i="4"/>
  <c r="AA52" i="4"/>
  <c r="U52" i="4"/>
  <c r="T52" i="4"/>
  <c r="S52" i="4"/>
  <c r="R52" i="4"/>
  <c r="P52" i="4"/>
  <c r="O52" i="4"/>
  <c r="L52" i="4"/>
  <c r="K52" i="4"/>
  <c r="J52" i="4"/>
  <c r="I52" i="4"/>
  <c r="H52" i="4"/>
  <c r="E52" i="4"/>
  <c r="AE51" i="4"/>
  <c r="AC51" i="4"/>
  <c r="AB51" i="4"/>
  <c r="AA51" i="4"/>
  <c r="U51" i="4"/>
  <c r="T51" i="4"/>
  <c r="S51" i="4"/>
  <c r="R51" i="4"/>
  <c r="P51" i="4"/>
  <c r="O51" i="4"/>
  <c r="L51" i="4"/>
  <c r="K51" i="4"/>
  <c r="J51" i="4"/>
  <c r="I51" i="4"/>
  <c r="H51" i="4"/>
  <c r="E51" i="4"/>
  <c r="AE50" i="4"/>
  <c r="AC50" i="4"/>
  <c r="AB50" i="4"/>
  <c r="U50" i="4"/>
  <c r="T50" i="4"/>
  <c r="S50" i="4"/>
  <c r="R50" i="4"/>
  <c r="P50" i="4"/>
  <c r="O50" i="4"/>
  <c r="L50" i="4"/>
  <c r="K50" i="4"/>
  <c r="J50" i="4"/>
  <c r="I50" i="4"/>
  <c r="H50" i="4"/>
  <c r="E50" i="4"/>
  <c r="AE49" i="4"/>
  <c r="AB49" i="4"/>
  <c r="AA49" i="4"/>
  <c r="U49" i="4"/>
  <c r="T49" i="4"/>
  <c r="S49" i="4"/>
  <c r="R49" i="4"/>
  <c r="P49" i="4"/>
  <c r="O49" i="4"/>
  <c r="L49" i="4"/>
  <c r="K49" i="4"/>
  <c r="J49" i="4"/>
  <c r="I49" i="4"/>
  <c r="H49" i="4"/>
  <c r="E49" i="4"/>
  <c r="AN48" i="4"/>
  <c r="AM48" i="4"/>
  <c r="AL48" i="4"/>
  <c r="AK48" i="4"/>
  <c r="AJ48" i="4"/>
  <c r="AI48" i="4"/>
  <c r="AE48" i="4"/>
  <c r="AC48" i="4"/>
  <c r="AB48" i="4"/>
  <c r="AA48" i="4"/>
  <c r="U48" i="4"/>
  <c r="T48" i="4"/>
  <c r="S48" i="4"/>
  <c r="R48" i="4"/>
  <c r="P48" i="4"/>
  <c r="O48" i="4"/>
  <c r="L48" i="4"/>
  <c r="K48" i="4"/>
  <c r="J48" i="4"/>
  <c r="I48" i="4"/>
  <c r="H48" i="4"/>
  <c r="E48" i="4"/>
  <c r="AN47" i="4"/>
  <c r="AM47" i="4"/>
  <c r="AL47" i="4"/>
  <c r="AK47" i="4"/>
  <c r="AJ47" i="4"/>
  <c r="AI47" i="4"/>
  <c r="AE47" i="4"/>
  <c r="AD47" i="4"/>
  <c r="AC47" i="4"/>
  <c r="AB47" i="4"/>
  <c r="U47" i="4"/>
  <c r="T47" i="4"/>
  <c r="S47" i="4"/>
  <c r="R47" i="4"/>
  <c r="P47" i="4"/>
  <c r="O47" i="4"/>
  <c r="L47" i="4"/>
  <c r="K47" i="4"/>
  <c r="J47" i="4"/>
  <c r="I47" i="4"/>
  <c r="H47" i="4"/>
  <c r="E47" i="4"/>
  <c r="AN46" i="4"/>
  <c r="AM46" i="4"/>
  <c r="AL46" i="4"/>
  <c r="AK46" i="4"/>
  <c r="AJ46" i="4"/>
  <c r="AI46" i="4"/>
  <c r="AE46" i="4"/>
  <c r="AC46" i="4"/>
  <c r="AB46" i="4"/>
  <c r="AA46" i="4"/>
  <c r="U46" i="4"/>
  <c r="T46" i="4"/>
  <c r="S46" i="4"/>
  <c r="R46" i="4"/>
  <c r="P46" i="4"/>
  <c r="O46" i="4"/>
  <c r="L46" i="4"/>
  <c r="K46" i="4"/>
  <c r="J46" i="4"/>
  <c r="I46" i="4"/>
  <c r="H46" i="4"/>
  <c r="E46" i="4"/>
  <c r="AN45" i="4"/>
  <c r="AM45" i="4"/>
  <c r="AL45" i="4"/>
  <c r="AK45" i="4"/>
  <c r="AJ45" i="4"/>
  <c r="AI45" i="4"/>
  <c r="AE45" i="4"/>
  <c r="AC45" i="4"/>
  <c r="AB45" i="4"/>
  <c r="U45" i="4"/>
  <c r="T45" i="4"/>
  <c r="S45" i="4"/>
  <c r="R45" i="4"/>
  <c r="P45" i="4"/>
  <c r="O45" i="4"/>
  <c r="L45" i="4"/>
  <c r="K45" i="4"/>
  <c r="J45" i="4"/>
  <c r="I45" i="4"/>
  <c r="H45" i="4"/>
  <c r="E45" i="4"/>
  <c r="AN44" i="4"/>
  <c r="AM44" i="4"/>
  <c r="AL44" i="4"/>
  <c r="AK44" i="4"/>
  <c r="AJ44" i="4"/>
  <c r="AI44" i="4"/>
  <c r="AE44" i="4"/>
  <c r="AC44" i="4"/>
  <c r="AB44" i="4"/>
  <c r="AA44" i="4"/>
  <c r="U44" i="4"/>
  <c r="T44" i="4"/>
  <c r="S44" i="4"/>
  <c r="R44" i="4"/>
  <c r="P44" i="4"/>
  <c r="O44" i="4"/>
  <c r="L44" i="4"/>
  <c r="K44" i="4"/>
  <c r="J44" i="4"/>
  <c r="I44" i="4"/>
  <c r="H44" i="4"/>
  <c r="E44" i="4"/>
  <c r="AN43" i="4"/>
  <c r="AM43" i="4"/>
  <c r="AL43" i="4"/>
  <c r="AK43" i="4"/>
  <c r="AJ43" i="4"/>
  <c r="AI43" i="4"/>
  <c r="AE43" i="4"/>
  <c r="AD43" i="4"/>
  <c r="AB43" i="4"/>
  <c r="U43" i="4"/>
  <c r="T43" i="4"/>
  <c r="S43" i="4"/>
  <c r="R43" i="4"/>
  <c r="P43" i="4"/>
  <c r="O43" i="4"/>
  <c r="L43" i="4"/>
  <c r="K43" i="4"/>
  <c r="J43" i="4"/>
  <c r="I43" i="4"/>
  <c r="H43" i="4"/>
  <c r="E43" i="4"/>
  <c r="AN42" i="4"/>
  <c r="AM42" i="4"/>
  <c r="AL42" i="4"/>
  <c r="AK42" i="4"/>
  <c r="AJ42" i="4"/>
  <c r="AI42" i="4"/>
  <c r="AE42" i="4"/>
  <c r="AD42" i="4"/>
  <c r="AB42" i="4"/>
  <c r="AA42" i="4"/>
  <c r="U42" i="4"/>
  <c r="T42" i="4"/>
  <c r="S42" i="4"/>
  <c r="R42" i="4"/>
  <c r="P42" i="4"/>
  <c r="O42" i="4"/>
  <c r="L42" i="4"/>
  <c r="K42" i="4"/>
  <c r="J42" i="4"/>
  <c r="I42" i="4"/>
  <c r="H42" i="4"/>
  <c r="E42" i="4"/>
  <c r="AN41" i="4"/>
  <c r="AM41" i="4"/>
  <c r="AL41" i="4"/>
  <c r="AK41" i="4"/>
  <c r="AJ41" i="4"/>
  <c r="AI41" i="4"/>
  <c r="AE41" i="4"/>
  <c r="AC41" i="4"/>
  <c r="AB41" i="4"/>
  <c r="AA41" i="4"/>
  <c r="U41" i="4"/>
  <c r="T41" i="4"/>
  <c r="S41" i="4"/>
  <c r="R41" i="4"/>
  <c r="P41" i="4"/>
  <c r="O41" i="4"/>
  <c r="L41" i="4"/>
  <c r="K41" i="4"/>
  <c r="J41" i="4"/>
  <c r="I41" i="4"/>
  <c r="H41" i="4"/>
  <c r="E41" i="4"/>
  <c r="AN40" i="4"/>
  <c r="AM40" i="4"/>
  <c r="AL40" i="4"/>
  <c r="AK40" i="4"/>
  <c r="AJ40" i="4"/>
  <c r="AI40" i="4"/>
  <c r="U40" i="4"/>
  <c r="T40" i="4"/>
  <c r="S40" i="4"/>
  <c r="R40" i="4"/>
  <c r="P40" i="4"/>
  <c r="O40" i="4"/>
  <c r="L40" i="4"/>
  <c r="K40" i="4"/>
  <c r="J40" i="4"/>
  <c r="I40" i="4"/>
  <c r="H40" i="4"/>
  <c r="E40" i="4"/>
  <c r="AN39" i="4"/>
  <c r="AM39" i="4"/>
  <c r="AL39" i="4"/>
  <c r="AK39" i="4"/>
  <c r="AJ39" i="4"/>
  <c r="AI39" i="4"/>
  <c r="U39" i="4"/>
  <c r="T39" i="4"/>
  <c r="S39" i="4"/>
  <c r="R39" i="4"/>
  <c r="P39" i="4"/>
  <c r="O39" i="4"/>
  <c r="L39" i="4"/>
  <c r="K39" i="4"/>
  <c r="J39" i="4"/>
  <c r="I39" i="4"/>
  <c r="H39" i="4"/>
  <c r="E39" i="4"/>
  <c r="AN38" i="4"/>
  <c r="AM38" i="4"/>
  <c r="AL38" i="4"/>
  <c r="AK38" i="4"/>
  <c r="AJ38" i="4"/>
  <c r="AI38" i="4"/>
  <c r="U38" i="4"/>
  <c r="T38" i="4"/>
  <c r="S38" i="4"/>
  <c r="R38" i="4"/>
  <c r="P38" i="4"/>
  <c r="O38" i="4"/>
  <c r="L38" i="4"/>
  <c r="K38" i="4"/>
  <c r="J38" i="4"/>
  <c r="I38" i="4"/>
  <c r="H38" i="4"/>
  <c r="E38" i="4"/>
  <c r="AN37" i="4"/>
  <c r="AM37" i="4"/>
  <c r="AL37" i="4"/>
  <c r="AK37" i="4"/>
  <c r="AJ37" i="4"/>
  <c r="AI37" i="4"/>
  <c r="U37" i="4"/>
  <c r="T37" i="4"/>
  <c r="S37" i="4"/>
  <c r="R37" i="4"/>
  <c r="P37" i="4"/>
  <c r="O37" i="4"/>
  <c r="L37" i="4"/>
  <c r="K37" i="4"/>
  <c r="J37" i="4"/>
  <c r="I37" i="4"/>
  <c r="H37" i="4"/>
  <c r="E37" i="4"/>
  <c r="AN36" i="4"/>
  <c r="AM36" i="4"/>
  <c r="AL36" i="4"/>
  <c r="AK36" i="4"/>
  <c r="AJ36" i="4"/>
  <c r="AI36" i="4"/>
  <c r="U36" i="4"/>
  <c r="T36" i="4"/>
  <c r="S36" i="4"/>
  <c r="R36" i="4"/>
  <c r="P36" i="4"/>
  <c r="O36" i="4"/>
  <c r="L36" i="4"/>
  <c r="K36" i="4"/>
  <c r="J36" i="4"/>
  <c r="I36" i="4"/>
  <c r="H36" i="4"/>
  <c r="E36" i="4"/>
  <c r="AN35" i="4"/>
  <c r="AM35" i="4"/>
  <c r="AL35" i="4"/>
  <c r="AK35" i="4"/>
  <c r="AJ35" i="4"/>
  <c r="AI35" i="4"/>
  <c r="AE35" i="4"/>
  <c r="AD35" i="4"/>
  <c r="AC35" i="4"/>
  <c r="AB35" i="4"/>
  <c r="AA35" i="4"/>
  <c r="Z35" i="4"/>
  <c r="U35" i="4"/>
  <c r="T35" i="4"/>
  <c r="S35" i="4"/>
  <c r="R35" i="4"/>
  <c r="P35" i="4"/>
  <c r="O35" i="4"/>
  <c r="L35" i="4"/>
  <c r="K35" i="4"/>
  <c r="J35" i="4"/>
  <c r="I35" i="4"/>
  <c r="H35" i="4"/>
  <c r="E35" i="4"/>
  <c r="AN34" i="4"/>
  <c r="AM34" i="4"/>
  <c r="AL34" i="4"/>
  <c r="AK34" i="4"/>
  <c r="AJ34" i="4"/>
  <c r="AI34" i="4"/>
  <c r="AE34" i="4"/>
  <c r="AD34" i="4"/>
  <c r="AC34" i="4"/>
  <c r="AB34" i="4"/>
  <c r="AA34" i="4"/>
  <c r="Z34" i="4"/>
  <c r="U34" i="4"/>
  <c r="T34" i="4"/>
  <c r="S34" i="4"/>
  <c r="R34" i="4"/>
  <c r="P34" i="4"/>
  <c r="O34" i="4"/>
  <c r="L34" i="4"/>
  <c r="K34" i="4"/>
  <c r="J34" i="4"/>
  <c r="I34" i="4"/>
  <c r="H34" i="4"/>
  <c r="E34" i="4"/>
  <c r="AE33" i="4"/>
  <c r="AD33" i="4"/>
  <c r="AC33" i="4"/>
  <c r="AB33" i="4"/>
  <c r="AA33" i="4"/>
  <c r="Z33" i="4"/>
  <c r="U33" i="4"/>
  <c r="T33" i="4"/>
  <c r="S33" i="4"/>
  <c r="R33" i="4"/>
  <c r="P33" i="4"/>
  <c r="O33" i="4"/>
  <c r="L33" i="4"/>
  <c r="K33" i="4"/>
  <c r="J33" i="4"/>
  <c r="I33" i="4"/>
  <c r="H33" i="4"/>
  <c r="E33" i="4"/>
  <c r="AE32" i="4"/>
  <c r="U32" i="4"/>
  <c r="T32" i="4"/>
  <c r="S32" i="4"/>
  <c r="R32" i="4"/>
  <c r="P32" i="4"/>
  <c r="O32" i="4"/>
  <c r="L32" i="4"/>
  <c r="K32" i="4"/>
  <c r="J32" i="4"/>
  <c r="I32" i="4"/>
  <c r="H32" i="4"/>
  <c r="E32" i="4"/>
  <c r="AE31" i="4"/>
  <c r="U31" i="4"/>
  <c r="T31" i="4"/>
  <c r="S31" i="4"/>
  <c r="R31" i="4"/>
  <c r="P31" i="4"/>
  <c r="O31" i="4"/>
  <c r="L31" i="4"/>
  <c r="K31" i="4"/>
  <c r="J31" i="4"/>
  <c r="I31" i="4"/>
  <c r="H31" i="4"/>
  <c r="E31" i="4"/>
  <c r="AE30" i="4"/>
  <c r="U30" i="4"/>
  <c r="T30" i="4"/>
  <c r="S30" i="4"/>
  <c r="R30" i="4"/>
  <c r="P30" i="4"/>
  <c r="O30" i="4"/>
  <c r="L30" i="4"/>
  <c r="K30" i="4"/>
  <c r="J30" i="4"/>
  <c r="I30" i="4"/>
  <c r="H30" i="4"/>
  <c r="E30" i="4"/>
  <c r="AE29" i="4"/>
  <c r="U29" i="4"/>
  <c r="T29" i="4"/>
  <c r="S29" i="4"/>
  <c r="R29" i="4"/>
  <c r="P29" i="4"/>
  <c r="O29" i="4"/>
  <c r="L29" i="4"/>
  <c r="K29" i="4"/>
  <c r="J29" i="4"/>
  <c r="I29" i="4"/>
  <c r="H29" i="4"/>
  <c r="E29" i="4"/>
  <c r="AE28" i="4"/>
  <c r="U28" i="4"/>
  <c r="T28" i="4"/>
  <c r="S28" i="4"/>
  <c r="R28" i="4"/>
  <c r="P28" i="4"/>
  <c r="O28" i="4"/>
  <c r="L28" i="4"/>
  <c r="K28" i="4"/>
  <c r="J28" i="4"/>
  <c r="I28" i="4"/>
  <c r="H28" i="4"/>
  <c r="E28" i="4"/>
  <c r="AE27" i="4"/>
  <c r="U27" i="4"/>
  <c r="T27" i="4"/>
  <c r="S27" i="4"/>
  <c r="R27" i="4"/>
  <c r="P27" i="4"/>
  <c r="O27" i="4"/>
  <c r="L27" i="4"/>
  <c r="K27" i="4"/>
  <c r="J27" i="4"/>
  <c r="I27" i="4"/>
  <c r="H27" i="4"/>
  <c r="E27" i="4"/>
  <c r="AE26" i="4"/>
  <c r="U26" i="4"/>
  <c r="T26" i="4"/>
  <c r="S26" i="4"/>
  <c r="R26" i="4"/>
  <c r="P26" i="4"/>
  <c r="O26" i="4"/>
  <c r="L26" i="4"/>
  <c r="K26" i="4"/>
  <c r="J26" i="4"/>
  <c r="I26" i="4"/>
  <c r="H26" i="4"/>
  <c r="E26" i="4"/>
  <c r="AE25" i="4"/>
  <c r="R25" i="4"/>
  <c r="O25" i="4"/>
  <c r="I25" i="4"/>
  <c r="H25" i="4"/>
  <c r="E25" i="4"/>
  <c r="AE24" i="4"/>
  <c r="U24" i="4"/>
  <c r="T24" i="4"/>
  <c r="S24" i="4"/>
  <c r="R24" i="4"/>
  <c r="P24" i="4"/>
  <c r="O24" i="4"/>
  <c r="L24" i="4"/>
  <c r="K24" i="4"/>
  <c r="J24" i="4"/>
  <c r="I24" i="4"/>
  <c r="H24" i="4"/>
  <c r="E24" i="4"/>
  <c r="AE23" i="4"/>
  <c r="U23" i="4"/>
  <c r="T23" i="4"/>
  <c r="S23" i="4"/>
  <c r="R23" i="4"/>
  <c r="P23" i="4"/>
  <c r="O23" i="4"/>
  <c r="L23" i="4"/>
  <c r="K23" i="4"/>
  <c r="J23" i="4"/>
  <c r="I23" i="4"/>
  <c r="H23" i="4"/>
  <c r="E23" i="4"/>
  <c r="AE22" i="4"/>
  <c r="U22" i="4"/>
  <c r="T22" i="4"/>
  <c r="S22" i="4"/>
  <c r="R22" i="4"/>
  <c r="P22" i="4"/>
  <c r="O22" i="4"/>
  <c r="L22" i="4"/>
  <c r="K22" i="4"/>
  <c r="J22" i="4"/>
  <c r="I22" i="4"/>
  <c r="H22" i="4"/>
  <c r="E22" i="4"/>
  <c r="AE21" i="4"/>
  <c r="U21" i="4"/>
  <c r="T21" i="4"/>
  <c r="S21" i="4"/>
  <c r="R21" i="4"/>
  <c r="P21" i="4"/>
  <c r="O21" i="4"/>
  <c r="L21" i="4"/>
  <c r="K21" i="4"/>
  <c r="J21" i="4"/>
  <c r="I21" i="4"/>
  <c r="H21" i="4"/>
  <c r="E21" i="4"/>
  <c r="U20" i="4"/>
  <c r="T20" i="4"/>
  <c r="S20" i="4"/>
  <c r="R20" i="4"/>
  <c r="P20" i="4"/>
  <c r="O20" i="4"/>
  <c r="L20" i="4"/>
  <c r="K20" i="4"/>
  <c r="J20" i="4"/>
  <c r="I20" i="4"/>
  <c r="H20" i="4"/>
  <c r="E20" i="4"/>
  <c r="U19" i="4"/>
  <c r="T19" i="4"/>
  <c r="S19" i="4"/>
  <c r="R19" i="4"/>
  <c r="P19" i="4"/>
  <c r="O19" i="4"/>
  <c r="L19" i="4"/>
  <c r="K19" i="4"/>
  <c r="J19" i="4"/>
  <c r="I19" i="4"/>
  <c r="H19" i="4"/>
  <c r="E19" i="4"/>
  <c r="U18" i="4"/>
  <c r="T18" i="4"/>
  <c r="S18" i="4"/>
  <c r="R18" i="4"/>
  <c r="P18" i="4"/>
  <c r="O18" i="4"/>
  <c r="L18" i="4"/>
  <c r="K18" i="4"/>
  <c r="J18" i="4"/>
  <c r="I18" i="4"/>
  <c r="H18" i="4"/>
  <c r="E18" i="4"/>
  <c r="U17" i="4"/>
  <c r="T17" i="4"/>
  <c r="S17" i="4"/>
  <c r="R17" i="4"/>
  <c r="P17" i="4"/>
  <c r="O17" i="4"/>
  <c r="L17" i="4"/>
  <c r="K17" i="4"/>
  <c r="J17" i="4"/>
  <c r="I17" i="4"/>
  <c r="H17" i="4"/>
  <c r="E17" i="4"/>
  <c r="U16" i="4"/>
  <c r="T16" i="4"/>
  <c r="S16" i="4"/>
  <c r="R16" i="4"/>
  <c r="P16" i="4"/>
  <c r="O16" i="4"/>
  <c r="L16" i="4"/>
  <c r="K16" i="4"/>
  <c r="J16" i="4"/>
  <c r="I16" i="4"/>
  <c r="H16" i="4"/>
  <c r="E16" i="4"/>
  <c r="U15" i="4"/>
  <c r="T15" i="4"/>
  <c r="S15" i="4"/>
  <c r="R15" i="4"/>
  <c r="P15" i="4"/>
  <c r="O15" i="4"/>
  <c r="L15" i="4"/>
  <c r="K15" i="4"/>
  <c r="J15" i="4"/>
  <c r="I15" i="4"/>
  <c r="H15" i="4"/>
  <c r="E15" i="4"/>
  <c r="R14" i="4"/>
  <c r="O14" i="4"/>
  <c r="I14" i="4"/>
  <c r="H14" i="4"/>
  <c r="E14" i="4"/>
  <c r="U13" i="4"/>
  <c r="T13" i="4"/>
  <c r="S13" i="4"/>
  <c r="R13" i="4"/>
  <c r="P13" i="4"/>
  <c r="O13" i="4"/>
  <c r="L13" i="4"/>
  <c r="K13" i="4"/>
  <c r="J13" i="4"/>
  <c r="I13" i="4"/>
  <c r="H13" i="4"/>
  <c r="E13" i="4"/>
  <c r="U12" i="4"/>
  <c r="T12" i="4"/>
  <c r="S12" i="4"/>
  <c r="R12" i="4"/>
  <c r="P12" i="4"/>
  <c r="O12" i="4"/>
  <c r="L12" i="4"/>
  <c r="K12" i="4"/>
  <c r="J12" i="4"/>
  <c r="I12" i="4"/>
  <c r="H12" i="4"/>
  <c r="E12" i="4"/>
  <c r="U11" i="4"/>
  <c r="T11" i="4"/>
  <c r="S11" i="4"/>
  <c r="R11" i="4"/>
  <c r="P11" i="4"/>
  <c r="O11" i="4"/>
  <c r="L11" i="4"/>
  <c r="K11" i="4"/>
  <c r="J11" i="4"/>
  <c r="I11" i="4"/>
  <c r="H11" i="4"/>
  <c r="E11" i="4"/>
  <c r="T10" i="4"/>
  <c r="S10" i="4"/>
  <c r="R10" i="4"/>
  <c r="P10" i="4"/>
  <c r="O10" i="4"/>
  <c r="L10" i="4"/>
  <c r="K10" i="4"/>
  <c r="J10" i="4"/>
  <c r="I10" i="4"/>
  <c r="H10" i="4"/>
  <c r="E10" i="4"/>
  <c r="U9" i="4"/>
  <c r="T9" i="4"/>
  <c r="S9" i="4"/>
  <c r="R9" i="4"/>
  <c r="P9" i="4"/>
  <c r="O9" i="4"/>
  <c r="L9" i="4"/>
  <c r="K9" i="4"/>
  <c r="J9" i="4"/>
  <c r="I9" i="4"/>
  <c r="H9" i="4"/>
  <c r="E9" i="4"/>
  <c r="U8" i="4"/>
  <c r="T8" i="4"/>
  <c r="S8" i="4"/>
  <c r="R8" i="4"/>
  <c r="P8" i="4"/>
  <c r="O8" i="4"/>
  <c r="L8" i="4"/>
  <c r="K8" i="4"/>
  <c r="J8" i="4"/>
  <c r="I8" i="4"/>
  <c r="H8" i="4"/>
  <c r="E8" i="4"/>
  <c r="U7" i="4"/>
  <c r="T7" i="4"/>
  <c r="S7" i="4"/>
  <c r="R7" i="4"/>
  <c r="P7" i="4"/>
  <c r="O7" i="4"/>
  <c r="L7" i="4"/>
  <c r="K7" i="4"/>
  <c r="J7" i="4"/>
  <c r="I7" i="4"/>
  <c r="H7" i="4"/>
  <c r="E7" i="4"/>
  <c r="U6" i="4"/>
  <c r="T6" i="4"/>
  <c r="S6" i="4"/>
  <c r="R6" i="4"/>
  <c r="P6" i="4"/>
  <c r="O6" i="4"/>
  <c r="L6" i="4"/>
  <c r="K6" i="4"/>
  <c r="J6" i="4"/>
  <c r="I6" i="4"/>
  <c r="H6" i="4"/>
  <c r="E6" i="4"/>
  <c r="U5" i="4"/>
  <c r="T5" i="4"/>
  <c r="S5" i="4"/>
  <c r="R5" i="4"/>
  <c r="P5" i="4"/>
  <c r="O5" i="4"/>
  <c r="L5" i="4"/>
  <c r="K5" i="4"/>
  <c r="J5" i="4"/>
  <c r="I5" i="4"/>
  <c r="H5" i="4"/>
  <c r="E5" i="4"/>
  <c r="U4" i="4"/>
  <c r="T4" i="4"/>
  <c r="S4" i="4"/>
  <c r="R4" i="4"/>
  <c r="P4" i="4"/>
  <c r="O4" i="4"/>
  <c r="L4" i="4"/>
  <c r="K4" i="4"/>
  <c r="J4" i="4"/>
  <c r="I4" i="4"/>
  <c r="H4" i="4"/>
  <c r="E4" i="4"/>
  <c r="U3" i="4"/>
  <c r="T3" i="4"/>
  <c r="S3" i="4"/>
  <c r="R3" i="4"/>
  <c r="P3" i="4"/>
  <c r="O3" i="4"/>
  <c r="L3" i="4"/>
  <c r="K3" i="4"/>
  <c r="J3" i="4"/>
  <c r="I3" i="4"/>
  <c r="H3" i="4"/>
  <c r="E3" i="4"/>
  <c r="E34" i="1"/>
  <c r="K33" i="1"/>
  <c r="J33" i="1"/>
  <c r="I33" i="1"/>
  <c r="H33" i="1"/>
  <c r="F33" i="1"/>
  <c r="E33" i="1"/>
  <c r="L32" i="1"/>
  <c r="K32" i="1"/>
  <c r="J32" i="1"/>
  <c r="I32" i="1"/>
  <c r="H32" i="1"/>
  <c r="L31" i="1"/>
  <c r="K31" i="1"/>
  <c r="J31" i="1"/>
  <c r="I31" i="1"/>
  <c r="H31" i="1"/>
  <c r="L30" i="1"/>
  <c r="K30" i="1"/>
  <c r="J30" i="1"/>
  <c r="I30" i="1"/>
  <c r="H30" i="1"/>
  <c r="L29" i="1"/>
  <c r="K29" i="1"/>
  <c r="J29" i="1"/>
  <c r="I29" i="1"/>
  <c r="H29" i="1"/>
  <c r="L28" i="1"/>
  <c r="K28" i="1"/>
  <c r="J28" i="1"/>
  <c r="I28" i="1"/>
  <c r="H28" i="1"/>
  <c r="L27" i="1"/>
  <c r="K27" i="1"/>
  <c r="J27" i="1"/>
  <c r="I27" i="1"/>
  <c r="H27" i="1"/>
  <c r="L26" i="1"/>
  <c r="K26" i="1"/>
  <c r="J26" i="1"/>
  <c r="I26" i="1"/>
  <c r="H26" i="1"/>
  <c r="L25" i="1"/>
  <c r="K25" i="1"/>
  <c r="J25" i="1"/>
  <c r="I25" i="1"/>
  <c r="H25" i="1"/>
  <c r="L24" i="1"/>
  <c r="K24" i="1"/>
  <c r="J24" i="1"/>
  <c r="I24" i="1"/>
  <c r="H24" i="1"/>
  <c r="L23" i="1"/>
  <c r="K23" i="1"/>
  <c r="J23" i="1"/>
  <c r="I23" i="1"/>
  <c r="H23" i="1"/>
  <c r="L22" i="1"/>
  <c r="K22" i="1"/>
  <c r="J22" i="1"/>
  <c r="I22" i="1"/>
  <c r="H22" i="1"/>
  <c r="L21" i="1"/>
  <c r="K21" i="1"/>
  <c r="J21" i="1"/>
  <c r="I21" i="1"/>
  <c r="H21" i="1"/>
  <c r="L20" i="1"/>
  <c r="K20" i="1"/>
  <c r="J20" i="1"/>
  <c r="I20" i="1"/>
  <c r="H20" i="1"/>
  <c r="L19" i="1"/>
  <c r="K19" i="1"/>
  <c r="J19" i="1"/>
  <c r="I19" i="1"/>
  <c r="H19" i="1"/>
  <c r="L18" i="1"/>
  <c r="K18" i="1"/>
  <c r="J18" i="1"/>
  <c r="I18" i="1"/>
  <c r="H18" i="1"/>
  <c r="L17" i="1"/>
  <c r="K17" i="1"/>
  <c r="J17" i="1"/>
  <c r="I17" i="1"/>
  <c r="H17" i="1"/>
  <c r="L16" i="1"/>
  <c r="K16" i="1"/>
  <c r="J16" i="1"/>
  <c r="I16" i="1"/>
  <c r="H16" i="1"/>
  <c r="L15" i="1"/>
  <c r="K15" i="1"/>
  <c r="J15" i="1"/>
  <c r="I15" i="1"/>
  <c r="H15" i="1"/>
  <c r="L14" i="1"/>
  <c r="K14" i="1"/>
  <c r="J14" i="1"/>
  <c r="I14" i="1"/>
  <c r="H14" i="1"/>
  <c r="L13" i="1"/>
  <c r="K13" i="1"/>
  <c r="J13" i="1"/>
  <c r="I13" i="1"/>
  <c r="H13" i="1"/>
  <c r="L12" i="1"/>
  <c r="K12" i="1"/>
  <c r="J12" i="1"/>
  <c r="I12" i="1"/>
  <c r="H12" i="1"/>
  <c r="L11" i="1"/>
  <c r="K11" i="1"/>
  <c r="J11" i="1"/>
  <c r="I11" i="1"/>
  <c r="H11" i="1"/>
  <c r="L10" i="1"/>
  <c r="K10" i="1"/>
  <c r="J10" i="1"/>
  <c r="I10" i="1"/>
  <c r="H10" i="1"/>
  <c r="L9" i="1"/>
  <c r="K9" i="1"/>
  <c r="J9" i="1"/>
  <c r="I9" i="1"/>
  <c r="H9" i="1"/>
  <c r="L8" i="1"/>
  <c r="K8" i="1"/>
  <c r="J8" i="1"/>
  <c r="I8" i="1"/>
  <c r="H8" i="1"/>
  <c r="L7" i="1"/>
  <c r="K7" i="1"/>
  <c r="J7" i="1"/>
  <c r="I7" i="1"/>
  <c r="H7" i="1"/>
  <c r="L6" i="1"/>
  <c r="K6" i="1"/>
  <c r="J6" i="1"/>
  <c r="I6" i="1"/>
  <c r="H6" i="1"/>
  <c r="L5" i="1"/>
  <c r="K5" i="1"/>
  <c r="J5" i="1"/>
  <c r="I5" i="1"/>
  <c r="H5" i="1"/>
  <c r="L4" i="1"/>
  <c r="K4" i="1"/>
  <c r="J4" i="1"/>
  <c r="I4" i="1"/>
  <c r="H4" i="1"/>
  <c r="L3" i="1"/>
  <c r="K3" i="1"/>
  <c r="J3" i="1"/>
  <c r="I3" i="1"/>
  <c r="H3" i="1"/>
  <c r="L2" i="1"/>
  <c r="K2" i="1"/>
  <c r="J2" i="1"/>
  <c r="I2" i="1"/>
  <c r="H2" i="1"/>
  <c r="Z9" i="15" l="1"/>
  <c r="Z8" i="15"/>
</calcChain>
</file>

<file path=xl/sharedStrings.xml><?xml version="1.0" encoding="utf-8"?>
<sst xmlns="http://schemas.openxmlformats.org/spreadsheetml/2006/main" count="4105" uniqueCount="573">
  <si>
    <t>B - F</t>
  </si>
  <si>
    <t>Transciever</t>
  </si>
  <si>
    <t>B - H</t>
  </si>
  <si>
    <t>B - HH</t>
  </si>
  <si>
    <t>B - L</t>
  </si>
  <si>
    <t>D - DO</t>
  </si>
  <si>
    <t>D - F</t>
  </si>
  <si>
    <t>D - H</t>
  </si>
  <si>
    <t>D - HH</t>
  </si>
  <si>
    <t>D - K</t>
  </si>
  <si>
    <t>D - L</t>
  </si>
  <si>
    <t>D - M</t>
  </si>
  <si>
    <t>DO - F</t>
  </si>
  <si>
    <t>DO - H</t>
  </si>
  <si>
    <t>F - H</t>
  </si>
  <si>
    <t>F - HH</t>
  </si>
  <si>
    <t>F - K</t>
  </si>
  <si>
    <t>F - L</t>
  </si>
  <si>
    <t>F - M</t>
  </si>
  <si>
    <t>F - N</t>
  </si>
  <si>
    <t>F - S</t>
  </si>
  <si>
    <t>F - U</t>
  </si>
  <si>
    <t>H - HH</t>
  </si>
  <si>
    <t>H - K</t>
  </si>
  <si>
    <t>H - L</t>
  </si>
  <si>
    <t>HH - L</t>
  </si>
  <si>
    <t>L - M</t>
  </si>
  <si>
    <t>L - N</t>
  </si>
  <si>
    <t>L - S</t>
  </si>
  <si>
    <t>L - U</t>
  </si>
  <si>
    <t>M - S</t>
  </si>
  <si>
    <t>N - S</t>
  </si>
  <si>
    <t>IP links</t>
  </si>
  <si>
    <t>Total Capacity (G)</t>
  </si>
  <si>
    <t>Reach (km)</t>
  </si>
  <si>
    <t>Optical path</t>
  </si>
  <si>
    <t xml:space="preserve">Absolute sum </t>
  </si>
  <si>
    <t>Total Traffic carried (G)</t>
  </si>
  <si>
    <t>`</t>
  </si>
  <si>
    <t>IP Topology</t>
  </si>
  <si>
    <t>Optical Topology</t>
  </si>
  <si>
    <t>Capacity per LP (G)</t>
  </si>
  <si>
    <t>Free capacity (G)</t>
  </si>
  <si>
    <t># of LP required</t>
  </si>
  <si>
    <t>B -- HH</t>
  </si>
  <si>
    <t>B -- L</t>
  </si>
  <si>
    <t>D -- DO</t>
  </si>
  <si>
    <t>D -- K -- F</t>
  </si>
  <si>
    <t>D -- DO -- H</t>
  </si>
  <si>
    <t>D -- K</t>
  </si>
  <si>
    <t>D -- K -- F -- L</t>
  </si>
  <si>
    <t>D -- K -- F -- M</t>
  </si>
  <si>
    <t>DO -- D -- K -- F</t>
  </si>
  <si>
    <t>DO -- H</t>
  </si>
  <si>
    <t>F -- H</t>
  </si>
  <si>
    <t>F -- H -- HH</t>
  </si>
  <si>
    <t>F -- K</t>
  </si>
  <si>
    <t>F -- L</t>
  </si>
  <si>
    <t>F -- M</t>
  </si>
  <si>
    <t>F -- N</t>
  </si>
  <si>
    <t>F -- S</t>
  </si>
  <si>
    <t>F -- S -- U</t>
  </si>
  <si>
    <t>H -- HH</t>
  </si>
  <si>
    <t>H -- DO -- D -- K</t>
  </si>
  <si>
    <t>H -- L</t>
  </si>
  <si>
    <t>HH -- B -- L</t>
  </si>
  <si>
    <t>L -- N -- M</t>
  </si>
  <si>
    <t>L -- N</t>
  </si>
  <si>
    <t>L -- N -- S</t>
  </si>
  <si>
    <t>L -- N -- M -- U</t>
  </si>
  <si>
    <t>M -- U -- S</t>
  </si>
  <si>
    <t>N -- S</t>
  </si>
  <si>
    <t>B -- L -- F</t>
  </si>
  <si>
    <t>B -- H</t>
  </si>
  <si>
    <t>D -- DO -- H -- HH</t>
  </si>
  <si>
    <t>8QAM</t>
  </si>
  <si>
    <t>16QAM</t>
  </si>
  <si>
    <t>32QAM</t>
  </si>
  <si>
    <t>64QAM</t>
  </si>
  <si>
    <t>Link Utilization(%)</t>
  </si>
  <si>
    <t>Network Utilization %</t>
  </si>
  <si>
    <t xml:space="preserve">MPLS Paths </t>
  </si>
  <si>
    <t>to</t>
  </si>
  <si>
    <t>Traffic2016 [Mbit/s]</t>
  </si>
  <si>
    <t>B</t>
  </si>
  <si>
    <t>D</t>
  </si>
  <si>
    <t>DO</t>
  </si>
  <si>
    <t>F</t>
  </si>
  <si>
    <t>H</t>
  </si>
  <si>
    <t>HH</t>
  </si>
  <si>
    <t>K</t>
  </si>
  <si>
    <t>L</t>
  </si>
  <si>
    <t>M</t>
  </si>
  <si>
    <t>N</t>
  </si>
  <si>
    <t>S</t>
  </si>
  <si>
    <t>ULM</t>
  </si>
  <si>
    <t>from</t>
  </si>
  <si>
    <t>Berlin</t>
  </si>
  <si>
    <t>1st Path</t>
  </si>
  <si>
    <t>B -&gt; F -&gt; D</t>
  </si>
  <si>
    <t>B -&gt; F -&gt; DO</t>
  </si>
  <si>
    <t>B -&gt; F</t>
  </si>
  <si>
    <t>B -&gt; H</t>
  </si>
  <si>
    <t>B -&gt; HH</t>
  </si>
  <si>
    <t>B -&gt; F -&gt; K</t>
  </si>
  <si>
    <t>B -&gt; L</t>
  </si>
  <si>
    <t>B -&gt; F -&gt; M</t>
  </si>
  <si>
    <t>B -&gt; F -&gt; N</t>
  </si>
  <si>
    <t>B -&gt; F -&gt; S</t>
  </si>
  <si>
    <t>B -&gt; F -&gt; U</t>
  </si>
  <si>
    <t>2nd Path</t>
  </si>
  <si>
    <t>B -&gt; H -&gt; D</t>
  </si>
  <si>
    <t>B - &gt; H -&gt; DO</t>
  </si>
  <si>
    <t>B -&gt; H -&gt; K</t>
  </si>
  <si>
    <t>B -&gt; L -&gt; M</t>
  </si>
  <si>
    <t>B -&gt; L -&gt; N</t>
  </si>
  <si>
    <t>B -&gt; L -&gt; S</t>
  </si>
  <si>
    <t>B -&gt; L -&gt; U</t>
  </si>
  <si>
    <t>3rd Path</t>
  </si>
  <si>
    <t>B -&gt; HH -&gt; D</t>
  </si>
  <si>
    <t>4th Path</t>
  </si>
  <si>
    <t>B -&gt; L -&gt; D</t>
  </si>
  <si>
    <t>Düsseldorf</t>
  </si>
  <si>
    <t>D -&gt; F -&gt; B</t>
  </si>
  <si>
    <t>D -&gt; DO</t>
  </si>
  <si>
    <t>D -&gt; F</t>
  </si>
  <si>
    <t>D -&gt; H</t>
  </si>
  <si>
    <t>D -&gt; HH</t>
  </si>
  <si>
    <t>D -&gt; K</t>
  </si>
  <si>
    <t>D -&gt; L</t>
  </si>
  <si>
    <t>D -&gt; M</t>
  </si>
  <si>
    <t>D -&gt; F -&gt; N</t>
  </si>
  <si>
    <t>D -&gt; F -&gt; S</t>
  </si>
  <si>
    <t>D -&gt; F -&gt; U</t>
  </si>
  <si>
    <t>D -&gt; H -&gt; B</t>
  </si>
  <si>
    <t>D -&gt; L -&gt; N</t>
  </si>
  <si>
    <t>D -&gt; L -&gt; S</t>
  </si>
  <si>
    <t>D -&gt; L -&gt; U</t>
  </si>
  <si>
    <t>D -&gt; HH -&gt; B</t>
  </si>
  <si>
    <t>D -&gt; M -&gt; S</t>
  </si>
  <si>
    <t>D -&gt; L -&gt; B</t>
  </si>
  <si>
    <t>Dortmund</t>
  </si>
  <si>
    <t>DO -&gt; F -&gt; B</t>
  </si>
  <si>
    <t>DO -&gt; D</t>
  </si>
  <si>
    <t>DO -&gt; F</t>
  </si>
  <si>
    <t>DO -&gt; H</t>
  </si>
  <si>
    <t>DO -&gt; D -&gt; HH</t>
  </si>
  <si>
    <t xml:space="preserve">DO -&gt; D -&gt; K </t>
  </si>
  <si>
    <t>DO -&gt; D -&gt; L</t>
  </si>
  <si>
    <t>DO -&gt; D -&gt; M</t>
  </si>
  <si>
    <t>DO -&gt; F -&gt; N</t>
  </si>
  <si>
    <t>DO -&gt; F -&gt; S</t>
  </si>
  <si>
    <t>DO -&gt; F -&gt; U</t>
  </si>
  <si>
    <t>DO -&gt; H -&gt; B</t>
  </si>
  <si>
    <t>DO -&gt; F -&gt; HH</t>
  </si>
  <si>
    <t>DO -&gt; F -&gt; K</t>
  </si>
  <si>
    <t>DO -&gt; F -&gt; L</t>
  </si>
  <si>
    <t>DO -&gt; F -&gt; M</t>
  </si>
  <si>
    <t>DO -&gt; H -&gt; HH</t>
  </si>
  <si>
    <t>DO -&gt; H -&gt; K</t>
  </si>
  <si>
    <t>DO -&gt; H -&gt; L</t>
  </si>
  <si>
    <t>Frankfurt</t>
  </si>
  <si>
    <t>F -&gt; B</t>
  </si>
  <si>
    <t>F -&gt; D</t>
  </si>
  <si>
    <t>F -&gt; DO</t>
  </si>
  <si>
    <t>F -&gt; H</t>
  </si>
  <si>
    <t>F -&gt; HH</t>
  </si>
  <si>
    <t>F -&gt; K</t>
  </si>
  <si>
    <t>F -&gt; L</t>
  </si>
  <si>
    <t>F -&gt; M</t>
  </si>
  <si>
    <t>F -&gt; N</t>
  </si>
  <si>
    <t>F -&gt; S</t>
  </si>
  <si>
    <t>F -&gt; U</t>
  </si>
  <si>
    <t>Hannover</t>
  </si>
  <si>
    <t>H -&gt; B</t>
  </si>
  <si>
    <t>H -&gt; D</t>
  </si>
  <si>
    <t>H -&gt; DO</t>
  </si>
  <si>
    <t>H -&gt; F</t>
  </si>
  <si>
    <t>H -&gt; HH</t>
  </si>
  <si>
    <t>H -&gt; K</t>
  </si>
  <si>
    <t>H -&gt; L</t>
  </si>
  <si>
    <t xml:space="preserve">H -&gt; D -&gt; M </t>
  </si>
  <si>
    <t>H -&gt; F -&gt; N</t>
  </si>
  <si>
    <t>H -&gt; F -&gt; S</t>
  </si>
  <si>
    <t>H -&gt; F -&gt; U</t>
  </si>
  <si>
    <t>H -&gt; F -&gt; M</t>
  </si>
  <si>
    <t>H -&gt; L -&gt; N</t>
  </si>
  <si>
    <t>H -&gt; L -&gt; S</t>
  </si>
  <si>
    <t>H -&gt; L -&gt; U</t>
  </si>
  <si>
    <t>H -&gt; L -&gt; M</t>
  </si>
  <si>
    <t>Hamburg</t>
  </si>
  <si>
    <t>HH -&gt; B</t>
  </si>
  <si>
    <t>HH -&gt; D</t>
  </si>
  <si>
    <t>HH -&gt; D -&gt; DO</t>
  </si>
  <si>
    <t>HH -&gt; F</t>
  </si>
  <si>
    <t>HH -&gt; H</t>
  </si>
  <si>
    <t>HH -&gt; D -&gt; K</t>
  </si>
  <si>
    <t>HH -&gt; L</t>
  </si>
  <si>
    <t>HH -&gt; D -&gt; M</t>
  </si>
  <si>
    <t>HH -&gt; F -&gt; N</t>
  </si>
  <si>
    <t>HH -&gt; F -&gt; S</t>
  </si>
  <si>
    <t>HH -&gt; F -&gt; U</t>
  </si>
  <si>
    <t>HH -&gt; F -&gt; DO</t>
  </si>
  <si>
    <t>HH -&gt; F -&gt; K</t>
  </si>
  <si>
    <t>HH -&gt; F -&gt; M</t>
  </si>
  <si>
    <t>HH -&gt; L -&gt; N</t>
  </si>
  <si>
    <t>HH -&gt; L -&gt; S</t>
  </si>
  <si>
    <t>HH -&gt; L -&gt; U</t>
  </si>
  <si>
    <t>HH -&gt; H -&gt; DO</t>
  </si>
  <si>
    <t>HH -&gt; H -&gt; K</t>
  </si>
  <si>
    <t>HH -&gt; L -&gt; M</t>
  </si>
  <si>
    <t>Köln</t>
  </si>
  <si>
    <t>K -&gt; F -&gt; B</t>
  </si>
  <si>
    <t>K -&gt; D</t>
  </si>
  <si>
    <t>K -&gt; D -&gt; DO</t>
  </si>
  <si>
    <t>K -&gt; F</t>
  </si>
  <si>
    <t>K -&gt; H</t>
  </si>
  <si>
    <t>K -&gt; D -&gt; HH</t>
  </si>
  <si>
    <t>K -&gt; D -&gt; L</t>
  </si>
  <si>
    <t>K -&gt; D -&gt; M</t>
  </si>
  <si>
    <t>K -&gt; F -&gt; N</t>
  </si>
  <si>
    <t>K -&gt; F -&gt; S</t>
  </si>
  <si>
    <t>K -&gt; F -&gt; U</t>
  </si>
  <si>
    <t>K -&gt; H -&gt; B</t>
  </si>
  <si>
    <t>K -&gt; F -&gt; DO</t>
  </si>
  <si>
    <t>K -&gt; F -&gt; HH</t>
  </si>
  <si>
    <t>K -&gt; F -&gt; L</t>
  </si>
  <si>
    <t>K -&gt; F -&gt; M</t>
  </si>
  <si>
    <t>K -&gt; H -&gt; DO</t>
  </si>
  <si>
    <t>K -&gt; H -&gt; HH</t>
  </si>
  <si>
    <t>K -&gt; H -&gt; L</t>
  </si>
  <si>
    <t>Leipzig</t>
  </si>
  <si>
    <t>L -&gt; B</t>
  </si>
  <si>
    <t>L -&gt; D</t>
  </si>
  <si>
    <t>L -&gt; D -&gt; DO</t>
  </si>
  <si>
    <t>L -&gt; F</t>
  </si>
  <si>
    <t>L -&gt; H</t>
  </si>
  <si>
    <t>L -&gt; HH</t>
  </si>
  <si>
    <t>L -&gt; D -&gt; K</t>
  </si>
  <si>
    <t>L -&gt; M</t>
  </si>
  <si>
    <t>L -&gt; N</t>
  </si>
  <si>
    <t>L -&gt; S</t>
  </si>
  <si>
    <t>L -&gt; U</t>
  </si>
  <si>
    <t>L -&gt; F -&gt; DO</t>
  </si>
  <si>
    <t xml:space="preserve">L -&gt; F -&gt; K </t>
  </si>
  <si>
    <t>L -&gt; H -&gt; DO</t>
  </si>
  <si>
    <t>L -&gt; H -&gt; K</t>
  </si>
  <si>
    <t>München</t>
  </si>
  <si>
    <t>M -&gt; F -&gt; B</t>
  </si>
  <si>
    <t>M -&gt; D</t>
  </si>
  <si>
    <t>M -&gt; D -&gt; DO</t>
  </si>
  <si>
    <t>M -&gt; F</t>
  </si>
  <si>
    <t>M -&gt; D -&gt; H</t>
  </si>
  <si>
    <t>M -&gt; D -&gt; HH</t>
  </si>
  <si>
    <t>M -&gt; D -&gt; K</t>
  </si>
  <si>
    <t>M -&gt; L</t>
  </si>
  <si>
    <t>M -&gt; F -&gt; N</t>
  </si>
  <si>
    <t>M -&gt; S</t>
  </si>
  <si>
    <t>M -&gt; F -&gt; U</t>
  </si>
  <si>
    <t>M -&gt; L -&gt; B</t>
  </si>
  <si>
    <t>M -&gt; F -&gt; DO</t>
  </si>
  <si>
    <t>M -&gt; F -&gt; H</t>
  </si>
  <si>
    <t>M -&gt; F -&gt; HH</t>
  </si>
  <si>
    <t>M -&gt; F -&gt; K</t>
  </si>
  <si>
    <t>M -&gt; L -&gt; N</t>
  </si>
  <si>
    <t>M -&gt; L -&gt; U</t>
  </si>
  <si>
    <t>M -&gt; L -&gt; H</t>
  </si>
  <si>
    <t>M -&gt; L -&gt; HH</t>
  </si>
  <si>
    <t>M -&gt; S -&gt; N</t>
  </si>
  <si>
    <t>Nürnberg</t>
  </si>
  <si>
    <t>N -&gt; F -&gt; B</t>
  </si>
  <si>
    <t>N -&gt; F -&gt; D</t>
  </si>
  <si>
    <t>N -&gt; F -&gt; DO</t>
  </si>
  <si>
    <t>N -&gt; F</t>
  </si>
  <si>
    <t>N -&gt; F -&gt; H</t>
  </si>
  <si>
    <t>N -&gt; F -&gt; HH</t>
  </si>
  <si>
    <t>N -&gt; F -&gt; K</t>
  </si>
  <si>
    <t>N -&gt; L</t>
  </si>
  <si>
    <t>N -&gt; F -&gt; M</t>
  </si>
  <si>
    <t>N -&gt; S</t>
  </si>
  <si>
    <t>N -&gt; F -&gt; U</t>
  </si>
  <si>
    <t>N -&gt; L -&gt; B</t>
  </si>
  <si>
    <t>N -&gt; L -&gt; D</t>
  </si>
  <si>
    <t>N -&gt; L -&gt; H</t>
  </si>
  <si>
    <t>N -&gt; L -&gt; HH</t>
  </si>
  <si>
    <t>N -&gt; L -&gt; M</t>
  </si>
  <si>
    <t>N -&gt; L -&gt; U</t>
  </si>
  <si>
    <t>N -&gt; S -&gt; M</t>
  </si>
  <si>
    <t>Stuttgart</t>
  </si>
  <si>
    <t>S -&gt; F -&gt; B</t>
  </si>
  <si>
    <t>S -&gt; F -&gt; D</t>
  </si>
  <si>
    <t>S -&gt; F -&gt; DO</t>
  </si>
  <si>
    <t>S -&gt; F</t>
  </si>
  <si>
    <t>S -&gt; F -&gt; H</t>
  </si>
  <si>
    <t>S -&gt; F -&gt; HH</t>
  </si>
  <si>
    <t>S -&gt; F -&gt; K</t>
  </si>
  <si>
    <t>S -&gt; L</t>
  </si>
  <si>
    <t>S -&gt; M</t>
  </si>
  <si>
    <t>S -&gt; N</t>
  </si>
  <si>
    <t>S -&gt; F -&gt;  U</t>
  </si>
  <si>
    <t>S -&gt; L -&gt; B</t>
  </si>
  <si>
    <t>S -&gt; L -&gt; D</t>
  </si>
  <si>
    <t>S -&gt; L -&gt; H</t>
  </si>
  <si>
    <t>S -&gt; L -&gt; HH</t>
  </si>
  <si>
    <t>S -&gt; L -&gt; U</t>
  </si>
  <si>
    <t>S -&gt; M -&gt; D</t>
  </si>
  <si>
    <t>Ulm</t>
  </si>
  <si>
    <t>U -&gt; F -&gt; B</t>
  </si>
  <si>
    <t>U -&gt; F -&gt; D</t>
  </si>
  <si>
    <t>U -&gt; F -&gt; DO</t>
  </si>
  <si>
    <t>U -&gt; F</t>
  </si>
  <si>
    <t>U -&gt; F -&gt; H</t>
  </si>
  <si>
    <t>U -&gt; F -&gt; HH</t>
  </si>
  <si>
    <t>U -&gt; F -&gt; K</t>
  </si>
  <si>
    <t>U -&gt; L</t>
  </si>
  <si>
    <t>U -&gt; F -&gt; M</t>
  </si>
  <si>
    <t>U -&gt; F -&gt; N</t>
  </si>
  <si>
    <t>U -&gt; F -&gt; S</t>
  </si>
  <si>
    <t>U -&gt; L -&gt; B</t>
  </si>
  <si>
    <t>U -&gt; L -&gt; D</t>
  </si>
  <si>
    <t>U -&gt; L -&gt; H</t>
  </si>
  <si>
    <t>U -&gt; L -&gt; HH</t>
  </si>
  <si>
    <t>U -&gt; L -&gt; M</t>
  </si>
  <si>
    <t>U -&gt; L -&gt; N</t>
  </si>
  <si>
    <t>U -&gt; L -&gt; S</t>
  </si>
  <si>
    <t xml:space="preserve">M -- N -- S </t>
  </si>
  <si>
    <t xml:space="preserve">M -- U -- S </t>
  </si>
  <si>
    <t xml:space="preserve">F - L </t>
  </si>
  <si>
    <t xml:space="preserve">F -- M -- U </t>
  </si>
  <si>
    <t xml:space="preserve">F - U </t>
  </si>
  <si>
    <t xml:space="preserve">S -- U </t>
  </si>
  <si>
    <t>N -- F -- S</t>
  </si>
  <si>
    <t xml:space="preserve">N -- S </t>
  </si>
  <si>
    <t xml:space="preserve"> N - S</t>
  </si>
  <si>
    <t xml:space="preserve">L -- F -- S </t>
  </si>
  <si>
    <t xml:space="preserve">L -- N -- S </t>
  </si>
  <si>
    <t xml:space="preserve">S -- N </t>
  </si>
  <si>
    <t xml:space="preserve">L -- N -- S -- U </t>
  </si>
  <si>
    <t xml:space="preserve">L -- N -- M -- U </t>
  </si>
  <si>
    <t xml:space="preserve"> L - U </t>
  </si>
  <si>
    <t xml:space="preserve">U -- M </t>
  </si>
  <si>
    <t xml:space="preserve">L -- N -- S -- U -- M </t>
  </si>
  <si>
    <t xml:space="preserve">L -- N -- M </t>
  </si>
  <si>
    <t xml:space="preserve">L - M </t>
  </si>
  <si>
    <t xml:space="preserve">N -- M </t>
  </si>
  <si>
    <t xml:space="preserve">L -- F -- S -- U </t>
  </si>
  <si>
    <t>L -- F -- S</t>
  </si>
  <si>
    <t xml:space="preserve"> L - S</t>
  </si>
  <si>
    <t xml:space="preserve">L -- F -- N </t>
  </si>
  <si>
    <t xml:space="preserve">L -- N </t>
  </si>
  <si>
    <t xml:space="preserve"> L - N </t>
  </si>
  <si>
    <t>None</t>
  </si>
  <si>
    <t xml:space="preserve">L -- F -- M </t>
  </si>
  <si>
    <t xml:space="preserve"> L - M </t>
  </si>
  <si>
    <t xml:space="preserve">H -- B -- L </t>
  </si>
  <si>
    <t xml:space="preserve">H -- L </t>
  </si>
  <si>
    <t xml:space="preserve"> H - L </t>
  </si>
  <si>
    <t>H -- B -- HH</t>
  </si>
  <si>
    <t xml:space="preserve"> H - HH</t>
  </si>
  <si>
    <t>F -- K -- D -- HH</t>
  </si>
  <si>
    <t xml:space="preserve"> F - HH</t>
  </si>
  <si>
    <t xml:space="preserve">D -- HH </t>
  </si>
  <si>
    <t xml:space="preserve"> D - HH</t>
  </si>
  <si>
    <t xml:space="preserve">H -- HH </t>
  </si>
  <si>
    <t xml:space="preserve"> F - U</t>
  </si>
  <si>
    <t>%</t>
  </si>
  <si>
    <t xml:space="preserve">F -- N -- S </t>
  </si>
  <si>
    <t xml:space="preserve">F -- S </t>
  </si>
  <si>
    <t xml:space="preserve"> F - S</t>
  </si>
  <si>
    <t xml:space="preserve">Total </t>
  </si>
  <si>
    <t xml:space="preserve">F - N </t>
  </si>
  <si>
    <t xml:space="preserve">F -- S -- N </t>
  </si>
  <si>
    <t xml:space="preserve">F -- N </t>
  </si>
  <si>
    <t xml:space="preserve"> F - N </t>
  </si>
  <si>
    <t xml:space="preserve">F -- N -- M </t>
  </si>
  <si>
    <t xml:space="preserve">F -- M </t>
  </si>
  <si>
    <t xml:space="preserve"> F - M </t>
  </si>
  <si>
    <t xml:space="preserve">D -- K -- F -- N -- M </t>
  </si>
  <si>
    <t xml:space="preserve">D -- K -- F -- M </t>
  </si>
  <si>
    <t xml:space="preserve"> D - M </t>
  </si>
  <si>
    <t xml:space="preserve">F -- N -- L </t>
  </si>
  <si>
    <t xml:space="preserve">F -- L </t>
  </si>
  <si>
    <t xml:space="preserve"> F - L </t>
  </si>
  <si>
    <t xml:space="preserve">F - H </t>
  </si>
  <si>
    <t xml:space="preserve">D -- DO -- H -- L </t>
  </si>
  <si>
    <t xml:space="preserve">D --- K -- F -- L </t>
  </si>
  <si>
    <t xml:space="preserve"> D - L </t>
  </si>
  <si>
    <t>Extra Capacity Needed %</t>
  </si>
  <si>
    <t>Extra Capacity Needed(G)</t>
  </si>
  <si>
    <t>IP Links</t>
  </si>
  <si>
    <t xml:space="preserve">B -- H -- F </t>
  </si>
  <si>
    <t>B --  L --  F</t>
  </si>
  <si>
    <t xml:space="preserve">B - F </t>
  </si>
  <si>
    <t xml:space="preserve">F -- H -- DO -- D -- K </t>
  </si>
  <si>
    <t xml:space="preserve">F - K </t>
  </si>
  <si>
    <t xml:space="preserve">H - K </t>
  </si>
  <si>
    <t>DO -- H -- F</t>
  </si>
  <si>
    <t xml:space="preserve"> DO - F </t>
  </si>
  <si>
    <t xml:space="preserve">D -- DO -- H -- F -- M </t>
  </si>
  <si>
    <t xml:space="preserve"> D - M</t>
  </si>
  <si>
    <t xml:space="preserve">D - L </t>
  </si>
  <si>
    <t>D -- DO -- H -- F</t>
  </si>
  <si>
    <t>K -- F</t>
  </si>
  <si>
    <t>F -- K -- D -- DO -- H -- HH</t>
  </si>
  <si>
    <t xml:space="preserve">F -- K -- D -- DO -- H </t>
  </si>
  <si>
    <t xml:space="preserve">F -- H </t>
  </si>
  <si>
    <t xml:space="preserve">H -- F </t>
  </si>
  <si>
    <t xml:space="preserve">None </t>
  </si>
  <si>
    <t xml:space="preserve">DO -- K </t>
  </si>
  <si>
    <t xml:space="preserve">H -- F -- K </t>
  </si>
  <si>
    <t xml:space="preserve">H -- DO -- D -- K </t>
  </si>
  <si>
    <t xml:space="preserve">DO -- D -- K -- F -- H </t>
  </si>
  <si>
    <t xml:space="preserve">DO -- H </t>
  </si>
  <si>
    <t xml:space="preserve"> DO - H </t>
  </si>
  <si>
    <t xml:space="preserve">D - HH </t>
  </si>
  <si>
    <t>D -- K -- F -- H</t>
  </si>
  <si>
    <t>Total</t>
  </si>
  <si>
    <t xml:space="preserve">H -- DO -- K </t>
  </si>
  <si>
    <t xml:space="preserve"> H - K </t>
  </si>
  <si>
    <t>DO -- K -- F</t>
  </si>
  <si>
    <t xml:space="preserve">D --DO -- K -- F -- M </t>
  </si>
  <si>
    <t>D --DO -- K</t>
  </si>
  <si>
    <t xml:space="preserve">D -- K </t>
  </si>
  <si>
    <t>D -- DO -- K -- F</t>
  </si>
  <si>
    <t xml:space="preserve"> D - F</t>
  </si>
  <si>
    <t>D -- HH</t>
  </si>
  <si>
    <t>D -- K -- DO -- H</t>
  </si>
  <si>
    <t>D -- K -- DO</t>
  </si>
  <si>
    <t>HH -- H -- L</t>
  </si>
  <si>
    <t>B -- H -- L</t>
  </si>
  <si>
    <t>B -- H -- F</t>
  </si>
  <si>
    <t xml:space="preserve"> B - F</t>
  </si>
  <si>
    <t xml:space="preserve">B -- L </t>
  </si>
  <si>
    <t>B -- H -- HH</t>
  </si>
  <si>
    <t>B -- HH -- H</t>
  </si>
  <si>
    <t xml:space="preserve">B -- H </t>
  </si>
  <si>
    <t xml:space="preserve"> B - H</t>
  </si>
  <si>
    <t>B  -- H</t>
  </si>
  <si>
    <t>Extra Capacity Required (G)</t>
  </si>
  <si>
    <t>Links Requiring Extra Capacity</t>
  </si>
  <si>
    <t>alpha</t>
  </si>
  <si>
    <t>Extra capacity required (G)</t>
  </si>
  <si>
    <t>Links requiring Extra capacity</t>
  </si>
  <si>
    <t>Free Capacity (G)</t>
  </si>
  <si>
    <t xml:space="preserve">Traffic carried (G) </t>
  </si>
  <si>
    <t xml:space="preserve">Optical Path taken by IP link </t>
  </si>
  <si>
    <t>Traffic carried (G)</t>
  </si>
  <si>
    <t>Optical Path taken by IP link</t>
  </si>
  <si>
    <t>IP links carried</t>
  </si>
  <si>
    <t>Optical Fibre</t>
  </si>
  <si>
    <t>Faiure Mode</t>
  </si>
  <si>
    <t xml:space="preserve">Normal Mode </t>
  </si>
  <si>
    <t>F - L, F - N, L - S</t>
  </si>
  <si>
    <t>Conclusion</t>
  </si>
  <si>
    <t>Amount of Extra Capacity Required (G)</t>
  </si>
  <si>
    <t>Reroute required?</t>
  </si>
  <si>
    <t>Link Utilization (%)</t>
  </si>
  <si>
    <t>Scale</t>
  </si>
  <si>
    <t>Traffic Carried After Scale (G)</t>
  </si>
  <si>
    <t>Traffic After Scale (G)</t>
  </si>
  <si>
    <t>D -H</t>
  </si>
  <si>
    <t xml:space="preserve">F -H </t>
  </si>
  <si>
    <t>Yes</t>
  </si>
  <si>
    <t xml:space="preserve">D - H </t>
  </si>
  <si>
    <t>Capacity per LP accor to reach (G)</t>
  </si>
  <si>
    <t># of LP's required</t>
  </si>
  <si>
    <t>D-H</t>
  </si>
  <si>
    <t>F-H</t>
  </si>
  <si>
    <t>F - L, L - N, N - S</t>
  </si>
  <si>
    <t>100.15, 16.19, 97.22</t>
  </si>
  <si>
    <t>M - S, N - S</t>
  </si>
  <si>
    <t>84.21, 6.53</t>
  </si>
  <si>
    <t>LP Capacity accor Reach (G)</t>
  </si>
  <si>
    <t>175, 142.13, 80.77</t>
  </si>
  <si>
    <t>121.53, 37.57, 118.61</t>
  </si>
  <si>
    <t>105.59, 27.91</t>
  </si>
  <si>
    <t xml:space="preserve">Links Requiring Extra Cap </t>
  </si>
  <si>
    <t>Extra Cap (G)</t>
  </si>
  <si>
    <t>Extra # of transonders required</t>
  </si>
  <si>
    <t>alpha 0.6 chosen</t>
  </si>
  <si>
    <t>Extra Capacity installed directly on Failed Link (Gbps)</t>
  </si>
  <si>
    <t>IGNORED</t>
  </si>
  <si>
    <t>U</t>
  </si>
  <si>
    <t>F-K</t>
  </si>
  <si>
    <t>Node</t>
  </si>
  <si>
    <t>100G</t>
  </si>
  <si>
    <t>150G</t>
  </si>
  <si>
    <t>200G</t>
  </si>
  <si>
    <t>250G</t>
  </si>
  <si>
    <t>400G</t>
  </si>
  <si>
    <t>Transponder Type</t>
  </si>
  <si>
    <t>Bit Rate (Gbps)</t>
  </si>
  <si>
    <t>Cost (cu)</t>
  </si>
  <si>
    <t># of Trans.</t>
  </si>
  <si>
    <t>1.22 (ignored)</t>
  </si>
  <si>
    <t>133.68, 101.41(taken as 100), 40.05</t>
  </si>
  <si>
    <t>Selective 0&lt;alpha&lt;1 (reroutes (1-alpha)% on failed link of multi-path demands)</t>
  </si>
  <si>
    <t xml:space="preserve">Selective 0&lt;alpha&lt;1 </t>
  </si>
  <si>
    <t>Selective 0&lt;alpha&lt;1</t>
  </si>
  <si>
    <t>F -  H</t>
  </si>
  <si>
    <t>F - L , N-S , L - N</t>
  </si>
  <si>
    <t>176, 90, 206</t>
  </si>
  <si>
    <t>F - L, F - N, L -S</t>
  </si>
  <si>
    <t>270, 36, 160</t>
  </si>
  <si>
    <t>L - U, M-S, N-S</t>
  </si>
  <si>
    <t>60, 120, 30</t>
  </si>
  <si>
    <t>Approaches</t>
  </si>
  <si>
    <t>NoRerouting</t>
  </si>
  <si>
    <t>ES-EP</t>
  </si>
  <si>
    <t>US-EP</t>
  </si>
  <si>
    <t>US-UP</t>
  </si>
  <si>
    <t>US</t>
  </si>
  <si>
    <t>Shut-off lambda</t>
  </si>
  <si>
    <t>Multiple-path Reroute</t>
  </si>
  <si>
    <t>BDF</t>
  </si>
  <si>
    <t>SDF</t>
  </si>
  <si>
    <t>Single-hop Reroute</t>
  </si>
  <si>
    <t>C_failure (Gbps)</t>
  </si>
  <si>
    <t>CAPEX (SCU)</t>
  </si>
  <si>
    <t>Shut-off lambda (reroutes everything from failed link)</t>
  </si>
  <si>
    <t>Multiple-path Reroute (reroutes every multiple-path demands on failed link</t>
  </si>
  <si>
    <t>Working capacity of IP link e [Gbit/s]:</t>
  </si>
  <si>
    <t>Nominal capacity of IP link e in failure free mode [Gbit/s]:</t>
  </si>
  <si>
    <t>Spare capacity of IP link e [Gbit/s]:</t>
  </si>
  <si>
    <t>Flow Thinning with Modular Capacities</t>
  </si>
  <si>
    <t>300G</t>
  </si>
  <si>
    <t>Bit Rate (gbps)</t>
  </si>
  <si>
    <t>Affine Flow Thinning</t>
  </si>
  <si>
    <t>Flow Thinning</t>
  </si>
  <si>
    <t>Affine Flow Thinning with modular capacities</t>
  </si>
  <si>
    <t>Flow Thinning with modular capacities</t>
  </si>
  <si>
    <t>Working Capacity (Gbps)</t>
  </si>
  <si>
    <t>Spare Capacity (Gbps)</t>
  </si>
  <si>
    <t>Total Capacity (Gbps)</t>
  </si>
  <si>
    <t>ES-ES</t>
  </si>
  <si>
    <t>Shut-off lambda - Working Capacity</t>
  </si>
  <si>
    <t>Shut-off lambda - Total Capacity</t>
  </si>
  <si>
    <t xml:space="preserve">Flow Thinning </t>
  </si>
  <si>
    <t>Total:</t>
  </si>
  <si>
    <t>Flow Thinning with Modular Capacities - Total Capacity</t>
  </si>
  <si>
    <t xml:space="preserve">Affine Flow Thinning </t>
  </si>
  <si>
    <t>Affine Flow Thinning with modular capacities - Total Capacity</t>
  </si>
  <si>
    <t>Shut-off lambda - Spare Capacity</t>
  </si>
  <si>
    <t>Multiple-path Reroute - Spare Capacity</t>
  </si>
  <si>
    <t>Multiple-path Reroute - Working Capacity</t>
  </si>
  <si>
    <t>Multiple-path Reroute - Total Capacity</t>
  </si>
  <si>
    <t>Selective 0&lt;alpha&lt;1 - Spare Capacity</t>
  </si>
  <si>
    <t>Selective 0&lt;alpha&lt;1 - Working Capacity</t>
  </si>
  <si>
    <t>Selective 0&lt;alpha&lt;1 - Total Capacity</t>
  </si>
  <si>
    <t>BDF - Spare Capacity</t>
  </si>
  <si>
    <t>BDF - Working Capacity</t>
  </si>
  <si>
    <t>BDF - Total Capacity</t>
  </si>
  <si>
    <t>SDF - Spare Capacity</t>
  </si>
  <si>
    <t>Single-hop Reroute - Spare Capacity</t>
  </si>
  <si>
    <t>Single-hop Reroute - Working Capacity</t>
  </si>
  <si>
    <t>Single-hop Reroute - Total Capacity</t>
  </si>
  <si>
    <t>SDF - Working Capacity</t>
  </si>
  <si>
    <t>SDF - Total Capacity</t>
  </si>
  <si>
    <t>No Rerouting - Spare Capacity</t>
  </si>
  <si>
    <t>No Rerouting - Working Capacity</t>
  </si>
  <si>
    <t>No Rerouting - Total Capacity</t>
  </si>
  <si>
    <t>ES-EP - Spare Capacity</t>
  </si>
  <si>
    <t>ES-EP - Working Capacity</t>
  </si>
  <si>
    <t>ES-EP - Total Capacity</t>
  </si>
  <si>
    <t>US- EP - Spare Capacity - Path(Only shortest paths)</t>
  </si>
  <si>
    <t>US-EP - Working Capacity</t>
  </si>
  <si>
    <t>US-EP - Total Capacity</t>
  </si>
  <si>
    <t>US-UP - Working Capacity</t>
  </si>
  <si>
    <t>US-UP - Total Capacity</t>
  </si>
  <si>
    <t>US-UP (2-shortest) - Spare Capacity</t>
  </si>
  <si>
    <t>US - Spare Capacity</t>
  </si>
  <si>
    <t>US - Working Capacity</t>
  </si>
  <si>
    <t>US - Total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</si>
</sst>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-* #,##0.00\ _€_-;\-* #,##0.00\ _€_-;_-* &quot;-&quot;??\ _€_-;_-@_-"/>
  </numFmts>
  <fonts count="28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Lucida Console"/>
      <family val="3"/>
    </font>
    <font>
      <sz val="11"/>
      <color theme="1"/>
      <name val="Calibri"/>
      <family val="2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theme="1"/>
      <name val="Tele-GroteskNor"/>
    </font>
    <font>
      <sz val="10"/>
      <color rgb="FFFF0000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8"/>
      <name val="Arial"/>
      <family val="2"/>
    </font>
    <font>
      <sz val="10"/>
      <name val="Arial"/>
      <family val="2"/>
    </font>
    <font>
      <b/>
      <sz val="10"/>
      <color rgb="FFFF0000"/>
      <name val="Arial"/>
      <family val="2"/>
    </font>
    <font>
      <sz val="10"/>
      <color theme="9" tint="-0.249977111117893"/>
      <name val="Calibri"/>
      <family val="2"/>
      <scheme val="minor"/>
    </font>
    <font>
      <sz val="10"/>
      <color theme="9" tint="-0.499984740745262"/>
      <name val="Calibri"/>
      <family val="2"/>
      <scheme val="minor"/>
    </font>
    <font>
      <sz val="10"/>
      <name val="Calibri"/>
      <family val="2"/>
      <scheme val="minor"/>
    </font>
    <font>
      <b/>
      <sz val="10"/>
      <color rgb="FFC00000"/>
      <name val="Arial"/>
      <family val="2"/>
    </font>
    <font>
      <b/>
      <sz val="8"/>
      <name val="Arial"/>
      <family val="2"/>
    </font>
    <font>
      <b/>
      <sz val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1"/>
      <color rgb="FF9C65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</fonts>
  <fills count="17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theme="4" tint="0.59999389629810485"/>
        <bgColor indexed="65"/>
      </patternFill>
    </fill>
  </fills>
  <borders count="82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/>
      <right/>
      <top style="hair">
        <color indexed="64"/>
      </top>
      <bottom/>
      <diagonal/>
    </border>
    <border>
      <left/>
      <right style="medium">
        <color indexed="64"/>
      </right>
      <top style="hair">
        <color indexed="64"/>
      </top>
      <bottom/>
      <diagonal/>
    </border>
    <border>
      <left/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/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/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/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auto="1"/>
      </top>
      <bottom/>
      <diagonal/>
    </border>
    <border>
      <left/>
      <right style="thin">
        <color theme="4"/>
      </right>
      <top style="thin">
        <color theme="4"/>
      </top>
      <bottom/>
      <diagonal/>
    </border>
    <border>
      <left style="medium">
        <color indexed="64"/>
      </left>
      <right/>
      <top style="thin">
        <color theme="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auto="1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7">
    <xf numFmtId="0" fontId="0" fillId="0" borderId="0"/>
    <xf numFmtId="0" fontId="8" fillId="0" borderId="0"/>
    <xf numFmtId="43" fontId="19" fillId="0" borderId="0" applyFont="0" applyFill="0" applyBorder="0" applyAlignment="0" applyProtection="0"/>
    <xf numFmtId="0" fontId="20" fillId="13" borderId="0" applyNumberFormat="0" applyBorder="0" applyAlignment="0" applyProtection="0"/>
    <xf numFmtId="0" fontId="21" fillId="14" borderId="0" applyNumberFormat="0" applyBorder="0" applyAlignment="0" applyProtection="0"/>
    <xf numFmtId="0" fontId="22" fillId="15" borderId="0" applyNumberFormat="0" applyBorder="0" applyAlignment="0" applyProtection="0"/>
    <xf numFmtId="0" fontId="19" fillId="16" borderId="0" applyNumberFormat="0" applyBorder="0" applyAlignment="0" applyProtection="0"/>
  </cellStyleXfs>
  <cellXfs count="559">
    <xf numFmtId="0" fontId="0" fillId="0" borderId="0" xfId="0"/>
    <xf numFmtId="0" fontId="2" fillId="0" borderId="0" xfId="0" applyFont="1" applyAlignment="1">
      <alignment vertical="center"/>
    </xf>
    <xf numFmtId="0" fontId="3" fillId="0" borderId="0" xfId="0" applyFont="1" applyAlignment="1">
      <alignment horizontal="right" vertical="center" readingOrder="2"/>
    </xf>
    <xf numFmtId="0" fontId="1" fillId="0" borderId="0" xfId="0" applyFo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/>
    </xf>
    <xf numFmtId="0" fontId="6" fillId="0" borderId="2" xfId="0" applyFont="1" applyFill="1" applyBorder="1" applyAlignment="1">
      <alignment horizontal="center"/>
    </xf>
    <xf numFmtId="0" fontId="5" fillId="0" borderId="3" xfId="0" applyFont="1" applyFill="1" applyBorder="1" applyAlignment="1">
      <alignment horizontal="center"/>
    </xf>
    <xf numFmtId="0" fontId="5" fillId="0" borderId="4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5" fillId="0" borderId="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7" fillId="0" borderId="0" xfId="0" applyFont="1" applyFill="1" applyBorder="1" applyAlignment="1">
      <alignment horizontal="center"/>
    </xf>
    <xf numFmtId="0" fontId="5" fillId="0" borderId="7" xfId="0" applyFont="1" applyBorder="1"/>
    <xf numFmtId="0" fontId="5" fillId="0" borderId="0" xfId="0" applyFont="1" applyBorder="1" applyAlignment="1">
      <alignment horizontal="center"/>
    </xf>
    <xf numFmtId="0" fontId="5" fillId="0" borderId="8" xfId="0" applyFont="1" applyFill="1" applyBorder="1" applyAlignment="1">
      <alignment horizontal="center"/>
    </xf>
    <xf numFmtId="0" fontId="8" fillId="0" borderId="0" xfId="1"/>
    <xf numFmtId="0" fontId="9" fillId="0" borderId="0" xfId="1" applyFont="1"/>
    <xf numFmtId="0" fontId="11" fillId="0" borderId="0" xfId="1" applyFont="1"/>
    <xf numFmtId="0" fontId="11" fillId="0" borderId="0" xfId="1" applyFont="1" applyFill="1" applyBorder="1" applyAlignment="1">
      <alignment horizontal="center" wrapText="1"/>
    </xf>
    <xf numFmtId="0" fontId="15" fillId="0" borderId="0" xfId="1" applyFont="1" applyBorder="1" applyAlignment="1">
      <alignment horizontal="center" wrapText="1"/>
    </xf>
    <xf numFmtId="0" fontId="15" fillId="0" borderId="5" xfId="1" applyFont="1" applyBorder="1" applyAlignment="1">
      <alignment horizontal="center" wrapText="1"/>
    </xf>
    <xf numFmtId="0" fontId="11" fillId="0" borderId="0" xfId="1" applyFont="1" applyBorder="1" applyAlignment="1">
      <alignment horizontal="center" wrapText="1"/>
    </xf>
    <xf numFmtId="0" fontId="15" fillId="0" borderId="4" xfId="1" applyFont="1" applyBorder="1" applyAlignment="1">
      <alignment horizontal="center" wrapText="1"/>
    </xf>
    <xf numFmtId="0" fontId="11" fillId="0" borderId="5" xfId="1" applyFont="1" applyBorder="1" applyAlignment="1">
      <alignment horizontal="center" wrapText="1"/>
    </xf>
    <xf numFmtId="0" fontId="14" fillId="0" borderId="4" xfId="1" applyFont="1" applyBorder="1" applyAlignment="1">
      <alignment horizontal="center" wrapText="1"/>
    </xf>
    <xf numFmtId="0" fontId="11" fillId="0" borderId="4" xfId="1" applyFont="1" applyBorder="1" applyAlignment="1">
      <alignment horizontal="center" wrapText="1"/>
    </xf>
    <xf numFmtId="0" fontId="12" fillId="0" borderId="0" xfId="1" applyFont="1"/>
    <xf numFmtId="0" fontId="11" fillId="0" borderId="0" xfId="1" applyFont="1" applyBorder="1"/>
    <xf numFmtId="0" fontId="9" fillId="0" borderId="0" xfId="1" applyFont="1" applyBorder="1"/>
    <xf numFmtId="0" fontId="11" fillId="0" borderId="0" xfId="1" applyFont="1" applyBorder="1" applyAlignment="1">
      <alignment wrapText="1"/>
    </xf>
    <xf numFmtId="0" fontId="15" fillId="0" borderId="0" xfId="1" applyFont="1" applyFill="1" applyBorder="1" applyAlignment="1">
      <alignment horizontal="center" wrapText="1"/>
    </xf>
    <xf numFmtId="0" fontId="15" fillId="0" borderId="5" xfId="1" applyFont="1" applyFill="1" applyBorder="1" applyAlignment="1">
      <alignment horizontal="center" wrapText="1"/>
    </xf>
    <xf numFmtId="0" fontId="13" fillId="0" borderId="0" xfId="1" applyFont="1" applyFill="1" applyBorder="1" applyAlignment="1">
      <alignment horizontal="center" wrapText="1"/>
    </xf>
    <xf numFmtId="0" fontId="11" fillId="2" borderId="1" xfId="1" applyFont="1" applyFill="1" applyBorder="1" applyAlignment="1">
      <alignment horizontal="center" wrapText="1"/>
    </xf>
    <xf numFmtId="0" fontId="11" fillId="2" borderId="2" xfId="1" applyFont="1" applyFill="1" applyBorder="1" applyAlignment="1">
      <alignment horizontal="center" wrapText="1"/>
    </xf>
    <xf numFmtId="0" fontId="11" fillId="2" borderId="3" xfId="1" applyFont="1" applyFill="1" applyBorder="1" applyAlignment="1">
      <alignment horizontal="center" wrapText="1"/>
    </xf>
    <xf numFmtId="1" fontId="11" fillId="0" borderId="0" xfId="1" applyNumberFormat="1" applyFont="1" applyBorder="1"/>
    <xf numFmtId="0" fontId="11" fillId="0" borderId="4" xfId="1" applyFont="1" applyFill="1" applyBorder="1" applyAlignment="1">
      <alignment horizontal="center" wrapText="1"/>
    </xf>
    <xf numFmtId="0" fontId="11" fillId="0" borderId="5" xfId="1" applyFont="1" applyFill="1" applyBorder="1" applyAlignment="1">
      <alignment horizontal="center" wrapText="1"/>
    </xf>
    <xf numFmtId="0" fontId="11" fillId="2" borderId="4" xfId="1" applyFont="1" applyFill="1" applyBorder="1" applyAlignment="1">
      <alignment horizontal="center" wrapText="1"/>
    </xf>
    <xf numFmtId="0" fontId="11" fillId="2" borderId="0" xfId="1" applyFont="1" applyFill="1" applyBorder="1" applyAlignment="1">
      <alignment horizontal="center" wrapText="1"/>
    </xf>
    <xf numFmtId="0" fontId="11" fillId="2" borderId="5" xfId="1" applyFont="1" applyFill="1" applyBorder="1" applyAlignment="1">
      <alignment horizontal="center" wrapText="1"/>
    </xf>
    <xf numFmtId="0" fontId="11" fillId="0" borderId="6" xfId="1" applyFont="1" applyBorder="1" applyAlignment="1">
      <alignment horizontal="center" wrapText="1"/>
    </xf>
    <xf numFmtId="0" fontId="11" fillId="0" borderId="7" xfId="1" applyFont="1" applyBorder="1" applyAlignment="1">
      <alignment horizontal="center" wrapText="1"/>
    </xf>
    <xf numFmtId="0" fontId="11" fillId="0" borderId="8" xfId="1" applyFont="1" applyBorder="1" applyAlignment="1">
      <alignment horizontal="center" wrapText="1"/>
    </xf>
    <xf numFmtId="0" fontId="16" fillId="0" borderId="0" xfId="1" applyFont="1" applyAlignment="1"/>
    <xf numFmtId="0" fontId="9" fillId="0" borderId="0" xfId="1" applyFont="1" applyFill="1"/>
    <xf numFmtId="0" fontId="10" fillId="0" borderId="0" xfId="1" applyFont="1" applyFill="1" applyBorder="1" applyAlignment="1">
      <alignment horizontal="right"/>
    </xf>
    <xf numFmtId="0" fontId="17" fillId="0" borderId="0" xfId="1" applyFont="1" applyFill="1" applyBorder="1" applyAlignment="1">
      <alignment horizontal="right"/>
    </xf>
    <xf numFmtId="0" fontId="10" fillId="0" borderId="0" xfId="1" applyFont="1" applyFill="1" applyAlignment="1">
      <alignment horizontal="right"/>
    </xf>
    <xf numFmtId="0" fontId="10" fillId="0" borderId="0" xfId="1" applyFont="1" applyAlignment="1">
      <alignment horizontal="right"/>
    </xf>
    <xf numFmtId="0" fontId="5" fillId="0" borderId="0" xfId="0" applyFont="1" applyAlignment="1"/>
    <xf numFmtId="0" fontId="5" fillId="0" borderId="4" xfId="0" applyFont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0" fontId="5" fillId="0" borderId="4" xfId="0" applyFont="1" applyBorder="1" applyAlignment="1">
      <alignment horizontal="center" vertical="center"/>
    </xf>
    <xf numFmtId="0" fontId="5" fillId="0" borderId="9" xfId="0" applyFont="1" applyBorder="1" applyAlignment="1">
      <alignment horizontal="center"/>
    </xf>
    <xf numFmtId="0" fontId="5" fillId="0" borderId="9" xfId="0" applyFont="1" applyBorder="1" applyAlignment="1">
      <alignment horizontal="center" vertical="center"/>
    </xf>
    <xf numFmtId="0" fontId="5" fillId="0" borderId="0" xfId="0" applyFont="1" applyBorder="1" applyAlignment="1">
      <alignment horizontal="center" vertical="center"/>
    </xf>
    <xf numFmtId="0" fontId="5" fillId="0" borderId="0" xfId="0" applyFont="1" applyBorder="1" applyAlignment="1">
      <alignment vertical="center"/>
    </xf>
    <xf numFmtId="0" fontId="5" fillId="0" borderId="10" xfId="0" applyFont="1" applyFill="1" applyBorder="1" applyAlignment="1">
      <alignment horizontal="center"/>
    </xf>
    <xf numFmtId="0" fontId="5" fillId="0" borderId="11" xfId="0" applyFont="1" applyFill="1" applyBorder="1" applyAlignment="1">
      <alignment horizontal="center"/>
    </xf>
    <xf numFmtId="0" fontId="5" fillId="0" borderId="12" xfId="0" applyFont="1" applyFill="1" applyBorder="1" applyAlignment="1">
      <alignment horizontal="center" vertical="center"/>
    </xf>
    <xf numFmtId="0" fontId="5" fillId="4" borderId="14" xfId="0" applyFont="1" applyFill="1" applyBorder="1" applyAlignment="1">
      <alignment horizontal="center"/>
    </xf>
    <xf numFmtId="0" fontId="5" fillId="4" borderId="15" xfId="0" applyFont="1" applyFill="1" applyBorder="1" applyAlignment="1">
      <alignment horizontal="center"/>
    </xf>
    <xf numFmtId="0" fontId="5" fillId="4" borderId="16" xfId="0" applyFont="1" applyFill="1" applyBorder="1" applyAlignment="1">
      <alignment horizontal="center"/>
    </xf>
    <xf numFmtId="0" fontId="5" fillId="5" borderId="17" xfId="0" applyFont="1" applyFill="1" applyBorder="1" applyAlignment="1">
      <alignment horizontal="center"/>
    </xf>
    <xf numFmtId="0" fontId="5" fillId="5" borderId="16" xfId="0" applyFont="1" applyFill="1" applyBorder="1" applyAlignment="1">
      <alignment horizontal="center"/>
    </xf>
    <xf numFmtId="0" fontId="5" fillId="5" borderId="15" xfId="0" applyFont="1" applyFill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18" xfId="0" applyFont="1" applyFill="1" applyBorder="1" applyAlignment="1">
      <alignment horizontal="center"/>
    </xf>
    <xf numFmtId="0" fontId="5" fillId="0" borderId="19" xfId="0" applyFont="1" applyFill="1" applyBorder="1" applyAlignment="1">
      <alignment horizontal="center"/>
    </xf>
    <xf numFmtId="0" fontId="5" fillId="0" borderId="5" xfId="0" applyFont="1" applyFill="1" applyBorder="1" applyAlignment="1">
      <alignment horizontal="center" vertical="center"/>
    </xf>
    <xf numFmtId="0" fontId="15" fillId="4" borderId="21" xfId="0" applyFont="1" applyFill="1" applyBorder="1" applyAlignment="1">
      <alignment horizontal="center"/>
    </xf>
    <xf numFmtId="0" fontId="5" fillId="4" borderId="22" xfId="0" applyFont="1" applyFill="1" applyBorder="1" applyAlignment="1">
      <alignment horizontal="center"/>
    </xf>
    <xf numFmtId="0" fontId="5" fillId="4" borderId="23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/>
    </xf>
    <xf numFmtId="0" fontId="5" fillId="5" borderId="23" xfId="0" applyFont="1" applyFill="1" applyBorder="1" applyAlignment="1">
      <alignment horizontal="center"/>
    </xf>
    <xf numFmtId="0" fontId="5" fillId="5" borderId="22" xfId="0" applyFont="1" applyFill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5" xfId="0" applyFont="1" applyFill="1" applyBorder="1" applyAlignment="1">
      <alignment horizontal="center"/>
    </xf>
    <xf numFmtId="0" fontId="5" fillId="0" borderId="10" xfId="0" applyFont="1" applyBorder="1" applyAlignment="1">
      <alignment horizontal="center"/>
    </xf>
    <xf numFmtId="0" fontId="5" fillId="0" borderId="26" xfId="0" applyFont="1" applyBorder="1" applyAlignment="1">
      <alignment horizontal="center"/>
    </xf>
    <xf numFmtId="0" fontId="5" fillId="4" borderId="0" xfId="0" applyFont="1" applyFill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4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/>
    </xf>
    <xf numFmtId="0" fontId="5" fillId="5" borderId="4" xfId="0" applyFont="1" applyFill="1" applyBorder="1" applyAlignment="1">
      <alignment horizontal="center"/>
    </xf>
    <xf numFmtId="0" fontId="5" fillId="5" borderId="27" xfId="0" applyFont="1" applyFill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29" xfId="0" applyFont="1" applyFill="1" applyBorder="1" applyAlignment="1">
      <alignment horizontal="center"/>
    </xf>
    <xf numFmtId="0" fontId="5" fillId="0" borderId="25" xfId="0" applyFont="1" applyBorder="1" applyAlignment="1">
      <alignment horizontal="center"/>
    </xf>
    <xf numFmtId="0" fontId="5" fillId="4" borderId="21" xfId="0" applyFont="1" applyFill="1" applyBorder="1" applyAlignment="1">
      <alignment horizontal="center"/>
    </xf>
    <xf numFmtId="0" fontId="5" fillId="4" borderId="30" xfId="0" applyFont="1" applyFill="1" applyBorder="1" applyAlignment="1">
      <alignment horizontal="center"/>
    </xf>
    <xf numFmtId="0" fontId="5" fillId="6" borderId="25" xfId="0" applyFont="1" applyFill="1" applyBorder="1" applyAlignment="1">
      <alignment horizontal="center"/>
    </xf>
    <xf numFmtId="0" fontId="5" fillId="6" borderId="18" xfId="0" applyFont="1" applyFill="1" applyBorder="1" applyAlignment="1">
      <alignment horizontal="center"/>
    </xf>
    <xf numFmtId="0" fontId="5" fillId="4" borderId="27" xfId="0" applyFont="1" applyFill="1" applyBorder="1" applyAlignment="1">
      <alignment horizontal="center"/>
    </xf>
    <xf numFmtId="0" fontId="5" fillId="4" borderId="34" xfId="0" applyFont="1" applyFill="1" applyBorder="1" applyAlignment="1">
      <alignment horizontal="center"/>
    </xf>
    <xf numFmtId="0" fontId="5" fillId="5" borderId="34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37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6" borderId="5" xfId="0" applyFont="1" applyFill="1" applyBorder="1" applyAlignment="1">
      <alignment horizontal="center"/>
    </xf>
    <xf numFmtId="0" fontId="5" fillId="5" borderId="9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/>
    </xf>
    <xf numFmtId="0" fontId="5" fillId="7" borderId="12" xfId="0" applyFont="1" applyFill="1" applyBorder="1" applyAlignment="1">
      <alignment horizontal="center" vertical="center"/>
    </xf>
    <xf numFmtId="0" fontId="5" fillId="3" borderId="33" xfId="0" applyFont="1" applyFill="1" applyBorder="1" applyAlignment="1">
      <alignment horizontal="center"/>
    </xf>
    <xf numFmtId="0" fontId="5" fillId="4" borderId="17" xfId="0" applyFont="1" applyFill="1" applyBorder="1" applyAlignment="1">
      <alignment horizontal="center"/>
    </xf>
    <xf numFmtId="0" fontId="7" fillId="7" borderId="18" xfId="0" applyFont="1" applyFill="1" applyBorder="1" applyAlignment="1">
      <alignment horizontal="center"/>
    </xf>
    <xf numFmtId="0" fontId="7" fillId="7" borderId="19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 vertical="center"/>
    </xf>
    <xf numFmtId="0" fontId="5" fillId="3" borderId="35" xfId="0" applyFont="1" applyFill="1" applyBorder="1" applyAlignment="1">
      <alignment horizontal="center"/>
    </xf>
    <xf numFmtId="0" fontId="7" fillId="0" borderId="14" xfId="0" applyFont="1" applyBorder="1" applyAlignment="1">
      <alignment horizontal="center"/>
    </xf>
    <xf numFmtId="0" fontId="7" fillId="0" borderId="13" xfId="0" applyFont="1" applyBorder="1" applyAlignment="1">
      <alignment horizontal="center"/>
    </xf>
    <xf numFmtId="0" fontId="7" fillId="7" borderId="36" xfId="0" applyFont="1" applyFill="1" applyBorder="1" applyAlignment="1">
      <alignment horizontal="center"/>
    </xf>
    <xf numFmtId="0" fontId="7" fillId="7" borderId="37" xfId="0" applyFont="1" applyFill="1" applyBorder="1" applyAlignment="1">
      <alignment horizontal="center"/>
    </xf>
    <xf numFmtId="0" fontId="5" fillId="7" borderId="11" xfId="0" applyFont="1" applyFill="1" applyBorder="1" applyAlignment="1">
      <alignment horizontal="center" vertical="center"/>
    </xf>
    <xf numFmtId="0" fontId="5" fillId="3" borderId="38" xfId="0" applyFont="1" applyFill="1" applyBorder="1" applyAlignment="1">
      <alignment horizontal="center"/>
    </xf>
    <xf numFmtId="0" fontId="5" fillId="8" borderId="0" xfId="0" applyFont="1" applyFill="1" applyBorder="1" applyAlignment="1">
      <alignment horizontal="center"/>
    </xf>
    <xf numFmtId="0" fontId="5" fillId="8" borderId="26" xfId="0" applyFont="1" applyFill="1" applyBorder="1" applyAlignment="1">
      <alignment horizontal="center"/>
    </xf>
    <xf numFmtId="0" fontId="5" fillId="6" borderId="29" xfId="0" applyFont="1" applyFill="1" applyBorder="1" applyAlignment="1">
      <alignment horizontal="center"/>
    </xf>
    <xf numFmtId="0" fontId="5" fillId="6" borderId="0" xfId="0" applyFont="1" applyFill="1" applyBorder="1" applyAlignment="1">
      <alignment horizontal="center"/>
    </xf>
    <xf numFmtId="0" fontId="4" fillId="0" borderId="31" xfId="0" applyFont="1" applyBorder="1" applyAlignment="1">
      <alignment horizontal="center"/>
    </xf>
    <xf numFmtId="0" fontId="4" fillId="0" borderId="30" xfId="0" applyFont="1" applyBorder="1" applyAlignment="1">
      <alignment horizontal="center"/>
    </xf>
    <xf numFmtId="0" fontId="4" fillId="0" borderId="39" xfId="0" applyFont="1" applyBorder="1" applyAlignment="1">
      <alignment horizontal="center"/>
    </xf>
    <xf numFmtId="0" fontId="5" fillId="6" borderId="19" xfId="0" applyFont="1" applyFill="1" applyBorder="1" applyAlignment="1">
      <alignment horizontal="center"/>
    </xf>
    <xf numFmtId="0" fontId="5" fillId="0" borderId="2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0" fontId="5" fillId="7" borderId="29" xfId="0" applyFont="1" applyFill="1" applyBorder="1" applyAlignment="1">
      <alignment horizontal="center"/>
    </xf>
    <xf numFmtId="0" fontId="5" fillId="7" borderId="0" xfId="0" applyFont="1" applyFill="1" applyBorder="1" applyAlignment="1">
      <alignment horizontal="center"/>
    </xf>
    <xf numFmtId="0" fontId="5" fillId="7" borderId="28" xfId="0" applyFont="1" applyFill="1" applyBorder="1" applyAlignment="1">
      <alignment horizontal="center" vertical="center"/>
    </xf>
    <xf numFmtId="0" fontId="5" fillId="3" borderId="29" xfId="0" applyFont="1" applyFill="1" applyBorder="1" applyAlignment="1">
      <alignment horizontal="center"/>
    </xf>
    <xf numFmtId="0" fontId="7" fillId="7" borderId="25" xfId="0" applyFont="1" applyFill="1" applyBorder="1" applyAlignment="1">
      <alignment horizontal="center"/>
    </xf>
    <xf numFmtId="0" fontId="7" fillId="7" borderId="5" xfId="0" applyFont="1" applyFill="1" applyBorder="1" applyAlignment="1">
      <alignment horizontal="center"/>
    </xf>
    <xf numFmtId="0" fontId="5" fillId="3" borderId="40" xfId="0" applyFont="1" applyFill="1" applyBorder="1" applyAlignment="1">
      <alignment horizontal="center"/>
    </xf>
    <xf numFmtId="0" fontId="5" fillId="7" borderId="33" xfId="0" applyFont="1" applyFill="1" applyBorder="1" applyAlignment="1">
      <alignment horizontal="center"/>
    </xf>
    <xf numFmtId="0" fontId="5" fillId="7" borderId="14" xfId="0" applyFont="1" applyFill="1" applyBorder="1" applyAlignment="1">
      <alignment horizontal="center"/>
    </xf>
    <xf numFmtId="0" fontId="5" fillId="3" borderId="41" xfId="0" applyFont="1" applyFill="1" applyBorder="1" applyAlignment="1">
      <alignment horizontal="center"/>
    </xf>
    <xf numFmtId="0" fontId="5" fillId="4" borderId="43" xfId="0" applyFont="1" applyFill="1" applyBorder="1" applyAlignment="1">
      <alignment horizontal="center"/>
    </xf>
    <xf numFmtId="0" fontId="5" fillId="5" borderId="43" xfId="0" applyFont="1" applyFill="1" applyBorder="1" applyAlignment="1">
      <alignment horizontal="center"/>
    </xf>
    <xf numFmtId="0" fontId="7" fillId="7" borderId="35" xfId="0" applyFont="1" applyFill="1" applyBorder="1" applyAlignment="1">
      <alignment horizontal="center"/>
    </xf>
    <xf numFmtId="0" fontId="7" fillId="7" borderId="21" xfId="0" applyFont="1" applyFill="1" applyBorder="1" applyAlignment="1">
      <alignment horizontal="center"/>
    </xf>
    <xf numFmtId="0" fontId="5" fillId="0" borderId="44" xfId="0" applyFont="1" applyBorder="1" applyAlignment="1">
      <alignment horizontal="center" vertical="center"/>
    </xf>
    <xf numFmtId="0" fontId="5" fillId="0" borderId="14" xfId="0" applyFont="1" applyFill="1" applyBorder="1" applyAlignment="1">
      <alignment horizontal="center" vertical="center"/>
    </xf>
    <xf numFmtId="0" fontId="5" fillId="5" borderId="23" xfId="0" applyFont="1" applyFill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5" fillId="9" borderId="0" xfId="0" applyFont="1" applyFill="1" applyBorder="1" applyAlignment="1">
      <alignment horizontal="center"/>
    </xf>
    <xf numFmtId="0" fontId="5" fillId="9" borderId="26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 vertical="center"/>
    </xf>
    <xf numFmtId="0" fontId="5" fillId="7" borderId="24" xfId="0" applyFont="1" applyFill="1" applyBorder="1" applyAlignment="1">
      <alignment horizontal="center" vertical="center"/>
    </xf>
    <xf numFmtId="0" fontId="5" fillId="4" borderId="47" xfId="0" applyFont="1" applyFill="1" applyBorder="1" applyAlignment="1">
      <alignment horizontal="center"/>
    </xf>
    <xf numFmtId="0" fontId="5" fillId="4" borderId="48" xfId="0" applyFont="1" applyFill="1" applyBorder="1" applyAlignment="1">
      <alignment horizontal="center"/>
    </xf>
    <xf numFmtId="0" fontId="5" fillId="4" borderId="49" xfId="0" applyFont="1" applyFill="1" applyBorder="1" applyAlignment="1">
      <alignment horizontal="center"/>
    </xf>
    <xf numFmtId="0" fontId="5" fillId="5" borderId="49" xfId="0" applyFont="1" applyFill="1" applyBorder="1" applyAlignment="1">
      <alignment horizontal="center"/>
    </xf>
    <xf numFmtId="0" fontId="5" fillId="5" borderId="48" xfId="0" applyFont="1" applyFill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4" borderId="45" xfId="0" applyFont="1" applyFill="1" applyBorder="1" applyAlignment="1">
      <alignment horizontal="center"/>
    </xf>
    <xf numFmtId="0" fontId="5" fillId="4" borderId="52" xfId="0" applyFont="1" applyFill="1" applyBorder="1" applyAlignment="1">
      <alignment horizontal="center"/>
    </xf>
    <xf numFmtId="0" fontId="5" fillId="4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/>
    </xf>
    <xf numFmtId="0" fontId="5" fillId="5" borderId="53" xfId="0" applyFont="1" applyFill="1" applyBorder="1" applyAlignment="1">
      <alignment horizontal="center"/>
    </xf>
    <xf numFmtId="0" fontId="5" fillId="5" borderId="52" xfId="0" applyFont="1" applyFill="1" applyBorder="1" applyAlignment="1">
      <alignment horizontal="center" vertical="center"/>
    </xf>
    <xf numFmtId="0" fontId="5" fillId="0" borderId="52" xfId="0" applyFont="1" applyBorder="1" applyAlignment="1">
      <alignment horizontal="center" vertical="center"/>
    </xf>
    <xf numFmtId="0" fontId="4" fillId="7" borderId="54" xfId="0" applyFont="1" applyFill="1" applyBorder="1" applyAlignment="1">
      <alignment horizontal="center"/>
    </xf>
    <xf numFmtId="0" fontId="4" fillId="7" borderId="55" xfId="0" applyFont="1" applyFill="1" applyBorder="1" applyAlignment="1">
      <alignment horizontal="center"/>
    </xf>
    <xf numFmtId="0" fontId="4" fillId="7" borderId="56" xfId="0" applyFont="1" applyFill="1" applyBorder="1" applyAlignment="1">
      <alignment horizontal="center"/>
    </xf>
    <xf numFmtId="0" fontId="4" fillId="3" borderId="57" xfId="0" applyFont="1" applyFill="1" applyBorder="1" applyAlignment="1">
      <alignment horizontal="center"/>
    </xf>
    <xf numFmtId="0" fontId="4" fillId="4" borderId="0" xfId="0" applyFont="1" applyFill="1" applyBorder="1" applyAlignment="1">
      <alignment horizontal="center"/>
    </xf>
    <xf numFmtId="0" fontId="4" fillId="4" borderId="58" xfId="0" applyFont="1" applyFill="1" applyBorder="1" applyAlignment="1">
      <alignment horizontal="center"/>
    </xf>
    <xf numFmtId="0" fontId="4" fillId="4" borderId="4" xfId="0" applyFont="1" applyFill="1" applyBorder="1" applyAlignment="1">
      <alignment horizontal="center"/>
    </xf>
    <xf numFmtId="0" fontId="4" fillId="5" borderId="58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/>
    </xf>
    <xf numFmtId="0" fontId="4" fillId="5" borderId="1" xfId="0" applyFont="1" applyFill="1" applyBorder="1" applyAlignment="1">
      <alignment horizontal="center" vertical="center"/>
    </xf>
    <xf numFmtId="0" fontId="4" fillId="0" borderId="58" xfId="0" applyFont="1" applyFill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56" xfId="0" applyFont="1" applyBorder="1" applyAlignment="1">
      <alignment horizontal="center" vertical="center"/>
    </xf>
    <xf numFmtId="0" fontId="5" fillId="6" borderId="10" xfId="0" applyFont="1" applyFill="1" applyBorder="1" applyAlignment="1">
      <alignment horizontal="center"/>
    </xf>
    <xf numFmtId="0" fontId="15" fillId="4" borderId="22" xfId="0" applyFont="1" applyFill="1" applyBorder="1" applyAlignment="1">
      <alignment horizontal="center"/>
    </xf>
    <xf numFmtId="0" fontId="5" fillId="0" borderId="17" xfId="0" applyFont="1" applyFill="1" applyBorder="1" applyAlignment="1">
      <alignment horizontal="center"/>
    </xf>
    <xf numFmtId="0" fontId="5" fillId="0" borderId="22" xfId="0" applyFont="1" applyFill="1" applyBorder="1" applyAlignment="1">
      <alignment horizontal="center"/>
    </xf>
    <xf numFmtId="0" fontId="5" fillId="6" borderId="31" xfId="0" applyFont="1" applyFill="1" applyBorder="1" applyAlignment="1">
      <alignment horizontal="center"/>
    </xf>
    <xf numFmtId="0" fontId="5" fillId="6" borderId="9" xfId="0" applyFont="1" applyFill="1" applyBorder="1" applyAlignment="1">
      <alignment horizontal="center"/>
    </xf>
    <xf numFmtId="0" fontId="5" fillId="6" borderId="22" xfId="0" applyFont="1" applyFill="1" applyBorder="1" applyAlignment="1">
      <alignment horizontal="center"/>
    </xf>
    <xf numFmtId="0" fontId="5" fillId="6" borderId="36" xfId="0" applyFont="1" applyFill="1" applyBorder="1" applyAlignment="1">
      <alignment horizontal="center"/>
    </xf>
    <xf numFmtId="0" fontId="5" fillId="6" borderId="52" xfId="0" applyFont="1" applyFill="1" applyBorder="1" applyAlignment="1">
      <alignment horizontal="center"/>
    </xf>
    <xf numFmtId="0" fontId="5" fillId="10" borderId="10" xfId="0" applyFont="1" applyFill="1" applyBorder="1" applyAlignment="1">
      <alignment horizontal="center"/>
    </xf>
    <xf numFmtId="0" fontId="5" fillId="10" borderId="11" xfId="0" applyFont="1" applyFill="1" applyBorder="1" applyAlignment="1">
      <alignment horizontal="center"/>
    </xf>
    <xf numFmtId="0" fontId="5" fillId="10" borderId="18" xfId="0" applyFont="1" applyFill="1" applyBorder="1" applyAlignment="1">
      <alignment horizontal="center"/>
    </xf>
    <xf numFmtId="0" fontId="5" fillId="10" borderId="19" xfId="0" applyFont="1" applyFill="1" applyBorder="1" applyAlignment="1">
      <alignment horizontal="center"/>
    </xf>
    <xf numFmtId="0" fontId="7" fillId="4" borderId="22" xfId="0" applyFont="1" applyFill="1" applyBorder="1" applyAlignment="1">
      <alignment horizontal="center"/>
    </xf>
    <xf numFmtId="0" fontId="5" fillId="3" borderId="36" xfId="0" applyFont="1" applyFill="1" applyBorder="1" applyAlignment="1">
      <alignment horizontal="center"/>
    </xf>
    <xf numFmtId="0" fontId="5" fillId="3" borderId="52" xfId="0" applyFont="1" applyFill="1" applyBorder="1" applyAlignment="1">
      <alignment horizontal="center"/>
    </xf>
    <xf numFmtId="0" fontId="5" fillId="0" borderId="31" xfId="0" applyFont="1" applyBorder="1" applyAlignment="1">
      <alignment horizontal="center"/>
    </xf>
    <xf numFmtId="0" fontId="5" fillId="0" borderId="59" xfId="0" applyFont="1" applyBorder="1" applyAlignment="1">
      <alignment horizontal="center"/>
    </xf>
    <xf numFmtId="0" fontId="5" fillId="11" borderId="29" xfId="0" applyFont="1" applyFill="1" applyBorder="1" applyAlignment="1">
      <alignment horizontal="center"/>
    </xf>
    <xf numFmtId="0" fontId="5" fillId="11" borderId="33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0" borderId="21" xfId="0" applyFont="1" applyFill="1" applyBorder="1" applyAlignment="1">
      <alignment horizontal="center"/>
    </xf>
    <xf numFmtId="0" fontId="5" fillId="0" borderId="14" xfId="0" applyFont="1" applyBorder="1" applyAlignment="1">
      <alignment horizontal="center"/>
    </xf>
    <xf numFmtId="0" fontId="5" fillId="10" borderId="25" xfId="0" applyFont="1" applyFill="1" applyBorder="1" applyAlignment="1">
      <alignment horizontal="center"/>
    </xf>
    <xf numFmtId="0" fontId="5" fillId="10" borderId="22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4" borderId="9" xfId="0" applyFont="1" applyFill="1" applyBorder="1" applyAlignment="1">
      <alignment horizontal="center"/>
    </xf>
    <xf numFmtId="0" fontId="5" fillId="0" borderId="0" xfId="0" applyFont="1" applyBorder="1" applyAlignment="1"/>
    <xf numFmtId="0" fontId="15" fillId="4" borderId="60" xfId="0" applyFont="1" applyFill="1" applyBorder="1" applyAlignment="1">
      <alignment horizontal="center"/>
    </xf>
    <xf numFmtId="0" fontId="5" fillId="0" borderId="14" xfId="0" applyFont="1" applyFill="1" applyBorder="1" applyAlignment="1">
      <alignment horizontal="center"/>
    </xf>
    <xf numFmtId="0" fontId="7" fillId="0" borderId="0" xfId="0" applyFont="1" applyBorder="1" applyAlignment="1">
      <alignment horizontal="center"/>
    </xf>
    <xf numFmtId="0" fontId="7" fillId="0" borderId="56" xfId="0" applyFont="1" applyBorder="1" applyAlignment="1">
      <alignment horizontal="center"/>
    </xf>
    <xf numFmtId="0" fontId="7" fillId="0" borderId="8" xfId="0" applyFont="1" applyBorder="1" applyAlignment="1">
      <alignment horizontal="center"/>
    </xf>
    <xf numFmtId="0" fontId="15" fillId="4" borderId="52" xfId="0" applyFont="1" applyFill="1" applyBorder="1" applyAlignment="1">
      <alignment horizontal="center"/>
    </xf>
    <xf numFmtId="0" fontId="5" fillId="10" borderId="5" xfId="0" applyFont="1" applyFill="1" applyBorder="1" applyAlignment="1">
      <alignment horizontal="center"/>
    </xf>
    <xf numFmtId="0" fontId="5" fillId="10" borderId="32" xfId="0" applyFont="1" applyFill="1" applyBorder="1" applyAlignment="1">
      <alignment horizontal="center"/>
    </xf>
    <xf numFmtId="0" fontId="4" fillId="5" borderId="4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9" borderId="14" xfId="0" applyFont="1" applyFill="1" applyBorder="1" applyAlignment="1">
      <alignment horizontal="center"/>
    </xf>
    <xf numFmtId="0" fontId="5" fillId="9" borderId="13" xfId="0" applyFont="1" applyFill="1" applyBorder="1" applyAlignment="1">
      <alignment horizontal="center"/>
    </xf>
    <xf numFmtId="0" fontId="0" fillId="0" borderId="0" xfId="0" applyFill="1" applyBorder="1"/>
    <xf numFmtId="0" fontId="4" fillId="0" borderId="0" xfId="0" applyFont="1" applyFill="1" applyBorder="1" applyAlignment="1">
      <alignment horizontal="center"/>
    </xf>
    <xf numFmtId="0" fontId="5" fillId="0" borderId="0" xfId="0" applyFont="1"/>
    <xf numFmtId="0" fontId="7" fillId="0" borderId="10" xfId="0" applyFont="1" applyBorder="1" applyAlignment="1">
      <alignment horizont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13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/>
    </xf>
    <xf numFmtId="0" fontId="5" fillId="4" borderId="42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10" borderId="29" xfId="0" applyFont="1" applyFill="1" applyBorder="1" applyAlignment="1">
      <alignment horizontal="center"/>
    </xf>
    <xf numFmtId="0" fontId="5" fillId="11" borderId="10" xfId="0" applyFont="1" applyFill="1" applyBorder="1" applyAlignment="1">
      <alignment horizontal="center"/>
    </xf>
    <xf numFmtId="0" fontId="15" fillId="4" borderId="53" xfId="0" applyFont="1" applyFill="1" applyBorder="1" applyAlignment="1">
      <alignment horizontal="center"/>
    </xf>
    <xf numFmtId="0" fontId="4" fillId="0" borderId="26" xfId="0" applyFont="1" applyBorder="1" applyAlignment="1">
      <alignment horizontal="center"/>
    </xf>
    <xf numFmtId="0" fontId="4" fillId="0" borderId="25" xfId="0" applyFont="1" applyBorder="1" applyAlignment="1">
      <alignment horizontal="center"/>
    </xf>
    <xf numFmtId="0" fontId="0" fillId="0" borderId="0" xfId="0" applyBorder="1"/>
    <xf numFmtId="0" fontId="5" fillId="0" borderId="0" xfId="0" applyFont="1" applyFill="1" applyBorder="1" applyAlignment="1"/>
    <xf numFmtId="0" fontId="4" fillId="0" borderId="7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5" borderId="0" xfId="0" applyFont="1" applyFill="1" applyBorder="1" applyAlignment="1">
      <alignment horizontal="center"/>
    </xf>
    <xf numFmtId="0" fontId="5" fillId="5" borderId="21" xfId="0" applyFont="1" applyFill="1" applyBorder="1" applyAlignment="1">
      <alignment horizontal="center"/>
    </xf>
    <xf numFmtId="0" fontId="5" fillId="5" borderId="14" xfId="0" applyFont="1" applyFill="1" applyBorder="1" applyAlignment="1">
      <alignment horizontal="center"/>
    </xf>
    <xf numFmtId="0" fontId="4" fillId="5" borderId="2" xfId="0" applyFont="1" applyFill="1" applyBorder="1" applyAlignment="1">
      <alignment horizontal="center"/>
    </xf>
    <xf numFmtId="0" fontId="5" fillId="3" borderId="21" xfId="0" applyFont="1" applyFill="1" applyBorder="1" applyAlignment="1">
      <alignment horizontal="center"/>
    </xf>
    <xf numFmtId="0" fontId="5" fillId="3" borderId="30" xfId="0" applyFont="1" applyFill="1" applyBorder="1" applyAlignment="1">
      <alignment horizontal="center"/>
    </xf>
    <xf numFmtId="0" fontId="5" fillId="3" borderId="14" xfId="0" applyFont="1" applyFill="1" applyBorder="1" applyAlignment="1">
      <alignment horizontal="center"/>
    </xf>
    <xf numFmtId="0" fontId="5" fillId="3" borderId="19" xfId="0" applyFont="1" applyFill="1" applyBorder="1" applyAlignment="1">
      <alignment horizontal="center"/>
    </xf>
    <xf numFmtId="0" fontId="5" fillId="3" borderId="5" xfId="0" applyFont="1" applyFill="1" applyBorder="1" applyAlignment="1">
      <alignment horizontal="center"/>
    </xf>
    <xf numFmtId="0" fontId="5" fillId="3" borderId="0" xfId="0" applyFont="1" applyFill="1" applyBorder="1" applyAlignment="1">
      <alignment horizontal="center"/>
    </xf>
    <xf numFmtId="0" fontId="5" fillId="3" borderId="11" xfId="0" applyFont="1" applyFill="1" applyBorder="1" applyAlignment="1">
      <alignment horizontal="center"/>
    </xf>
    <xf numFmtId="0" fontId="5" fillId="3" borderId="42" xfId="0" applyFont="1" applyFill="1" applyBorder="1" applyAlignment="1">
      <alignment horizontal="center"/>
    </xf>
    <xf numFmtId="0" fontId="4" fillId="3" borderId="54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56" xfId="0" applyFont="1" applyFill="1" applyBorder="1" applyAlignment="1">
      <alignment horizontal="center"/>
    </xf>
    <xf numFmtId="0" fontId="5" fillId="0" borderId="56" xfId="0" applyFont="1" applyFill="1" applyBorder="1" applyAlignment="1">
      <alignment horizontal="center"/>
    </xf>
    <xf numFmtId="0" fontId="5" fillId="0" borderId="24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4" borderId="38" xfId="0" applyFont="1" applyFill="1" applyBorder="1" applyAlignment="1">
      <alignment horizontal="center"/>
    </xf>
    <xf numFmtId="0" fontId="5" fillId="6" borderId="32" xfId="0" applyFont="1" applyFill="1" applyBorder="1" applyAlignment="1">
      <alignment horizontal="center"/>
    </xf>
    <xf numFmtId="0" fontId="5" fillId="11" borderId="21" xfId="0" applyFont="1" applyFill="1" applyBorder="1" applyAlignment="1">
      <alignment horizontal="center"/>
    </xf>
    <xf numFmtId="0" fontId="5" fillId="11" borderId="14" xfId="0" applyFont="1" applyFill="1" applyBorder="1" applyAlignment="1">
      <alignment horizontal="center"/>
    </xf>
    <xf numFmtId="0" fontId="5" fillId="10" borderId="0" xfId="0" applyFont="1" applyFill="1" applyBorder="1" applyAlignment="1">
      <alignment horizontal="center"/>
    </xf>
    <xf numFmtId="0" fontId="5" fillId="11" borderId="0" xfId="0" applyFont="1" applyFill="1" applyBorder="1" applyAlignment="1">
      <alignment horizontal="center"/>
    </xf>
    <xf numFmtId="0" fontId="5" fillId="11" borderId="11" xfId="0" applyFont="1" applyFill="1" applyBorder="1" applyAlignment="1">
      <alignment horizontal="center"/>
    </xf>
    <xf numFmtId="0" fontId="5" fillId="3" borderId="37" xfId="0" applyFont="1" applyFill="1" applyBorder="1" applyAlignment="1">
      <alignment horizontal="center"/>
    </xf>
    <xf numFmtId="0" fontId="5" fillId="6" borderId="37" xfId="0" applyFont="1" applyFill="1" applyBorder="1" applyAlignment="1">
      <alignment horizontal="center"/>
    </xf>
    <xf numFmtId="0" fontId="5" fillId="6" borderId="11" xfId="0" applyFont="1" applyFill="1" applyBorder="1" applyAlignment="1">
      <alignment horizontal="center"/>
    </xf>
    <xf numFmtId="0" fontId="15" fillId="4" borderId="0" xfId="0" applyFont="1" applyFill="1" applyBorder="1" applyAlignment="1">
      <alignment horizontal="center"/>
    </xf>
    <xf numFmtId="0" fontId="15" fillId="4" borderId="45" xfId="0" applyFont="1" applyFill="1" applyBorder="1" applyAlignment="1">
      <alignment horizontal="center"/>
    </xf>
    <xf numFmtId="0" fontId="15" fillId="4" borderId="14" xfId="0" applyFont="1" applyFill="1" applyBorder="1" applyAlignment="1">
      <alignment horizontal="center"/>
    </xf>
    <xf numFmtId="0" fontId="7" fillId="4" borderId="17" xfId="0" applyFont="1" applyFill="1" applyBorder="1" applyAlignment="1">
      <alignment horizontal="center"/>
    </xf>
    <xf numFmtId="0" fontId="7" fillId="4" borderId="9" xfId="0" applyFont="1" applyFill="1" applyBorder="1" applyAlignment="1">
      <alignment horizontal="center"/>
    </xf>
    <xf numFmtId="0" fontId="7" fillId="4" borderId="52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7" fillId="4" borderId="0" xfId="0" applyFont="1" applyFill="1" applyBorder="1" applyAlignment="1">
      <alignment horizontal="center"/>
    </xf>
    <xf numFmtId="0" fontId="5" fillId="4" borderId="20" xfId="0" applyFont="1" applyFill="1" applyBorder="1" applyAlignment="1">
      <alignment horizontal="center"/>
    </xf>
    <xf numFmtId="0" fontId="5" fillId="4" borderId="13" xfId="0" applyFont="1" applyFill="1" applyBorder="1" applyAlignment="1">
      <alignment horizontal="center"/>
    </xf>
    <xf numFmtId="0" fontId="15" fillId="4" borderId="26" xfId="0" applyFont="1" applyFill="1" applyBorder="1" applyAlignment="1">
      <alignment horizontal="center"/>
    </xf>
    <xf numFmtId="0" fontId="5" fillId="4" borderId="26" xfId="0" applyFont="1" applyFill="1" applyBorder="1" applyAlignment="1">
      <alignment horizontal="center"/>
    </xf>
    <xf numFmtId="0" fontId="5" fillId="4" borderId="65" xfId="0" applyFont="1" applyFill="1" applyBorder="1" applyAlignment="1">
      <alignment horizontal="center"/>
    </xf>
    <xf numFmtId="0" fontId="15" fillId="4" borderId="20" xfId="0" applyFont="1" applyFill="1" applyBorder="1" applyAlignment="1">
      <alignment horizontal="center"/>
    </xf>
    <xf numFmtId="0" fontId="7" fillId="4" borderId="26" xfId="0" applyFont="1" applyFill="1" applyBorder="1" applyAlignment="1">
      <alignment horizontal="center"/>
    </xf>
    <xf numFmtId="0" fontId="15" fillId="4" borderId="13" xfId="0" applyFont="1" applyFill="1" applyBorder="1" applyAlignment="1">
      <alignment horizontal="center"/>
    </xf>
    <xf numFmtId="0" fontId="7" fillId="4" borderId="20" xfId="0" applyFont="1" applyFill="1" applyBorder="1" applyAlignment="1">
      <alignment horizontal="center"/>
    </xf>
    <xf numFmtId="0" fontId="15" fillId="4" borderId="65" xfId="0" applyFont="1" applyFill="1" applyBorder="1" applyAlignment="1">
      <alignment horizontal="center"/>
    </xf>
    <xf numFmtId="0" fontId="5" fillId="10" borderId="33" xfId="0" applyFont="1" applyFill="1" applyBorder="1" applyAlignment="1">
      <alignment horizontal="center"/>
    </xf>
    <xf numFmtId="0" fontId="5" fillId="10" borderId="17" xfId="0" applyFont="1" applyFill="1" applyBorder="1" applyAlignment="1">
      <alignment horizontal="center"/>
    </xf>
    <xf numFmtId="0" fontId="5" fillId="6" borderId="17" xfId="0" applyFont="1" applyFill="1" applyBorder="1" applyAlignment="1">
      <alignment horizontal="center"/>
    </xf>
    <xf numFmtId="0" fontId="5" fillId="11" borderId="9" xfId="0" applyFont="1" applyFill="1" applyBorder="1" applyAlignment="1">
      <alignment horizontal="center"/>
    </xf>
    <xf numFmtId="0" fontId="5" fillId="11" borderId="52" xfId="0" applyFont="1" applyFill="1" applyBorder="1" applyAlignment="1">
      <alignment horizontal="center"/>
    </xf>
    <xf numFmtId="0" fontId="5" fillId="11" borderId="22" xfId="0" applyFont="1" applyFill="1" applyBorder="1" applyAlignment="1">
      <alignment horizontal="center"/>
    </xf>
    <xf numFmtId="0" fontId="5" fillId="3" borderId="9" xfId="0" applyFont="1" applyFill="1" applyBorder="1" applyAlignment="1">
      <alignment horizontal="center"/>
    </xf>
    <xf numFmtId="0" fontId="5" fillId="0" borderId="17" xfId="0" applyFont="1" applyBorder="1" applyAlignment="1">
      <alignment horizontal="center"/>
    </xf>
    <xf numFmtId="0" fontId="5" fillId="0" borderId="17" xfId="0" applyFont="1" applyBorder="1"/>
    <xf numFmtId="0" fontId="5" fillId="0" borderId="22" xfId="0" applyFont="1" applyBorder="1"/>
    <xf numFmtId="0" fontId="7" fillId="0" borderId="17" xfId="0" applyFont="1" applyBorder="1" applyAlignment="1">
      <alignment horizontal="center"/>
    </xf>
    <xf numFmtId="0" fontId="7" fillId="0" borderId="22" xfId="0" applyFont="1" applyBorder="1" applyAlignment="1">
      <alignment horizontal="center"/>
    </xf>
    <xf numFmtId="0" fontId="5" fillId="10" borderId="20" xfId="0" applyFont="1" applyFill="1" applyBorder="1"/>
    <xf numFmtId="0" fontId="5" fillId="10" borderId="35" xfId="0" applyFont="1" applyFill="1" applyBorder="1"/>
    <xf numFmtId="0" fontId="5" fillId="10" borderId="28" xfId="0" applyFont="1" applyFill="1" applyBorder="1" applyAlignment="1">
      <alignment horizontal="center"/>
    </xf>
    <xf numFmtId="0" fontId="5" fillId="10" borderId="12" xfId="0" applyFont="1" applyFill="1" applyBorder="1" applyAlignment="1">
      <alignment horizontal="center"/>
    </xf>
    <xf numFmtId="0" fontId="5" fillId="0" borderId="4" xfId="0" applyFont="1" applyBorder="1"/>
    <xf numFmtId="0" fontId="5" fillId="0" borderId="6" xfId="0" applyFont="1" applyBorder="1"/>
    <xf numFmtId="0" fontId="4" fillId="0" borderId="57" xfId="0" applyFont="1" applyBorder="1"/>
    <xf numFmtId="0" fontId="4" fillId="0" borderId="56" xfId="0" applyFont="1" applyBorder="1"/>
    <xf numFmtId="0" fontId="5" fillId="8" borderId="9" xfId="0" applyFont="1" applyFill="1" applyBorder="1"/>
    <xf numFmtId="0" fontId="5" fillId="8" borderId="66" xfId="0" applyFont="1" applyFill="1" applyBorder="1"/>
    <xf numFmtId="0" fontId="5" fillId="0" borderId="0" xfId="0" applyFont="1" applyFill="1" applyBorder="1"/>
    <xf numFmtId="0" fontId="4" fillId="0" borderId="0" xfId="0" applyFont="1" applyFill="1" applyBorder="1"/>
    <xf numFmtId="0" fontId="5" fillId="0" borderId="24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2" borderId="26" xfId="0" applyFont="1" applyFill="1" applyBorder="1" applyAlignment="1">
      <alignment horizontal="center"/>
    </xf>
    <xf numFmtId="0" fontId="5" fillId="12" borderId="0" xfId="0" applyFont="1" applyFill="1" applyBorder="1" applyAlignment="1">
      <alignment horizontal="center"/>
    </xf>
    <xf numFmtId="0" fontId="5" fillId="12" borderId="13" xfId="0" applyFont="1" applyFill="1" applyBorder="1" applyAlignment="1">
      <alignment horizontal="center"/>
    </xf>
    <xf numFmtId="0" fontId="5" fillId="12" borderId="14" xfId="0" applyFont="1" applyFill="1" applyBorder="1" applyAlignment="1">
      <alignment horizontal="center"/>
    </xf>
    <xf numFmtId="0" fontId="5" fillId="0" borderId="63" xfId="0" applyFont="1" applyFill="1" applyBorder="1" applyAlignment="1">
      <alignment horizontal="center"/>
    </xf>
    <xf numFmtId="0" fontId="0" fillId="0" borderId="67" xfId="0" applyFill="1" applyBorder="1" applyAlignment="1">
      <alignment horizontal="center"/>
    </xf>
    <xf numFmtId="0" fontId="0" fillId="0" borderId="68" xfId="0" applyBorder="1"/>
    <xf numFmtId="0" fontId="4" fillId="7" borderId="0" xfId="0" applyFont="1" applyFill="1" applyBorder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7" fillId="7" borderId="29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0" borderId="69" xfId="0" applyFont="1" applyBorder="1" applyAlignment="1">
      <alignment horizontal="center"/>
    </xf>
    <xf numFmtId="0" fontId="5" fillId="0" borderId="11" xfId="0" applyFont="1" applyBorder="1" applyAlignment="1">
      <alignment horizontal="center"/>
    </xf>
    <xf numFmtId="0" fontId="8" fillId="0" borderId="0" xfId="1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quotePrefix="1" applyFont="1" applyFill="1" applyBorder="1" applyAlignment="1">
      <alignment horizontal="center"/>
    </xf>
    <xf numFmtId="0" fontId="8" fillId="0" borderId="0" xfId="1" applyFont="1" applyBorder="1" applyAlignment="1">
      <alignment horizontal="center"/>
    </xf>
    <xf numFmtId="0" fontId="18" fillId="0" borderId="56" xfId="0" applyFont="1" applyFill="1" applyBorder="1" applyAlignment="1">
      <alignment horizontal="center"/>
    </xf>
    <xf numFmtId="0" fontId="4" fillId="0" borderId="55" xfId="0" applyFont="1" applyFill="1" applyBorder="1" applyAlignment="1"/>
    <xf numFmtId="0" fontId="4" fillId="0" borderId="55" xfId="0" applyFont="1" applyFill="1" applyBorder="1" applyAlignment="1">
      <alignment horizontal="center"/>
    </xf>
    <xf numFmtId="0" fontId="4" fillId="0" borderId="54" xfId="0" applyFont="1" applyFill="1" applyBorder="1" applyAlignment="1">
      <alignment horizontal="center"/>
    </xf>
    <xf numFmtId="0" fontId="15" fillId="0" borderId="0" xfId="0" applyFont="1" applyFill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5" fillId="0" borderId="58" xfId="0" applyFont="1" applyFill="1" applyBorder="1" applyAlignment="1">
      <alignment horizontal="center"/>
    </xf>
    <xf numFmtId="0" fontId="4" fillId="0" borderId="57" xfId="0" applyFont="1" applyBorder="1" applyAlignment="1">
      <alignment horizontal="center"/>
    </xf>
    <xf numFmtId="0" fontId="4" fillId="0" borderId="56" xfId="0" applyFont="1" applyBorder="1" applyAlignment="1">
      <alignment horizontal="center"/>
    </xf>
    <xf numFmtId="0" fontId="5" fillId="0" borderId="4" xfId="0" applyFont="1" applyFill="1" applyBorder="1" applyAlignment="1">
      <alignment horizontal="center" vertical="center"/>
    </xf>
    <xf numFmtId="0" fontId="5" fillId="0" borderId="6" xfId="0" applyFont="1" applyFill="1" applyBorder="1" applyAlignment="1">
      <alignment horizontal="center" vertical="center"/>
    </xf>
    <xf numFmtId="0" fontId="5" fillId="0" borderId="66" xfId="0" applyFont="1" applyFill="1" applyBorder="1" applyAlignment="1">
      <alignment horizontal="center"/>
    </xf>
    <xf numFmtId="0" fontId="5" fillId="0" borderId="7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 vertical="center"/>
    </xf>
    <xf numFmtId="0" fontId="4" fillId="0" borderId="56" xfId="0" applyFont="1" applyFill="1" applyBorder="1" applyAlignment="1">
      <alignment horizontal="center" vertical="center"/>
    </xf>
    <xf numFmtId="0" fontId="5" fillId="0" borderId="55" xfId="0" applyFont="1" applyFill="1" applyBorder="1" applyAlignment="1">
      <alignment horizontal="center"/>
    </xf>
    <xf numFmtId="0" fontId="5" fillId="0" borderId="0" xfId="0" applyFont="1" applyBorder="1"/>
    <xf numFmtId="0" fontId="5" fillId="0" borderId="24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18" xfId="0" applyFont="1" applyBorder="1" applyAlignment="1">
      <alignment horizontal="center"/>
    </xf>
    <xf numFmtId="0" fontId="18" fillId="0" borderId="0" xfId="0" applyFont="1" applyFill="1" applyBorder="1" applyAlignment="1">
      <alignment horizontal="center"/>
    </xf>
    <xf numFmtId="0" fontId="4" fillId="0" borderId="0" xfId="0" applyFont="1" applyFill="1" applyBorder="1" applyAlignment="1"/>
    <xf numFmtId="0" fontId="4" fillId="0" borderId="0" xfId="0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5" borderId="7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8" borderId="13" xfId="0" applyFont="1" applyFill="1" applyBorder="1" applyAlignment="1">
      <alignment horizontal="center"/>
    </xf>
    <xf numFmtId="0" fontId="5" fillId="8" borderId="14" xfId="0" applyFont="1" applyFill="1" applyBorder="1" applyAlignment="1">
      <alignment horizontal="center"/>
    </xf>
    <xf numFmtId="0" fontId="19" fillId="16" borderId="71" xfId="6" applyBorder="1" applyAlignment="1">
      <alignment horizontal="center"/>
    </xf>
    <xf numFmtId="0" fontId="23" fillId="0" borderId="20" xfId="0" applyFont="1" applyBorder="1" applyAlignment="1">
      <alignment horizontal="center"/>
    </xf>
    <xf numFmtId="2" fontId="23" fillId="0" borderId="21" xfId="0" applyNumberFormat="1" applyFont="1" applyBorder="1" applyAlignment="1">
      <alignment horizontal="center"/>
    </xf>
    <xf numFmtId="0" fontId="0" fillId="0" borderId="18" xfId="0" applyBorder="1"/>
    <xf numFmtId="2" fontId="0" fillId="0" borderId="0" xfId="0" applyNumberFormat="1" applyAlignment="1">
      <alignment horizontal="center"/>
    </xf>
    <xf numFmtId="2" fontId="0" fillId="0" borderId="0" xfId="2" applyNumberFormat="1" applyFont="1" applyAlignment="1">
      <alignment horizontal="center"/>
    </xf>
    <xf numFmtId="0" fontId="0" fillId="16" borderId="71" xfId="6" applyFont="1" applyBorder="1" applyAlignment="1">
      <alignment horizontal="center"/>
    </xf>
    <xf numFmtId="0" fontId="0" fillId="0" borderId="10" xfId="0" applyBorder="1"/>
    <xf numFmtId="0" fontId="5" fillId="0" borderId="0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3" borderId="72" xfId="0" applyFont="1" applyFill="1" applyBorder="1" applyAlignment="1">
      <alignment horizontal="center"/>
    </xf>
    <xf numFmtId="0" fontId="5" fillId="3" borderId="73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center" vertical="center"/>
    </xf>
    <xf numFmtId="0" fontId="7" fillId="0" borderId="0" xfId="0" applyFont="1" applyFill="1" applyBorder="1" applyAlignment="1">
      <alignment horizontal="center" vertical="center"/>
    </xf>
    <xf numFmtId="1" fontId="5" fillId="0" borderId="55" xfId="0" applyNumberFormat="1" applyFont="1" applyFill="1" applyBorder="1" applyAlignment="1">
      <alignment horizontal="center"/>
    </xf>
    <xf numFmtId="1" fontId="4" fillId="0" borderId="56" xfId="0" applyNumberFormat="1" applyFont="1" applyFill="1" applyBorder="1" applyAlignment="1">
      <alignment horizontal="center"/>
    </xf>
    <xf numFmtId="1" fontId="5" fillId="0" borderId="9" xfId="0" applyNumberFormat="1" applyFont="1" applyBorder="1" applyAlignment="1">
      <alignment horizontal="center"/>
    </xf>
    <xf numFmtId="1" fontId="5" fillId="0" borderId="9" xfId="0" applyNumberFormat="1" applyFont="1" applyFill="1" applyBorder="1" applyAlignment="1">
      <alignment horizontal="center"/>
    </xf>
    <xf numFmtId="1" fontId="5" fillId="0" borderId="66" xfId="0" applyNumberFormat="1" applyFont="1" applyFill="1" applyBorder="1" applyAlignment="1">
      <alignment horizontal="center"/>
    </xf>
    <xf numFmtId="43" fontId="25" fillId="15" borderId="74" xfId="5" applyNumberFormat="1" applyFont="1" applyBorder="1" applyAlignment="1">
      <alignment horizontal="center" wrapText="1"/>
    </xf>
    <xf numFmtId="43" fontId="25" fillId="15" borderId="55" xfId="5" applyNumberFormat="1" applyFont="1" applyBorder="1" applyAlignment="1">
      <alignment horizontal="center" wrapText="1"/>
    </xf>
    <xf numFmtId="0" fontId="25" fillId="15" borderId="74" xfId="5" applyFont="1" applyBorder="1" applyAlignment="1">
      <alignment horizontal="center" wrapText="1"/>
    </xf>
    <xf numFmtId="43" fontId="20" fillId="13" borderId="56" xfId="3" applyNumberFormat="1" applyBorder="1"/>
    <xf numFmtId="1" fontId="26" fillId="0" borderId="56" xfId="2" applyNumberFormat="1" applyFont="1" applyFill="1" applyBorder="1" applyAlignment="1">
      <alignment horizontal="center"/>
    </xf>
    <xf numFmtId="1" fontId="0" fillId="0" borderId="56" xfId="0" applyNumberFormat="1" applyBorder="1" applyAlignment="1">
      <alignment horizontal="center"/>
    </xf>
    <xf numFmtId="43" fontId="20" fillId="13" borderId="58" xfId="3" applyNumberFormat="1" applyBorder="1"/>
    <xf numFmtId="1" fontId="26" fillId="0" borderId="58" xfId="2" applyNumberFormat="1" applyFont="1" applyFill="1" applyBorder="1" applyAlignment="1">
      <alignment horizontal="center"/>
    </xf>
    <xf numFmtId="1" fontId="0" fillId="0" borderId="58" xfId="0" applyNumberFormat="1" applyBorder="1" applyAlignment="1">
      <alignment horizontal="center"/>
    </xf>
    <xf numFmtId="0" fontId="1" fillId="0" borderId="65" xfId="0" applyFont="1" applyBorder="1"/>
    <xf numFmtId="1" fontId="27" fillId="0" borderId="45" xfId="2" applyNumberFormat="1" applyFont="1" applyFill="1" applyBorder="1" applyAlignment="1">
      <alignment horizontal="center"/>
    </xf>
    <xf numFmtId="1" fontId="1" fillId="0" borderId="36" xfId="0" applyNumberFormat="1" applyFont="1" applyBorder="1" applyAlignment="1">
      <alignment horizontal="center"/>
    </xf>
    <xf numFmtId="0" fontId="0" fillId="0" borderId="56" xfId="0" applyBorder="1" applyAlignment="1">
      <alignment horizontal="center"/>
    </xf>
    <xf numFmtId="0" fontId="0" fillId="0" borderId="58" xfId="0" applyBorder="1" applyAlignment="1">
      <alignment horizontal="center"/>
    </xf>
    <xf numFmtId="0" fontId="25" fillId="15" borderId="61" xfId="5" applyFont="1" applyBorder="1" applyAlignment="1">
      <alignment horizontal="center" wrapText="1"/>
    </xf>
    <xf numFmtId="0" fontId="20" fillId="13" borderId="66" xfId="3" applyBorder="1" applyAlignment="1">
      <alignment horizontal="center"/>
    </xf>
    <xf numFmtId="0" fontId="18" fillId="0" borderId="56" xfId="0" applyFont="1" applyFill="1" applyBorder="1" applyAlignment="1">
      <alignment horizontal="center" vertical="center"/>
    </xf>
    <xf numFmtId="0" fontId="20" fillId="13" borderId="56" xfId="3" applyBorder="1" applyAlignment="1">
      <alignment horizontal="center"/>
    </xf>
    <xf numFmtId="0" fontId="0" fillId="0" borderId="56" xfId="0" applyFont="1" applyBorder="1" applyAlignment="1">
      <alignment horizontal="center"/>
    </xf>
    <xf numFmtId="0" fontId="7" fillId="0" borderId="77" xfId="0" applyFont="1" applyBorder="1" applyAlignment="1">
      <alignment horizontal="center"/>
    </xf>
    <xf numFmtId="0" fontId="7" fillId="0" borderId="78" xfId="0" applyFont="1" applyBorder="1" applyAlignment="1">
      <alignment horizontal="center"/>
    </xf>
    <xf numFmtId="0" fontId="7" fillId="0" borderId="75" xfId="0" applyFont="1" applyBorder="1" applyAlignment="1">
      <alignment horizontal="center"/>
    </xf>
    <xf numFmtId="0" fontId="7" fillId="0" borderId="79" xfId="0" applyFont="1" applyBorder="1" applyAlignment="1">
      <alignment horizontal="center"/>
    </xf>
    <xf numFmtId="0" fontId="4" fillId="0" borderId="0" xfId="0" applyFont="1" applyBorder="1" applyAlignment="1"/>
    <xf numFmtId="0" fontId="20" fillId="13" borderId="58" xfId="3" applyBorder="1" applyAlignment="1">
      <alignment horizontal="center"/>
    </xf>
    <xf numFmtId="0" fontId="0" fillId="0" borderId="58" xfId="0" applyFont="1" applyBorder="1" applyAlignment="1">
      <alignment horizontal="center"/>
    </xf>
    <xf numFmtId="0" fontId="4" fillId="0" borderId="65" xfId="0" applyFont="1" applyBorder="1" applyAlignment="1">
      <alignment horizontal="center"/>
    </xf>
    <xf numFmtId="1" fontId="4" fillId="0" borderId="45" xfId="0" applyNumberFormat="1" applyFont="1" applyBorder="1" applyAlignment="1">
      <alignment horizontal="center"/>
    </xf>
    <xf numFmtId="1" fontId="4" fillId="0" borderId="36" xfId="0" applyNumberFormat="1" applyFont="1" applyBorder="1" applyAlignment="1">
      <alignment horizontal="center"/>
    </xf>
    <xf numFmtId="0" fontId="25" fillId="15" borderId="80" xfId="5" applyFont="1" applyBorder="1" applyAlignment="1">
      <alignment horizontal="center" wrapText="1"/>
    </xf>
    <xf numFmtId="0" fontId="25" fillId="15" borderId="80" xfId="5" applyFont="1" applyFill="1" applyBorder="1" applyAlignment="1">
      <alignment horizontal="center" wrapText="1"/>
    </xf>
    <xf numFmtId="0" fontId="25" fillId="15" borderId="81" xfId="5" applyFont="1" applyBorder="1" applyAlignment="1">
      <alignment horizontal="center" wrapText="1"/>
    </xf>
    <xf numFmtId="0" fontId="25" fillId="15" borderId="61" xfId="5" applyFont="1" applyBorder="1" applyAlignment="1">
      <alignment horizontal="center" vertical="center" wrapText="1"/>
    </xf>
    <xf numFmtId="1" fontId="19" fillId="16" borderId="70" xfId="6" applyNumberFormat="1" applyBorder="1" applyAlignment="1">
      <alignment horizontal="center"/>
    </xf>
    <xf numFmtId="1" fontId="5" fillId="0" borderId="25" xfId="0" applyNumberFormat="1" applyFont="1" applyBorder="1" applyAlignment="1">
      <alignment horizontal="center"/>
    </xf>
    <xf numFmtId="0" fontId="23" fillId="0" borderId="13" xfId="0" applyFont="1" applyBorder="1" applyAlignment="1">
      <alignment horizontal="center"/>
    </xf>
    <xf numFmtId="2" fontId="23" fillId="0" borderId="14" xfId="0" applyNumberFormat="1" applyFont="1" applyBorder="1" applyAlignment="1">
      <alignment horizontal="center"/>
    </xf>
    <xf numFmtId="0" fontId="25" fillId="15" borderId="80" xfId="5" applyFont="1" applyBorder="1" applyAlignment="1">
      <alignment horizontal="center" vertical="center" wrapText="1"/>
    </xf>
    <xf numFmtId="0" fontId="25" fillId="15" borderId="80" xfId="5" applyFont="1" applyFill="1" applyBorder="1" applyAlignment="1">
      <alignment horizontal="center" vertical="center" wrapText="1"/>
    </xf>
    <xf numFmtId="0" fontId="25" fillId="15" borderId="81" xfId="5" applyFont="1" applyBorder="1" applyAlignment="1">
      <alignment horizontal="center" vertical="center" wrapText="1"/>
    </xf>
    <xf numFmtId="1" fontId="21" fillId="14" borderId="21" xfId="4" applyNumberFormat="1" applyBorder="1" applyAlignment="1">
      <alignment horizontal="center"/>
    </xf>
    <xf numFmtId="1" fontId="0" fillId="0" borderId="0" xfId="0" applyNumberFormat="1" applyBorder="1"/>
    <xf numFmtId="1" fontId="8" fillId="0" borderId="56" xfId="1" applyNumberFormat="1" applyBorder="1" applyAlignment="1">
      <alignment horizontal="center" vertical="center"/>
    </xf>
    <xf numFmtId="1" fontId="0" fillId="0" borderId="56" xfId="0" applyNumberFormat="1" applyBorder="1" applyAlignment="1">
      <alignment horizontal="center" vertical="center"/>
    </xf>
    <xf numFmtId="1" fontId="0" fillId="0" borderId="58" xfId="0" applyNumberFormat="1" applyBorder="1" applyAlignment="1">
      <alignment horizontal="center" vertical="center"/>
    </xf>
    <xf numFmtId="1" fontId="8" fillId="0" borderId="58" xfId="1" applyNumberFormat="1" applyBorder="1" applyAlignment="1">
      <alignment horizontal="center" vertical="center"/>
    </xf>
    <xf numFmtId="1" fontId="21" fillId="14" borderId="45" xfId="4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4" fillId="0" borderId="7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center" vertical="center"/>
    </xf>
    <xf numFmtId="0" fontId="5" fillId="3" borderId="23" xfId="0" applyFont="1" applyFill="1" applyBorder="1" applyAlignment="1">
      <alignment horizontal="center" vertical="center"/>
    </xf>
    <xf numFmtId="0" fontId="5" fillId="3" borderId="18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5" xfId="0" applyFont="1" applyFill="1" applyBorder="1" applyAlignment="1">
      <alignment horizontal="center" vertical="center"/>
    </xf>
    <xf numFmtId="0" fontId="5" fillId="3" borderId="16" xfId="0" applyFont="1" applyFill="1" applyBorder="1" applyAlignment="1">
      <alignment horizontal="center" vertical="center"/>
    </xf>
    <xf numFmtId="0" fontId="5" fillId="3" borderId="10" xfId="0" applyFont="1" applyFill="1" applyBorder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8" xfId="0" applyFont="1" applyBorder="1" applyAlignment="1">
      <alignment horizontal="center" vertical="center"/>
    </xf>
    <xf numFmtId="0" fontId="5" fillId="6" borderId="23" xfId="0" applyFont="1" applyFill="1" applyBorder="1" applyAlignment="1">
      <alignment horizontal="center" vertical="center"/>
    </xf>
    <xf numFmtId="0" fontId="5" fillId="6" borderId="4" xfId="0" applyFont="1" applyFill="1" applyBorder="1" applyAlignment="1">
      <alignment horizontal="center" vertical="center"/>
    </xf>
    <xf numFmtId="0" fontId="5" fillId="6" borderId="16" xfId="0" applyFont="1" applyFill="1" applyBorder="1" applyAlignment="1">
      <alignment horizontal="center" vertical="center"/>
    </xf>
    <xf numFmtId="0" fontId="5" fillId="6" borderId="18" xfId="0" applyFont="1" applyFill="1" applyBorder="1" applyAlignment="1">
      <alignment horizontal="center" vertical="center"/>
    </xf>
    <xf numFmtId="0" fontId="5" fillId="6" borderId="25" xfId="0" applyFont="1" applyFill="1" applyBorder="1" applyAlignment="1">
      <alignment horizontal="center" vertical="center"/>
    </xf>
    <xf numFmtId="0" fontId="5" fillId="6" borderId="10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4" fillId="10" borderId="63" xfId="0" applyFont="1" applyFill="1" applyBorder="1" applyAlignment="1">
      <alignment horizontal="center"/>
    </xf>
    <xf numFmtId="0" fontId="4" fillId="10" borderId="64" xfId="0" applyFont="1" applyFill="1" applyBorder="1" applyAlignment="1">
      <alignment horizontal="center"/>
    </xf>
    <xf numFmtId="0" fontId="5" fillId="3" borderId="61" xfId="0" applyFont="1" applyFill="1" applyBorder="1" applyAlignment="1">
      <alignment horizontal="center" vertical="center"/>
    </xf>
    <xf numFmtId="0" fontId="5" fillId="3" borderId="51" xfId="0" applyFont="1" applyFill="1" applyBorder="1" applyAlignment="1">
      <alignment horizontal="center" vertical="center"/>
    </xf>
    <xf numFmtId="0" fontId="4" fillId="0" borderId="57" xfId="0" applyFont="1" applyBorder="1" applyAlignment="1">
      <alignment horizontal="center"/>
    </xf>
    <xf numFmtId="0" fontId="4" fillId="0" borderId="55" xfId="0" applyFont="1" applyBorder="1" applyAlignment="1">
      <alignment horizontal="center"/>
    </xf>
    <xf numFmtId="0" fontId="4" fillId="0" borderId="54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5" fillId="4" borderId="57" xfId="0" applyFont="1" applyFill="1" applyBorder="1" applyAlignment="1">
      <alignment horizontal="center"/>
    </xf>
    <xf numFmtId="0" fontId="5" fillId="4" borderId="55" xfId="0" applyFont="1" applyFill="1" applyBorder="1" applyAlignment="1">
      <alignment horizontal="center"/>
    </xf>
    <xf numFmtId="0" fontId="5" fillId="4" borderId="54" xfId="0" applyFont="1" applyFill="1" applyBorder="1" applyAlignment="1">
      <alignment horizontal="center"/>
    </xf>
    <xf numFmtId="0" fontId="5" fillId="5" borderId="6" xfId="0" applyFont="1" applyFill="1" applyBorder="1" applyAlignment="1">
      <alignment horizontal="center"/>
    </xf>
    <xf numFmtId="0" fontId="5" fillId="5" borderId="7" xfId="0" applyFont="1" applyFill="1" applyBorder="1" applyAlignment="1">
      <alignment horizontal="center"/>
    </xf>
    <xf numFmtId="0" fontId="5" fillId="5" borderId="8" xfId="0" applyFont="1" applyFill="1" applyBorder="1" applyAlignment="1">
      <alignment horizontal="center"/>
    </xf>
    <xf numFmtId="0" fontId="5" fillId="0" borderId="12" xfId="0" applyFont="1" applyBorder="1" applyAlignment="1">
      <alignment horizontal="center" vertical="center"/>
    </xf>
    <xf numFmtId="0" fontId="4" fillId="0" borderId="0" xfId="0" applyFont="1" applyBorder="1" applyAlignment="1">
      <alignment horizontal="center"/>
    </xf>
    <xf numFmtId="0" fontId="4" fillId="0" borderId="20" xfId="0" applyFont="1" applyBorder="1" applyAlignment="1">
      <alignment horizontal="center"/>
    </xf>
    <xf numFmtId="0" fontId="4" fillId="0" borderId="21" xfId="0" applyFont="1" applyBorder="1" applyAlignment="1">
      <alignment horizontal="center"/>
    </xf>
    <xf numFmtId="0" fontId="4" fillId="0" borderId="18" xfId="0" applyFont="1" applyBorder="1" applyAlignment="1">
      <alignment horizontal="center"/>
    </xf>
    <xf numFmtId="0" fontId="5" fillId="7" borderId="23" xfId="0" applyFont="1" applyFill="1" applyBorder="1" applyAlignment="1">
      <alignment horizontal="center" vertical="center"/>
    </xf>
    <xf numFmtId="0" fontId="5" fillId="7" borderId="1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25" xfId="0" applyFont="1" applyFill="1" applyBorder="1" applyAlignment="1">
      <alignment horizontal="center" vertical="center"/>
    </xf>
    <xf numFmtId="0" fontId="5" fillId="7" borderId="16" xfId="0" applyFont="1" applyFill="1" applyBorder="1" applyAlignment="1">
      <alignment horizontal="center" vertical="center"/>
    </xf>
    <xf numFmtId="0" fontId="5" fillId="7" borderId="10" xfId="0" applyFont="1" applyFill="1" applyBorder="1" applyAlignment="1">
      <alignment horizontal="center" vertical="center"/>
    </xf>
    <xf numFmtId="0" fontId="5" fillId="7" borderId="61" xfId="0" applyFont="1" applyFill="1" applyBorder="1" applyAlignment="1">
      <alignment horizontal="center"/>
    </xf>
    <xf numFmtId="0" fontId="5" fillId="7" borderId="51" xfId="0" applyFont="1" applyFill="1" applyBorder="1" applyAlignment="1">
      <alignment horizontal="center"/>
    </xf>
    <xf numFmtId="0" fontId="5" fillId="7" borderId="23" xfId="0" applyFont="1" applyFill="1" applyBorder="1" applyAlignment="1">
      <alignment horizontal="center"/>
    </xf>
    <xf numFmtId="0" fontId="5" fillId="7" borderId="18" xfId="0" applyFont="1" applyFill="1" applyBorder="1" applyAlignment="1">
      <alignment horizontal="center"/>
    </xf>
    <xf numFmtId="0" fontId="4" fillId="7" borderId="62" xfId="0" applyFont="1" applyFill="1" applyBorder="1" applyAlignment="1">
      <alignment horizontal="center"/>
    </xf>
    <xf numFmtId="0" fontId="4" fillId="7" borderId="7" xfId="0" applyFont="1" applyFill="1" applyBorder="1" applyAlignment="1">
      <alignment horizontal="center"/>
    </xf>
    <xf numFmtId="0" fontId="5" fillId="0" borderId="45" xfId="0" applyFont="1" applyFill="1" applyBorder="1" applyAlignment="1">
      <alignment horizontal="center"/>
    </xf>
    <xf numFmtId="0" fontId="5" fillId="0" borderId="36" xfId="0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0" fontId="5" fillId="0" borderId="0" xfId="0" applyFont="1" applyFill="1" applyBorder="1" applyAlignment="1">
      <alignment horizontal="center"/>
    </xf>
    <xf numFmtId="0" fontId="5" fillId="11" borderId="35" xfId="0" applyFont="1" applyFill="1" applyBorder="1" applyAlignment="1">
      <alignment horizontal="center"/>
    </xf>
    <xf numFmtId="0" fontId="5" fillId="11" borderId="33" xfId="0" applyFont="1" applyFill="1" applyBorder="1" applyAlignment="1">
      <alignment horizontal="center"/>
    </xf>
    <xf numFmtId="0" fontId="5" fillId="11" borderId="24" xfId="0" applyFont="1" applyFill="1" applyBorder="1" applyAlignment="1">
      <alignment horizontal="center" vertical="center"/>
    </xf>
    <xf numFmtId="0" fontId="5" fillId="11" borderId="12" xfId="0" applyFont="1" applyFill="1" applyBorder="1" applyAlignment="1">
      <alignment horizontal="center" vertical="center"/>
    </xf>
    <xf numFmtId="0" fontId="5" fillId="11" borderId="28" xfId="0" applyFont="1" applyFill="1" applyBorder="1" applyAlignment="1">
      <alignment horizontal="center" vertical="center"/>
    </xf>
    <xf numFmtId="0" fontId="5" fillId="0" borderId="20" xfId="0" applyFont="1" applyBorder="1" applyAlignment="1">
      <alignment horizontal="center"/>
    </xf>
    <xf numFmtId="0" fontId="5" fillId="0" borderId="21" xfId="0" applyFont="1" applyBorder="1" applyAlignment="1">
      <alignment horizontal="center"/>
    </xf>
    <xf numFmtId="0" fontId="5" fillId="11" borderId="35" xfId="0" applyFont="1" applyFill="1" applyBorder="1" applyAlignment="1">
      <alignment horizontal="center" vertical="center"/>
    </xf>
    <xf numFmtId="0" fontId="5" fillId="11" borderId="29" xfId="0" applyFont="1" applyFill="1" applyBorder="1" applyAlignment="1">
      <alignment horizontal="center" vertical="center"/>
    </xf>
    <xf numFmtId="0" fontId="5" fillId="11" borderId="33" xfId="0" applyFont="1" applyFill="1" applyBorder="1" applyAlignment="1">
      <alignment horizontal="center" vertical="center"/>
    </xf>
    <xf numFmtId="0" fontId="24" fillId="0" borderId="20" xfId="0" applyFont="1" applyBorder="1" applyAlignment="1">
      <alignment horizontal="center" vertical="center"/>
    </xf>
    <xf numFmtId="0" fontId="24" fillId="0" borderId="21" xfId="0" applyFont="1" applyBorder="1" applyAlignment="1">
      <alignment horizontal="center" vertical="center"/>
    </xf>
    <xf numFmtId="0" fontId="24" fillId="0" borderId="18" xfId="0" applyFont="1" applyBorder="1" applyAlignment="1">
      <alignment horizontal="center" vertical="center"/>
    </xf>
    <xf numFmtId="0" fontId="24" fillId="0" borderId="26" xfId="0" applyFont="1" applyBorder="1" applyAlignment="1">
      <alignment horizontal="center" vertical="center"/>
    </xf>
    <xf numFmtId="0" fontId="24" fillId="0" borderId="0" xfId="0" applyFont="1" applyBorder="1" applyAlignment="1">
      <alignment horizontal="center" vertical="center"/>
    </xf>
    <xf numFmtId="0" fontId="24" fillId="0" borderId="25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4" fillId="0" borderId="18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24" fillId="0" borderId="13" xfId="0" applyFont="1" applyBorder="1" applyAlignment="1">
      <alignment horizontal="center" vertical="center"/>
    </xf>
    <xf numFmtId="0" fontId="24" fillId="0" borderId="14" xfId="0" applyFont="1" applyBorder="1" applyAlignment="1">
      <alignment horizontal="center" vertical="center"/>
    </xf>
    <xf numFmtId="0" fontId="24" fillId="0" borderId="10" xfId="0" applyFont="1" applyBorder="1" applyAlignment="1">
      <alignment horizontal="center" vertical="center"/>
    </xf>
    <xf numFmtId="0" fontId="4" fillId="0" borderId="57" xfId="0" applyFont="1" applyBorder="1" applyAlignment="1">
      <alignment horizontal="center" vertical="center"/>
    </xf>
    <xf numFmtId="0" fontId="4" fillId="0" borderId="55" xfId="0" applyFont="1" applyBorder="1" applyAlignment="1">
      <alignment horizontal="center" vertical="center"/>
    </xf>
    <xf numFmtId="0" fontId="4" fillId="0" borderId="54" xfId="0" applyFont="1" applyBorder="1" applyAlignment="1">
      <alignment horizontal="center" vertical="center"/>
    </xf>
    <xf numFmtId="0" fontId="4" fillId="0" borderId="76" xfId="0" applyFont="1" applyBorder="1" applyAlignment="1">
      <alignment horizontal="center" vertical="center"/>
    </xf>
    <xf numFmtId="0" fontId="4" fillId="0" borderId="47" xfId="0" applyFont="1" applyBorder="1" applyAlignment="1">
      <alignment horizontal="center" vertical="center"/>
    </xf>
    <xf numFmtId="0" fontId="4" fillId="0" borderId="59" xfId="0" applyFont="1" applyBorder="1" applyAlignment="1">
      <alignment horizontal="center" vertical="center"/>
    </xf>
  </cellXfs>
  <cellStyles count="7">
    <cellStyle name="40% - Accent1" xfId="6" builtinId="31"/>
    <cellStyle name="Bad" xfId="4" builtinId="27"/>
    <cellStyle name="Comma" xfId="2" builtinId="3"/>
    <cellStyle name="Good" xfId="3" builtinId="26"/>
    <cellStyle name="Neutral" xfId="5" builtinId="28"/>
    <cellStyle name="Normal" xfId="0" builtinId="0"/>
    <cellStyle name="Normal 2" xfId="1"/>
  </cellStyles>
  <dxfs count="8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fill>
        <patternFill patternType="none">
          <fgColor indexed="64"/>
          <bgColor auto="1"/>
        </patternFill>
      </fill>
      <alignment horizontal="center" vertical="bottom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  <border outline="0">
        <right style="thin">
          <color indexed="64"/>
        </right>
      </border>
    </dxf>
    <dxf>
      <font>
        <strike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auto="1"/>
        </patternFill>
      </fill>
    </dxf>
    <dxf>
      <border>
        <bottom style="thin">
          <color indexed="64"/>
        </bottom>
      </border>
    </dxf>
    <dxf>
      <font>
        <b/>
      </font>
      <alignment horizontal="center" vertical="bottom" textRotation="0" wrapText="1" indent="0" justifyLastLine="0" shrinkToFit="0" readingOrder="0"/>
      <border diagonalUp="0" diagonalDown="0" outline="0">
        <left style="medium">
          <color auto="1"/>
        </left>
        <right style="medium">
          <color auto="1"/>
        </right>
        <top/>
        <bottom/>
      </border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01-4EFF-ACD1-E1908AA1E1BB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'Shut-off lambda'!$P$3:$P$56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01-4EFF-ACD1-E1908AA1E1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346432"/>
        <c:axId val="178938624"/>
      </c:barChart>
      <c:catAx>
        <c:axId val="1793464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8938624"/>
        <c:crosses val="autoZero"/>
        <c:auto val="1"/>
        <c:lblAlgn val="ctr"/>
        <c:lblOffset val="100"/>
        <c:noMultiLvlLbl val="0"/>
      </c:catAx>
      <c:valAx>
        <c:axId val="1789386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346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0B-4AC6-B032-40C2530440A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0B-4AC6-B032-40C2530440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33856"/>
        <c:axId val="179839744"/>
      </c:barChart>
      <c:catAx>
        <c:axId val="1798338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839744"/>
        <c:crosses val="autoZero"/>
        <c:auto val="1"/>
        <c:lblAlgn val="ctr"/>
        <c:lblOffset val="100"/>
        <c:noMultiLvlLbl val="0"/>
      </c:catAx>
      <c:valAx>
        <c:axId val="1798397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33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C6C-4C0F-A180-CB8FF9EA7664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BDF!$A$3:$B$56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BDF!$S$3:$S$56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C6C-4C0F-A180-CB8FF9EA76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881856"/>
        <c:axId val="179883392"/>
      </c:barChart>
      <c:catAx>
        <c:axId val="1798818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883392"/>
        <c:crosses val="autoZero"/>
        <c:auto val="1"/>
        <c:lblAlgn val="ctr"/>
        <c:lblOffset val="100"/>
        <c:noMultiLvlLbl val="0"/>
      </c:catAx>
      <c:valAx>
        <c:axId val="1798833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8818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BDF!$Z$21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BDF!$Y$22:$Y$31</c:f>
              <c:strCache>
                <c:ptCount val="10"/>
                <c:pt idx="0">
                  <c:v>D -H</c:v>
                </c:pt>
                <c:pt idx="1">
                  <c:v>L - N</c:v>
                </c:pt>
                <c:pt idx="2">
                  <c:v>F - L </c:v>
                </c:pt>
                <c:pt idx="3">
                  <c:v>F - N</c:v>
                </c:pt>
                <c:pt idx="4">
                  <c:v>L - S</c:v>
                </c:pt>
                <c:pt idx="5">
                  <c:v>M - S</c:v>
                </c:pt>
                <c:pt idx="6">
                  <c:v>N - S</c:v>
                </c:pt>
                <c:pt idx="7">
                  <c:v>F -H </c:v>
                </c:pt>
                <c:pt idx="8">
                  <c:v>F - K</c:v>
                </c:pt>
                <c:pt idx="9">
                  <c:v>Total </c:v>
                </c:pt>
              </c:strCache>
            </c:strRef>
          </c:cat>
          <c:val>
            <c:numRef>
              <c:f>BDF!$Z$22:$Z$31</c:f>
              <c:numCache>
                <c:formatCode>General</c:formatCode>
                <c:ptCount val="10"/>
                <c:pt idx="0">
                  <c:v>23.22</c:v>
                </c:pt>
                <c:pt idx="1">
                  <c:v>101.41</c:v>
                </c:pt>
                <c:pt idx="2">
                  <c:v>233.83</c:v>
                </c:pt>
                <c:pt idx="3">
                  <c:v>16.190000000000001</c:v>
                </c:pt>
                <c:pt idx="4">
                  <c:v>97.22</c:v>
                </c:pt>
                <c:pt idx="5">
                  <c:v>84.21</c:v>
                </c:pt>
                <c:pt idx="6">
                  <c:v>46.58</c:v>
                </c:pt>
                <c:pt idx="7">
                  <c:v>74.83</c:v>
                </c:pt>
                <c:pt idx="8">
                  <c:v>30</c:v>
                </c:pt>
                <c:pt idx="9">
                  <c:v>707.49000000000012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06-4299-829E-F75CADCB32F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5938688"/>
        <c:axId val="185940224"/>
      </c:barChart>
      <c:catAx>
        <c:axId val="18593868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5940224"/>
        <c:crosses val="autoZero"/>
        <c:auto val="1"/>
        <c:lblAlgn val="ctr"/>
        <c:lblOffset val="100"/>
        <c:noMultiLvlLbl val="0"/>
      </c:catAx>
      <c:valAx>
        <c:axId val="1859402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593868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9B9-49A6-8E3B-D088F681A549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9B9-49A6-8E3B-D088F681A5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179968"/>
        <c:axId val="186181504"/>
      </c:barChart>
      <c:catAx>
        <c:axId val="18617996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6181504"/>
        <c:crosses val="autoZero"/>
        <c:auto val="1"/>
        <c:lblAlgn val="ctr"/>
        <c:lblOffset val="100"/>
        <c:noMultiLvlLbl val="0"/>
      </c:catAx>
      <c:valAx>
        <c:axId val="18618150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179968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82-4A4F-91A7-139797A4991A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SDF!$A$3:$B$56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SDF!$S$3:$S$56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682-4A4F-91A7-139797A49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342400"/>
        <c:axId val="186352384"/>
      </c:barChart>
      <c:catAx>
        <c:axId val="1863424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6352384"/>
        <c:crosses val="autoZero"/>
        <c:auto val="1"/>
        <c:lblAlgn val="ctr"/>
        <c:lblOffset val="100"/>
        <c:noMultiLvlLbl val="0"/>
      </c:catAx>
      <c:valAx>
        <c:axId val="18635238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3424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SDF!$Z$26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SDF!$Y$27:$Y$33</c:f>
              <c:strCache>
                <c:ptCount val="7"/>
                <c:pt idx="6">
                  <c:v>Total </c:v>
                </c:pt>
              </c:strCache>
            </c:strRef>
          </c:cat>
          <c:val>
            <c:numRef>
              <c:f>SDF!$Z$27:$Z$33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79-4DF7-B3D4-41DE2EE18567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6455936"/>
        <c:axId val="186457472"/>
      </c:barChart>
      <c:catAx>
        <c:axId val="1864559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6457472"/>
        <c:crosses val="autoZero"/>
        <c:auto val="1"/>
        <c:lblAlgn val="ctr"/>
        <c:lblOffset val="100"/>
        <c:noMultiLvlLbl val="0"/>
      </c:catAx>
      <c:valAx>
        <c:axId val="18645747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6455936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'Single-hop Reroute'!$U$35</c:f>
              <c:strCache>
                <c:ptCount val="1"/>
                <c:pt idx="0">
                  <c:v>No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numRef>
              <c:f>'Single-hop Reroute'!$T$36:$T$53</c:f>
              <c:numCache>
                <c:formatCode>General</c:formatCode>
                <c:ptCount val="18"/>
                <c:pt idx="0">
                  <c:v>139.613775</c:v>
                </c:pt>
                <c:pt idx="1">
                  <c:v>336.50400000000002</c:v>
                </c:pt>
                <c:pt idx="2">
                  <c:v>-134.64247499999999</c:v>
                </c:pt>
                <c:pt idx="3">
                  <c:v>-64.61587499999996</c:v>
                </c:pt>
                <c:pt idx="4">
                  <c:v>124.64475000000002</c:v>
                </c:pt>
                <c:pt idx="5">
                  <c:v>137.88914999999997</c:v>
                </c:pt>
                <c:pt idx="6">
                  <c:v>131.49877500000002</c:v>
                </c:pt>
                <c:pt idx="7">
                  <c:v>89.747497500000009</c:v>
                </c:pt>
                <c:pt idx="8">
                  <c:v>99.568627500000005</c:v>
                </c:pt>
                <c:pt idx="9">
                  <c:v>168.06060000000002</c:v>
                </c:pt>
                <c:pt idx="10">
                  <c:v>63.664275000000004</c:v>
                </c:pt>
                <c:pt idx="11">
                  <c:v>84.323624999999993</c:v>
                </c:pt>
                <c:pt idx="12">
                  <c:v>115.377</c:v>
                </c:pt>
                <c:pt idx="13">
                  <c:v>168.06060000000002</c:v>
                </c:pt>
                <c:pt idx="14">
                  <c:v>115.377</c:v>
                </c:pt>
                <c:pt idx="15">
                  <c:v>115.377</c:v>
                </c:pt>
                <c:pt idx="16">
                  <c:v>97.343525</c:v>
                </c:pt>
                <c:pt idx="17">
                  <c:v>84.323624999999993</c:v>
                </c:pt>
              </c:numCache>
            </c:numRef>
          </c:cat>
          <c:val>
            <c:numRef>
              <c:f>'Single-hop Reroute'!$U$36:$U$53</c:f>
              <c:numCache>
                <c:formatCode>General</c:formatCode>
                <c:ptCount val="1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B6-41FC-9D0B-61A32E6656B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819456"/>
        <c:axId val="180820992"/>
      </c:barChart>
      <c:catAx>
        <c:axId val="180819456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80820992"/>
        <c:crosses val="autoZero"/>
        <c:auto val="1"/>
        <c:lblAlgn val="ctr"/>
        <c:lblOffset val="100"/>
        <c:noMultiLvlLbl val="0"/>
      </c:catAx>
      <c:valAx>
        <c:axId val="18082099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8194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 Needed (G)</c:v>
          </c:tx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'Single-hop Reroute'!$Z$29:$Z$40</c:f>
              <c:strCache>
                <c:ptCount val="12"/>
                <c:pt idx="0">
                  <c:v>F - K </c:v>
                </c:pt>
                <c:pt idx="1">
                  <c:v>D - H</c:v>
                </c:pt>
                <c:pt idx="2">
                  <c:v>D - M</c:v>
                </c:pt>
                <c:pt idx="3">
                  <c:v>F - H</c:v>
                </c:pt>
                <c:pt idx="4">
                  <c:v>F - L </c:v>
                </c:pt>
                <c:pt idx="5">
                  <c:v>L - N</c:v>
                </c:pt>
                <c:pt idx="6">
                  <c:v>N - S</c:v>
                </c:pt>
                <c:pt idx="7">
                  <c:v>F - N</c:v>
                </c:pt>
                <c:pt idx="8">
                  <c:v>L - S</c:v>
                </c:pt>
                <c:pt idx="9">
                  <c:v>M - S</c:v>
                </c:pt>
                <c:pt idx="10">
                  <c:v>N - S</c:v>
                </c:pt>
                <c:pt idx="11">
                  <c:v>Total </c:v>
                </c:pt>
              </c:strCache>
            </c:strRef>
          </c:cat>
          <c:val>
            <c:numRef>
              <c:f>'Single-hop Reroute'!$AA$29:$AA$40</c:f>
              <c:numCache>
                <c:formatCode>General</c:formatCode>
                <c:ptCount val="12"/>
                <c:pt idx="0">
                  <c:v>35.950000000000003</c:v>
                </c:pt>
                <c:pt idx="1">
                  <c:v>29.07</c:v>
                </c:pt>
                <c:pt idx="2">
                  <c:v>11.52</c:v>
                </c:pt>
                <c:pt idx="3">
                  <c:v>119.59</c:v>
                </c:pt>
                <c:pt idx="4">
                  <c:v>296.52999999999997</c:v>
                </c:pt>
                <c:pt idx="5">
                  <c:v>142.13</c:v>
                </c:pt>
                <c:pt idx="6">
                  <c:v>80.77</c:v>
                </c:pt>
                <c:pt idx="7">
                  <c:v>37.57</c:v>
                </c:pt>
                <c:pt idx="8">
                  <c:v>118.61</c:v>
                </c:pt>
                <c:pt idx="9">
                  <c:v>105.59</c:v>
                </c:pt>
                <c:pt idx="10">
                  <c:v>27.91</c:v>
                </c:pt>
                <c:pt idx="11">
                  <c:v>977.33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43E-48BF-9054-C5929E9CA086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-25"/>
        <c:axId val="180875264"/>
        <c:axId val="180876800"/>
      </c:barChart>
      <c:catAx>
        <c:axId val="180875264"/>
        <c:scaling>
          <c:orientation val="maxMin"/>
        </c:scaling>
        <c:delete val="0"/>
        <c:axPos val="b"/>
        <c:numFmt formatCode="General" sourceLinked="0"/>
        <c:majorTickMark val="none"/>
        <c:minorTickMark val="none"/>
        <c:tickLblPos val="nextTo"/>
        <c:crossAx val="180876800"/>
        <c:crosses val="autoZero"/>
        <c:auto val="1"/>
        <c:lblAlgn val="ctr"/>
        <c:lblOffset val="100"/>
        <c:noMultiLvlLbl val="0"/>
      </c:catAx>
      <c:valAx>
        <c:axId val="180876800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8087526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NoRerouting!$Z$20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cat>
            <c:strRef>
              <c:f>NoRerouting!$Y$21:$Y$26</c:f>
              <c:strCache>
                <c:ptCount val="6"/>
                <c:pt idx="0">
                  <c:v>F - H</c:v>
                </c:pt>
                <c:pt idx="1">
                  <c:v>D - F</c:v>
                </c:pt>
                <c:pt idx="2">
                  <c:v>F - K </c:v>
                </c:pt>
                <c:pt idx="3">
                  <c:v>F - N</c:v>
                </c:pt>
                <c:pt idx="4">
                  <c:v>F - S</c:v>
                </c:pt>
                <c:pt idx="5">
                  <c:v>Total </c:v>
                </c:pt>
              </c:strCache>
            </c:strRef>
          </c:cat>
          <c:val>
            <c:numRef>
              <c:f>NoRerouting!$Z$21:$Z$26</c:f>
              <c:numCache>
                <c:formatCode>General</c:formatCode>
                <c:ptCount val="6"/>
                <c:pt idx="0">
                  <c:v>48.38</c:v>
                </c:pt>
                <c:pt idx="1">
                  <c:v>10.88</c:v>
                </c:pt>
                <c:pt idx="2">
                  <c:v>58.18</c:v>
                </c:pt>
                <c:pt idx="3">
                  <c:v>134.63999999999999</c:v>
                </c:pt>
                <c:pt idx="4">
                  <c:v>64.61</c:v>
                </c:pt>
                <c:pt idx="5">
                  <c:v>316.69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E0-4355-9516-7C8AF8DA5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955392"/>
        <c:axId val="180523008"/>
      </c:barChart>
      <c:catAx>
        <c:axId val="1809553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523008"/>
        <c:crosses val="autoZero"/>
        <c:auto val="1"/>
        <c:lblAlgn val="ctr"/>
        <c:lblOffset val="100"/>
        <c:noMultiLvlLbl val="0"/>
      </c:catAx>
      <c:valAx>
        <c:axId val="180523008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95539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5C-4C88-B9B6-EA9659D58EF4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5C-4C88-B9B6-EA9659D58E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345792"/>
        <c:axId val="191347328"/>
      </c:barChart>
      <c:catAx>
        <c:axId val="1913457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47328"/>
        <c:crosses val="autoZero"/>
        <c:auto val="1"/>
        <c:lblAlgn val="ctr"/>
        <c:lblOffset val="100"/>
        <c:noMultiLvlLbl val="0"/>
      </c:catAx>
      <c:valAx>
        <c:axId val="19134732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4579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DC-4515-B94E-087038724DF2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'Shut-off lambda'!$A$3:$B$56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0DC-4515-B94E-087038724D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517312"/>
        <c:axId val="179518848"/>
      </c:barChart>
      <c:catAx>
        <c:axId val="17951731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518848"/>
        <c:crosses val="autoZero"/>
        <c:auto val="1"/>
        <c:lblAlgn val="ctr"/>
        <c:lblOffset val="100"/>
        <c:noMultiLvlLbl val="0"/>
      </c:catAx>
      <c:valAx>
        <c:axId val="17951884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51731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677-40A3-813C-C677359083C5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'ES-EP'!$A$3:$B$56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'ES-EP'!$S$3:$S$56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677-40A3-813C-C677359083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016960"/>
        <c:axId val="191018496"/>
      </c:barChart>
      <c:catAx>
        <c:axId val="19101696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018496"/>
        <c:crosses val="autoZero"/>
        <c:auto val="1"/>
        <c:lblAlgn val="ctr"/>
        <c:lblOffset val="100"/>
        <c:noMultiLvlLbl val="0"/>
      </c:catAx>
      <c:valAx>
        <c:axId val="19101849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01696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'ES-EP'!$Z$26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'ES-EP'!$Y$27:$Y$33</c:f>
              <c:strCache>
                <c:ptCount val="7"/>
                <c:pt idx="0">
                  <c:v>F - H</c:v>
                </c:pt>
                <c:pt idx="1">
                  <c:v>F - K</c:v>
                </c:pt>
                <c:pt idx="2">
                  <c:v>F - N</c:v>
                </c:pt>
                <c:pt idx="3">
                  <c:v>F - S</c:v>
                </c:pt>
                <c:pt idx="6">
                  <c:v>Total </c:v>
                </c:pt>
              </c:strCache>
            </c:strRef>
          </c:cat>
          <c:val>
            <c:numRef>
              <c:f>'ES-EP'!$Z$27:$Z$33</c:f>
              <c:numCache>
                <c:formatCode>General</c:formatCode>
                <c:ptCount val="7"/>
                <c:pt idx="0">
                  <c:v>29</c:v>
                </c:pt>
                <c:pt idx="1">
                  <c:v>45</c:v>
                </c:pt>
                <c:pt idx="2">
                  <c:v>100</c:v>
                </c:pt>
                <c:pt idx="3">
                  <c:v>40</c:v>
                </c:pt>
                <c:pt idx="4">
                  <c:v>0</c:v>
                </c:pt>
                <c:pt idx="5">
                  <c:v>0</c:v>
                </c:pt>
                <c:pt idx="6">
                  <c:v>214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67A-4730-A8E9-1675C754D18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384192"/>
        <c:axId val="191390080"/>
      </c:barChart>
      <c:catAx>
        <c:axId val="19138419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390080"/>
        <c:crosses val="autoZero"/>
        <c:auto val="1"/>
        <c:lblAlgn val="ctr"/>
        <c:lblOffset val="100"/>
        <c:noMultiLvlLbl val="0"/>
      </c:catAx>
      <c:valAx>
        <c:axId val="1913900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38419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F86-4BE7-9641-780094E98FBC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F86-4BE7-9641-780094E98F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498496"/>
        <c:axId val="191537152"/>
      </c:barChart>
      <c:catAx>
        <c:axId val="191498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537152"/>
        <c:crosses val="autoZero"/>
        <c:auto val="1"/>
        <c:lblAlgn val="ctr"/>
        <c:lblOffset val="100"/>
        <c:noMultiLvlLbl val="0"/>
      </c:catAx>
      <c:valAx>
        <c:axId val="19153715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49849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05-4DBB-82A6-66C0A698FE25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'US-EP'!$A$3:$B$56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'US-EP'!$S$3:$S$56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805-4DBB-82A6-66C0A698FE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640704"/>
        <c:axId val="191642240"/>
      </c:barChart>
      <c:catAx>
        <c:axId val="1916407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42240"/>
        <c:crosses val="autoZero"/>
        <c:auto val="1"/>
        <c:lblAlgn val="ctr"/>
        <c:lblOffset val="100"/>
        <c:noMultiLvlLbl val="0"/>
      </c:catAx>
      <c:valAx>
        <c:axId val="19164224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407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'US-EP'!$Z$26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'US-EP'!$Y$27:$Y$33</c:f>
              <c:strCache>
                <c:ptCount val="7"/>
                <c:pt idx="0">
                  <c:v>F - H</c:v>
                </c:pt>
                <c:pt idx="1">
                  <c:v>F - K</c:v>
                </c:pt>
                <c:pt idx="2">
                  <c:v>F - N</c:v>
                </c:pt>
                <c:pt idx="3">
                  <c:v>F - S</c:v>
                </c:pt>
                <c:pt idx="6">
                  <c:v>Total </c:v>
                </c:pt>
              </c:strCache>
            </c:strRef>
          </c:cat>
          <c:val>
            <c:numRef>
              <c:f>'US-EP'!$Z$27:$Z$33</c:f>
              <c:numCache>
                <c:formatCode>General</c:formatCode>
                <c:ptCount val="7"/>
                <c:pt idx="0">
                  <c:v>17</c:v>
                </c:pt>
                <c:pt idx="1">
                  <c:v>33</c:v>
                </c:pt>
                <c:pt idx="2">
                  <c:v>70</c:v>
                </c:pt>
                <c:pt idx="3">
                  <c:v>21</c:v>
                </c:pt>
                <c:pt idx="4">
                  <c:v>0</c:v>
                </c:pt>
                <c:pt idx="5">
                  <c:v>0</c:v>
                </c:pt>
                <c:pt idx="6">
                  <c:v>141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295-4035-88DF-A05C80EE448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684608"/>
        <c:axId val="191686144"/>
      </c:barChart>
      <c:catAx>
        <c:axId val="191684608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686144"/>
        <c:crosses val="autoZero"/>
        <c:auto val="1"/>
        <c:lblAlgn val="ctr"/>
        <c:lblOffset val="100"/>
        <c:noMultiLvlLbl val="0"/>
      </c:catAx>
      <c:valAx>
        <c:axId val="19168614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684608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E5-4A6F-8A9F-DCD941BFCE92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7E5-4A6F-8A9F-DCD941BFCE9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823232"/>
        <c:axId val="180974720"/>
      </c:barChart>
      <c:catAx>
        <c:axId val="1918232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974720"/>
        <c:crosses val="autoZero"/>
        <c:auto val="1"/>
        <c:lblAlgn val="ctr"/>
        <c:lblOffset val="100"/>
        <c:noMultiLvlLbl val="0"/>
      </c:catAx>
      <c:valAx>
        <c:axId val="1809747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8232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93-4B46-97B2-EF039838ED4A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'US-UP'!$A$3:$B$56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'US-UP'!$S$3:$S$56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93-4B46-97B2-EF039838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596800"/>
        <c:axId val="191598592"/>
      </c:barChart>
      <c:catAx>
        <c:axId val="19159680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598592"/>
        <c:crosses val="autoZero"/>
        <c:auto val="1"/>
        <c:lblAlgn val="ctr"/>
        <c:lblOffset val="100"/>
        <c:noMultiLvlLbl val="0"/>
      </c:catAx>
      <c:valAx>
        <c:axId val="1915985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59680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'US-UP'!$Z$26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'US-UP'!$Y$27:$Y$33</c:f>
              <c:strCache>
                <c:ptCount val="7"/>
                <c:pt idx="6">
                  <c:v>Total </c:v>
                </c:pt>
              </c:strCache>
            </c:strRef>
          </c:cat>
          <c:val>
            <c:numRef>
              <c:f>'US-UP'!$Z$27:$Z$33</c:f>
              <c:numCache>
                <c:formatCode>General</c:formatCode>
                <c:ptCount val="7"/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4CC-4106-8257-9FA8C8F3646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1775872"/>
        <c:axId val="191777408"/>
      </c:barChart>
      <c:catAx>
        <c:axId val="19177587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777408"/>
        <c:crosses val="autoZero"/>
        <c:auto val="1"/>
        <c:lblAlgn val="ctr"/>
        <c:lblOffset val="100"/>
        <c:noMultiLvlLbl val="0"/>
      </c:catAx>
      <c:valAx>
        <c:axId val="191777408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775872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E7B-4C43-A77D-08F119A2D8E8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US!$T$3:$T$56</c:f>
              <c:numCache>
                <c:formatCode>General</c:formatCode>
                <c:ptCount val="54"/>
                <c:pt idx="0">
                  <c:v>51.034499999999994</c:v>
                </c:pt>
                <c:pt idx="1">
                  <c:v>90.181125000000009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25.844999999999999</c:v>
                </c:pt>
                <c:pt idx="5">
                  <c:v>73.857225</c:v>
                </c:pt>
                <c:pt idx="6">
                  <c:v>2.4721000000000117</c:v>
                </c:pt>
                <c:pt idx="7">
                  <c:v>-8.2500000000010232E-2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133.23750000000001</c:v>
                </c:pt>
                <c:pt idx="12">
                  <c:v>89.119374999999991</c:v>
                </c:pt>
                <c:pt idx="13">
                  <c:v>63.204849999999993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133.23750000000001</c:v>
                </c:pt>
                <c:pt idx="18">
                  <c:v>-8.4149999999993952E-2</c:v>
                </c:pt>
                <c:pt idx="19">
                  <c:v>137.88914999999997</c:v>
                </c:pt>
                <c:pt idx="20">
                  <c:v>131.92275000000001</c:v>
                </c:pt>
                <c:pt idx="21">
                  <c:v>133.23750000000001</c:v>
                </c:pt>
                <c:pt idx="23">
                  <c:v>-48.385649999999941</c:v>
                </c:pt>
                <c:pt idx="24">
                  <c:v>131.49877500000002</c:v>
                </c:pt>
                <c:pt idx="25">
                  <c:v>-10.880625000000009</c:v>
                </c:pt>
                <c:pt idx="26">
                  <c:v>160.92435</c:v>
                </c:pt>
                <c:pt idx="27">
                  <c:v>39.613775000000004</c:v>
                </c:pt>
                <c:pt idx="28">
                  <c:v>59.413724999999999</c:v>
                </c:pt>
                <c:pt idx="29">
                  <c:v>-58.180650000000014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-134.64247499999999</c:v>
                </c:pt>
                <c:pt idx="36">
                  <c:v>-64.61587499999996</c:v>
                </c:pt>
                <c:pt idx="37">
                  <c:v>124.64475000000002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89.747497500000009</c:v>
                </c:pt>
                <c:pt idx="41">
                  <c:v>99.568627500000005</c:v>
                </c:pt>
                <c:pt idx="42">
                  <c:v>168.06060000000002</c:v>
                </c:pt>
                <c:pt idx="43">
                  <c:v>63.664275000000004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124.64475000000002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E7B-4C43-A77D-08F119A2D8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22944"/>
        <c:axId val="191924480"/>
      </c:barChart>
      <c:catAx>
        <c:axId val="19192294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1924480"/>
        <c:crosses val="autoZero"/>
        <c:auto val="1"/>
        <c:lblAlgn val="ctr"/>
        <c:lblOffset val="100"/>
        <c:noMultiLvlLbl val="0"/>
      </c:catAx>
      <c:valAx>
        <c:axId val="1919244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2294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US!$J$3:$J$56</c:f>
              <c:numCache>
                <c:formatCode>General</c:formatCode>
                <c:ptCount val="54"/>
                <c:pt idx="0">
                  <c:v>200</c:v>
                </c:pt>
                <c:pt idx="1">
                  <c:v>200</c:v>
                </c:pt>
                <c:pt idx="2">
                  <c:v>150</c:v>
                </c:pt>
                <c:pt idx="3">
                  <c:v>600</c:v>
                </c:pt>
                <c:pt idx="4">
                  <c:v>250</c:v>
                </c:pt>
                <c:pt idx="5">
                  <c:v>150</c:v>
                </c:pt>
                <c:pt idx="6">
                  <c:v>300</c:v>
                </c:pt>
                <c:pt idx="7">
                  <c:v>200</c:v>
                </c:pt>
                <c:pt idx="8">
                  <c:v>450</c:v>
                </c:pt>
                <c:pt idx="9">
                  <c:v>400</c:v>
                </c:pt>
                <c:pt idx="10">
                  <c:v>200</c:v>
                </c:pt>
                <c:pt idx="12">
                  <c:v>400</c:v>
                </c:pt>
                <c:pt idx="13">
                  <c:v>300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200</c:v>
                </c:pt>
                <c:pt idx="18">
                  <c:v>200</c:v>
                </c:pt>
                <c:pt idx="19">
                  <c:v>450</c:v>
                </c:pt>
                <c:pt idx="20">
                  <c:v>200</c:v>
                </c:pt>
                <c:pt idx="21">
                  <c:v>200</c:v>
                </c:pt>
                <c:pt idx="23">
                  <c:v>600</c:v>
                </c:pt>
                <c:pt idx="24">
                  <c:v>450</c:v>
                </c:pt>
                <c:pt idx="25">
                  <c:v>400</c:v>
                </c:pt>
                <c:pt idx="26">
                  <c:v>300</c:v>
                </c:pt>
                <c:pt idx="27">
                  <c:v>300</c:v>
                </c:pt>
                <c:pt idx="28">
                  <c:v>400</c:v>
                </c:pt>
                <c:pt idx="29">
                  <c:v>250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750</c:v>
                </c:pt>
                <c:pt idx="36">
                  <c:v>1000</c:v>
                </c:pt>
                <c:pt idx="37">
                  <c:v>400</c:v>
                </c:pt>
                <c:pt idx="38">
                  <c:v>450</c:v>
                </c:pt>
                <c:pt idx="39">
                  <c:v>450</c:v>
                </c:pt>
                <c:pt idx="40">
                  <c:v>250</c:v>
                </c:pt>
                <c:pt idx="41">
                  <c:v>200</c:v>
                </c:pt>
                <c:pt idx="42">
                  <c:v>300</c:v>
                </c:pt>
                <c:pt idx="43">
                  <c:v>200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400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CAD-4226-B9A7-56762DE4568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US!$A$3:$B$56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US!$S$3:$S$56</c:f>
              <c:numCache>
                <c:formatCode>General</c:formatCode>
                <c:ptCount val="54"/>
                <c:pt idx="0">
                  <c:v>150</c:v>
                </c:pt>
                <c:pt idx="1">
                  <c:v>150</c:v>
                </c:pt>
                <c:pt idx="2">
                  <c:v>150</c:v>
                </c:pt>
                <c:pt idx="3">
                  <c:v>600</c:v>
                </c:pt>
                <c:pt idx="4">
                  <c:v>150</c:v>
                </c:pt>
                <c:pt idx="5">
                  <c:v>150</c:v>
                </c:pt>
                <c:pt idx="6">
                  <c:v>250</c:v>
                </c:pt>
                <c:pt idx="7">
                  <c:v>150</c:v>
                </c:pt>
                <c:pt idx="8">
                  <c:v>450</c:v>
                </c:pt>
                <c:pt idx="9">
                  <c:v>400</c:v>
                </c:pt>
                <c:pt idx="10">
                  <c:v>150</c:v>
                </c:pt>
                <c:pt idx="12">
                  <c:v>400</c:v>
                </c:pt>
                <c:pt idx="13">
                  <c:v>250</c:v>
                </c:pt>
                <c:pt idx="14">
                  <c:v>300</c:v>
                </c:pt>
                <c:pt idx="15">
                  <c:v>300</c:v>
                </c:pt>
                <c:pt idx="16">
                  <c:v>400</c:v>
                </c:pt>
                <c:pt idx="17">
                  <c:v>150</c:v>
                </c:pt>
                <c:pt idx="18">
                  <c:v>150</c:v>
                </c:pt>
                <c:pt idx="19">
                  <c:v>450</c:v>
                </c:pt>
                <c:pt idx="20">
                  <c:v>150</c:v>
                </c:pt>
                <c:pt idx="21">
                  <c:v>150</c:v>
                </c:pt>
                <c:pt idx="23">
                  <c:v>450</c:v>
                </c:pt>
                <c:pt idx="24">
                  <c:v>450</c:v>
                </c:pt>
                <c:pt idx="25">
                  <c:v>300</c:v>
                </c:pt>
                <c:pt idx="26">
                  <c:v>300</c:v>
                </c:pt>
                <c:pt idx="27">
                  <c:v>200</c:v>
                </c:pt>
                <c:pt idx="28">
                  <c:v>300</c:v>
                </c:pt>
                <c:pt idx="29">
                  <c:v>150</c:v>
                </c:pt>
                <c:pt idx="30">
                  <c:v>600</c:v>
                </c:pt>
                <c:pt idx="31">
                  <c:v>300</c:v>
                </c:pt>
                <c:pt idx="32">
                  <c:v>450</c:v>
                </c:pt>
                <c:pt idx="33">
                  <c:v>300</c:v>
                </c:pt>
                <c:pt idx="34">
                  <c:v>1200</c:v>
                </c:pt>
                <c:pt idx="35">
                  <c:v>450</c:v>
                </c:pt>
                <c:pt idx="36">
                  <c:v>600</c:v>
                </c:pt>
                <c:pt idx="37">
                  <c:v>300</c:v>
                </c:pt>
                <c:pt idx="38">
                  <c:v>450</c:v>
                </c:pt>
                <c:pt idx="39">
                  <c:v>450</c:v>
                </c:pt>
                <c:pt idx="40">
                  <c:v>150</c:v>
                </c:pt>
                <c:pt idx="41">
                  <c:v>150</c:v>
                </c:pt>
                <c:pt idx="42">
                  <c:v>300</c:v>
                </c:pt>
                <c:pt idx="43">
                  <c:v>150</c:v>
                </c:pt>
                <c:pt idx="44">
                  <c:v>150</c:v>
                </c:pt>
                <c:pt idx="45">
                  <c:v>150</c:v>
                </c:pt>
                <c:pt idx="46">
                  <c:v>300</c:v>
                </c:pt>
                <c:pt idx="47">
                  <c:v>150</c:v>
                </c:pt>
                <c:pt idx="48">
                  <c:v>150</c:v>
                </c:pt>
                <c:pt idx="49">
                  <c:v>200</c:v>
                </c:pt>
                <c:pt idx="50">
                  <c:v>150</c:v>
                </c:pt>
                <c:pt idx="51">
                  <c:v>200</c:v>
                </c:pt>
                <c:pt idx="52">
                  <c:v>300</c:v>
                </c:pt>
                <c:pt idx="53">
                  <c:v>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CAD-4226-B9A7-56762DE45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954304"/>
        <c:axId val="192488576"/>
      </c:barChart>
      <c:catAx>
        <c:axId val="191954304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2488576"/>
        <c:crosses val="autoZero"/>
        <c:auto val="1"/>
        <c:lblAlgn val="ctr"/>
        <c:lblOffset val="100"/>
        <c:noMultiLvlLbl val="0"/>
      </c:catAx>
      <c:valAx>
        <c:axId val="192488576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195430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Selective alpha = 0 Extra Capacity Needed (G)"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val>
            <c:numRef>
              <c:f>'Shut-off lambda'!#REF!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CategoryTitle>
                <c15:cat>
                  <c:multiLvlStrRef>
                    <c:extLst>
                      <c:ext uri="{02D57815-91ED-43cb-92C2-25804820EDAC}">
                        <c15:formulaRef>
                          <c15:sqref>'Shut-off lambda'!#REF!</c15:sqref>
                        </c15:formulaRef>
                      </c:ext>
                    </c:extLst>
                  </c:multiLvlStrRef>
                </c15:cat>
              </c15:filteredCategoryTitle>
            </c:ext>
            <c:ext xmlns:c16="http://schemas.microsoft.com/office/drawing/2014/chart" uri="{C3380CC4-5D6E-409C-BE32-E72D297353CC}">
              <c16:uniqueId val="{00000000-6640-4734-A3A0-B5EF5CD44FA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79553024"/>
        <c:axId val="179554560"/>
      </c:barChart>
      <c:catAx>
        <c:axId val="179553024"/>
        <c:scaling>
          <c:orientation val="maxMin"/>
        </c:scaling>
        <c:delete val="0"/>
        <c:axPos val="b"/>
        <c:numFmt formatCode="General" sourceLinked="1"/>
        <c:majorTickMark val="out"/>
        <c:minorTickMark val="none"/>
        <c:tickLblPos val="nextTo"/>
        <c:crossAx val="179554560"/>
        <c:crosses val="autoZero"/>
        <c:auto val="1"/>
        <c:lblAlgn val="ctr"/>
        <c:lblOffset val="100"/>
        <c:noMultiLvlLbl val="0"/>
      </c:catAx>
      <c:valAx>
        <c:axId val="179554560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79553024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US!$Z$26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US!$Y$27:$Y$33</c:f>
              <c:strCache>
                <c:ptCount val="7"/>
                <c:pt idx="6">
                  <c:v>Total </c:v>
                </c:pt>
              </c:strCache>
            </c:strRef>
          </c:cat>
          <c:val>
            <c:numRef>
              <c:f>US!$Z$27:$Z$33</c:f>
              <c:numCache>
                <c:formatCode>General</c:formatCode>
                <c:ptCount val="7"/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6-4DDE-92C1-C6C62E266B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92522496"/>
        <c:axId val="192532480"/>
      </c:barChart>
      <c:catAx>
        <c:axId val="19252249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92532480"/>
        <c:crosses val="autoZero"/>
        <c:auto val="1"/>
        <c:lblAlgn val="ctr"/>
        <c:lblOffset val="100"/>
        <c:noMultiLvlLbl val="0"/>
      </c:catAx>
      <c:valAx>
        <c:axId val="19253248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92522496"/>
        <c:crosses val="autoZero"/>
        <c:crossBetween val="between"/>
      </c:valAx>
    </c:plotArea>
    <c:legend>
      <c:legendPos val="l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FlowThinning!$H$6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FlowThinning!$G$7:$G$9</c:f>
              <c:numCache>
                <c:formatCode>General</c:formatCode>
                <c:ptCount val="3"/>
              </c:numCache>
            </c:numRef>
          </c:cat>
          <c:val>
            <c:numRef>
              <c:f>FlowThinning!$H$7:$H$9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0-2597-45F2-A1C2-808C11BAB90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FlowThinningModularCapacities!$G$5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FlowThinningModularCapacities!$F$6:$F$8</c:f>
              <c:numCache>
                <c:formatCode>General</c:formatCode>
                <c:ptCount val="3"/>
              </c:numCache>
            </c:numRef>
          </c:cat>
          <c:val>
            <c:numRef>
              <c:f>FlowThinningModularCapacities!$G$6:$G$8</c:f>
              <c:numCache>
                <c:formatCode>General</c:formatCode>
                <c:ptCount val="3"/>
              </c:numCache>
            </c:numRef>
          </c:val>
          <c:extLst>
            <c:ext xmlns:c16="http://schemas.microsoft.com/office/drawing/2014/chart" uri="{C3380CC4-5D6E-409C-BE32-E72D297353CC}">
              <c16:uniqueId val="{00000001-89BC-450D-A967-40543E9A40C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13190240"/>
        <c:axId val="513189584"/>
      </c:barChart>
      <c:catAx>
        <c:axId val="51319024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89584"/>
        <c:crosses val="autoZero"/>
        <c:auto val="1"/>
        <c:lblAlgn val="ctr"/>
        <c:lblOffset val="100"/>
        <c:noMultiLvlLbl val="0"/>
      </c:catAx>
      <c:valAx>
        <c:axId val="513189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31902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AffineFlowThinning!$G$5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AffineFlowThinning!$F$6:$F$15</c:f>
              <c:strCache>
                <c:ptCount val="10"/>
                <c:pt idx="0">
                  <c:v>D - DO</c:v>
                </c:pt>
                <c:pt idx="1">
                  <c:v>D - F</c:v>
                </c:pt>
                <c:pt idx="2">
                  <c:v>D - M</c:v>
                </c:pt>
                <c:pt idx="3">
                  <c:v>DO - F</c:v>
                </c:pt>
                <c:pt idx="4">
                  <c:v>F - H</c:v>
                </c:pt>
                <c:pt idx="5">
                  <c:v>F - K</c:v>
                </c:pt>
                <c:pt idx="6">
                  <c:v>F - N</c:v>
                </c:pt>
                <c:pt idx="7">
                  <c:v>F - S</c:v>
                </c:pt>
                <c:pt idx="8">
                  <c:v>F - U</c:v>
                </c:pt>
                <c:pt idx="9">
                  <c:v>H - HH</c:v>
                </c:pt>
              </c:strCache>
            </c:strRef>
          </c:cat>
          <c:val>
            <c:numRef>
              <c:f>AffineFlowThinning!$G$6:$G$15</c:f>
              <c:numCache>
                <c:formatCode>0</c:formatCode>
                <c:ptCount val="10"/>
                <c:pt idx="0">
                  <c:v>34</c:v>
                </c:pt>
                <c:pt idx="1">
                  <c:v>27</c:v>
                </c:pt>
                <c:pt idx="2">
                  <c:v>5</c:v>
                </c:pt>
                <c:pt idx="3">
                  <c:v>60</c:v>
                </c:pt>
                <c:pt idx="4">
                  <c:v>92</c:v>
                </c:pt>
                <c:pt idx="5">
                  <c:v>82</c:v>
                </c:pt>
                <c:pt idx="6">
                  <c:v>310</c:v>
                </c:pt>
                <c:pt idx="7">
                  <c:v>357</c:v>
                </c:pt>
                <c:pt idx="8">
                  <c:v>47</c:v>
                </c:pt>
                <c:pt idx="9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B8-456F-B2DD-577DD3BD55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AffineFlowThinningModularCapaci!$G$4</c:f>
              <c:strCache>
                <c:ptCount val="1"/>
                <c:pt idx="0">
                  <c:v>Extra Capacity Needed(G)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AffineFlowThinningModularCapaci!$F$5:$F$26</c:f>
              <c:strCache>
                <c:ptCount val="22"/>
                <c:pt idx="0">
                  <c:v>B - HH</c:v>
                </c:pt>
                <c:pt idx="1">
                  <c:v>D - DO</c:v>
                </c:pt>
                <c:pt idx="2">
                  <c:v>D - F</c:v>
                </c:pt>
                <c:pt idx="3">
                  <c:v>D - H</c:v>
                </c:pt>
                <c:pt idx="4">
                  <c:v>D - K</c:v>
                </c:pt>
                <c:pt idx="5">
                  <c:v>D - L</c:v>
                </c:pt>
                <c:pt idx="6">
                  <c:v>D - M</c:v>
                </c:pt>
                <c:pt idx="7">
                  <c:v>DO - F</c:v>
                </c:pt>
                <c:pt idx="8">
                  <c:v>DO - H</c:v>
                </c:pt>
                <c:pt idx="9">
                  <c:v>F - H</c:v>
                </c:pt>
                <c:pt idx="10">
                  <c:v>F - K</c:v>
                </c:pt>
                <c:pt idx="11">
                  <c:v>F - L</c:v>
                </c:pt>
                <c:pt idx="12">
                  <c:v>F - N</c:v>
                </c:pt>
                <c:pt idx="13">
                  <c:v>F - S</c:v>
                </c:pt>
                <c:pt idx="14">
                  <c:v>F - U</c:v>
                </c:pt>
                <c:pt idx="15">
                  <c:v>H - HH</c:v>
                </c:pt>
                <c:pt idx="16">
                  <c:v>H - K</c:v>
                </c:pt>
                <c:pt idx="17">
                  <c:v>H - L</c:v>
                </c:pt>
                <c:pt idx="18">
                  <c:v>HH - L</c:v>
                </c:pt>
                <c:pt idx="19">
                  <c:v>L - N</c:v>
                </c:pt>
                <c:pt idx="20">
                  <c:v>L - U</c:v>
                </c:pt>
                <c:pt idx="21">
                  <c:v>N - S</c:v>
                </c:pt>
              </c:strCache>
            </c:strRef>
          </c:cat>
          <c:val>
            <c:numRef>
              <c:f>AffineFlowThinningModularCapaci!$G$5:$G$26</c:f>
              <c:numCache>
                <c:formatCode>0</c:formatCode>
                <c:ptCount val="22"/>
                <c:pt idx="0">
                  <c:v>5</c:v>
                </c:pt>
                <c:pt idx="1">
                  <c:v>51</c:v>
                </c:pt>
                <c:pt idx="2">
                  <c:v>47</c:v>
                </c:pt>
                <c:pt idx="3">
                  <c:v>18</c:v>
                </c:pt>
                <c:pt idx="4">
                  <c:v>5</c:v>
                </c:pt>
                <c:pt idx="5">
                  <c:v>5</c:v>
                </c:pt>
                <c:pt idx="6">
                  <c:v>31</c:v>
                </c:pt>
                <c:pt idx="7">
                  <c:v>81</c:v>
                </c:pt>
                <c:pt idx="8">
                  <c:v>74</c:v>
                </c:pt>
                <c:pt idx="9">
                  <c:v>117</c:v>
                </c:pt>
                <c:pt idx="10">
                  <c:v>118</c:v>
                </c:pt>
                <c:pt idx="11">
                  <c:v>22</c:v>
                </c:pt>
                <c:pt idx="12">
                  <c:v>287</c:v>
                </c:pt>
                <c:pt idx="13">
                  <c:v>384</c:v>
                </c:pt>
                <c:pt idx="14">
                  <c:v>43</c:v>
                </c:pt>
                <c:pt idx="15">
                  <c:v>27</c:v>
                </c:pt>
                <c:pt idx="16">
                  <c:v>62</c:v>
                </c:pt>
                <c:pt idx="17">
                  <c:v>39</c:v>
                </c:pt>
                <c:pt idx="18">
                  <c:v>6</c:v>
                </c:pt>
                <c:pt idx="19">
                  <c:v>16</c:v>
                </c:pt>
                <c:pt idx="20">
                  <c:v>40</c:v>
                </c:pt>
                <c:pt idx="21">
                  <c:v>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AC-4DDD-94ED-63635DBDA4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3969856"/>
        <c:axId val="373971824"/>
      </c:barChart>
      <c:catAx>
        <c:axId val="3739698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71824"/>
        <c:crosses val="autoZero"/>
        <c:auto val="1"/>
        <c:lblAlgn val="ctr"/>
        <c:lblOffset val="100"/>
        <c:noMultiLvlLbl val="0"/>
      </c:catAx>
      <c:valAx>
        <c:axId val="3739718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39698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conclusion!$C$8</c:f>
              <c:strCache>
                <c:ptCount val="1"/>
                <c:pt idx="0">
                  <c:v>C_failure (Gbps)</c:v>
                </c:pt>
              </c:strCache>
            </c:strRef>
          </c:tx>
          <c:invertIfNegative val="0"/>
          <c:cat>
            <c:strRef>
              <c:f>conclusion!$B$9:$B$23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conclusion!$C$9:$C$23</c:f>
              <c:numCache>
                <c:formatCode>General</c:formatCode>
                <c:ptCount val="15"/>
                <c:pt idx="0">
                  <c:v>3150</c:v>
                </c:pt>
                <c:pt idx="1">
                  <c:v>500</c:v>
                </c:pt>
                <c:pt idx="2">
                  <c:v>600</c:v>
                </c:pt>
                <c:pt idx="3">
                  <c:v>1400</c:v>
                </c:pt>
                <c:pt idx="4">
                  <c:v>0</c:v>
                </c:pt>
                <c:pt idx="5">
                  <c:v>1800</c:v>
                </c:pt>
                <c:pt idx="6">
                  <c:v>800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CB-40B4-8ABC-ED04A6F1C7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524032"/>
        <c:axId val="186525568"/>
      </c:barChart>
      <c:catAx>
        <c:axId val="186524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525568"/>
        <c:crosses val="autoZero"/>
        <c:auto val="1"/>
        <c:lblAlgn val="ctr"/>
        <c:lblOffset val="100"/>
        <c:noMultiLvlLbl val="0"/>
      </c:catAx>
      <c:valAx>
        <c:axId val="1865255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52403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conclusion!$D$8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conclusion!$B$9:$B$23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ES-EP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Affine Flow Thinning</c:v>
                </c:pt>
                <c:pt idx="13">
                  <c:v>Flow Thinning with modular capacities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conclusion!$D$9:$D$23</c:f>
              <c:numCache>
                <c:formatCode>General</c:formatCode>
                <c:ptCount val="15"/>
                <c:pt idx="0">
                  <c:v>388.8313</c:v>
                </c:pt>
                <c:pt idx="1">
                  <c:v>75</c:v>
                </c:pt>
                <c:pt idx="2">
                  <c:v>77.737799999999993</c:v>
                </c:pt>
                <c:pt idx="3">
                  <c:v>197.73779999999999</c:v>
                </c:pt>
                <c:pt idx="4">
                  <c:v>0</c:v>
                </c:pt>
                <c:pt idx="5">
                  <c:v>220.9512</c:v>
                </c:pt>
                <c:pt idx="6">
                  <c:v>107.73779999999999</c:v>
                </c:pt>
                <c:pt idx="7">
                  <c:v>75</c:v>
                </c:pt>
                <c:pt idx="8">
                  <c:v>75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66-46A8-AAAD-0C53B8A098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6603392"/>
        <c:axId val="186604928"/>
      </c:barChart>
      <c:catAx>
        <c:axId val="1866033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86604928"/>
        <c:crosses val="autoZero"/>
        <c:auto val="1"/>
        <c:lblAlgn val="ctr"/>
        <c:lblOffset val="100"/>
        <c:noMultiLvlLbl val="0"/>
      </c:catAx>
      <c:valAx>
        <c:axId val="18660492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66033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conclusion!$D$33</c:f>
              <c:strCache>
                <c:ptCount val="1"/>
                <c:pt idx="0">
                  <c:v>Spare Capacity (Gbps)</c:v>
                </c:pt>
              </c:strCache>
            </c:strRef>
          </c:tx>
          <c:invertIfNegative val="0"/>
          <c:cat>
            <c:strRef>
              <c:f>conclusion!$B$34:$B$48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conclusion!$D$34:$D$48</c:f>
              <c:numCache>
                <c:formatCode>General</c:formatCode>
                <c:ptCount val="15"/>
                <c:pt idx="0">
                  <c:v>3150</c:v>
                </c:pt>
                <c:pt idx="1">
                  <c:v>500</c:v>
                </c:pt>
                <c:pt idx="2">
                  <c:v>600</c:v>
                </c:pt>
                <c:pt idx="3">
                  <c:v>1400</c:v>
                </c:pt>
                <c:pt idx="4">
                  <c:v>0</c:v>
                </c:pt>
                <c:pt idx="5">
                  <c:v>1800</c:v>
                </c:pt>
                <c:pt idx="6">
                  <c:v>800</c:v>
                </c:pt>
                <c:pt idx="7">
                  <c:v>500</c:v>
                </c:pt>
                <c:pt idx="8">
                  <c:v>500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FB3-4383-BB79-23064446FF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conclusion!$E$33</c:f>
              <c:strCache>
                <c:ptCount val="1"/>
                <c:pt idx="0">
                  <c:v>Total Capacity (Gbps)</c:v>
                </c:pt>
              </c:strCache>
            </c:strRef>
          </c:tx>
          <c:invertIfNegative val="0"/>
          <c:cat>
            <c:strRef>
              <c:f>conclusion!$B$34:$B$48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conclusion!$E$34:$E$48</c:f>
              <c:numCache>
                <c:formatCode>General</c:formatCode>
                <c:ptCount val="15"/>
                <c:pt idx="0">
                  <c:v>25550</c:v>
                </c:pt>
                <c:pt idx="1">
                  <c:v>22900</c:v>
                </c:pt>
                <c:pt idx="2">
                  <c:v>23000</c:v>
                </c:pt>
                <c:pt idx="3">
                  <c:v>23800</c:v>
                </c:pt>
                <c:pt idx="4">
                  <c:v>22400</c:v>
                </c:pt>
                <c:pt idx="5">
                  <c:v>24200</c:v>
                </c:pt>
                <c:pt idx="6">
                  <c:v>23200</c:v>
                </c:pt>
                <c:pt idx="7">
                  <c:v>22900</c:v>
                </c:pt>
                <c:pt idx="8">
                  <c:v>22900</c:v>
                </c:pt>
                <c:pt idx="9">
                  <c:v>22400</c:v>
                </c:pt>
                <c:pt idx="10">
                  <c:v>22400</c:v>
                </c:pt>
                <c:pt idx="11">
                  <c:v>0</c:v>
                </c:pt>
                <c:pt idx="12">
                  <c:v>17700</c:v>
                </c:pt>
                <c:pt idx="13">
                  <c:v>0</c:v>
                </c:pt>
                <c:pt idx="14">
                  <c:v>17700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E9-4A89-A8EB-35F1E4126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conclusion!$C$33</c:f>
              <c:strCache>
                <c:ptCount val="1"/>
                <c:pt idx="0">
                  <c:v>Working Capacity (Gbps)</c:v>
                </c:pt>
              </c:strCache>
            </c:strRef>
          </c:tx>
          <c:invertIfNegative val="0"/>
          <c:cat>
            <c:strRef>
              <c:f>conclusion!$B$34:$B$48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conclusion!$C$34:$C$48</c:f>
              <c:numCache>
                <c:formatCode>General</c:formatCode>
                <c:ptCount val="15"/>
                <c:pt idx="0">
                  <c:v>22400</c:v>
                </c:pt>
                <c:pt idx="1">
                  <c:v>22400</c:v>
                </c:pt>
                <c:pt idx="2">
                  <c:v>22400</c:v>
                </c:pt>
                <c:pt idx="3">
                  <c:v>22400</c:v>
                </c:pt>
                <c:pt idx="4">
                  <c:v>22400</c:v>
                </c:pt>
                <c:pt idx="5">
                  <c:v>22400</c:v>
                </c:pt>
                <c:pt idx="6">
                  <c:v>22400</c:v>
                </c:pt>
                <c:pt idx="7">
                  <c:v>22400</c:v>
                </c:pt>
                <c:pt idx="8">
                  <c:v>22400</c:v>
                </c:pt>
                <c:pt idx="9">
                  <c:v>22400</c:v>
                </c:pt>
                <c:pt idx="10">
                  <c:v>22400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B45-46E0-86E9-C81A4CEA9B4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07072"/>
        <c:axId val="191108608"/>
      </c:barChart>
      <c:catAx>
        <c:axId val="19110707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08608"/>
        <c:crosses val="autoZero"/>
        <c:auto val="1"/>
        <c:lblAlgn val="ctr"/>
        <c:lblOffset val="100"/>
        <c:noMultiLvlLbl val="0"/>
      </c:catAx>
      <c:valAx>
        <c:axId val="19110860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070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26-4131-90CF-8E5CEF2DED0F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'Multiple-path Reroute'!$P$3:$P$56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126-4131-90CF-8E5CEF2DED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54432"/>
        <c:axId val="180356224"/>
      </c:barChart>
      <c:catAx>
        <c:axId val="180354432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356224"/>
        <c:crosses val="autoZero"/>
        <c:auto val="1"/>
        <c:lblAlgn val="ctr"/>
        <c:lblOffset val="100"/>
        <c:noMultiLvlLbl val="0"/>
      </c:catAx>
      <c:valAx>
        <c:axId val="180356224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54432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2609218540624234"/>
          <c:y val="0.20302802921649268"/>
          <c:w val="0.74930218081152222"/>
          <c:h val="0.38291500052240152"/>
        </c:manualLayout>
      </c:layout>
      <c:barChart>
        <c:barDir val="col"/>
        <c:grouping val="clustered"/>
        <c:varyColors val="0"/>
        <c:ser>
          <c:idx val="0"/>
          <c:order val="0"/>
          <c:tx>
            <c:strRef>
              <c:f>conclusion!$D$51</c:f>
              <c:strCache>
                <c:ptCount val="1"/>
                <c:pt idx="0">
                  <c:v>CAPEX (SCU)</c:v>
                </c:pt>
              </c:strCache>
            </c:strRef>
          </c:tx>
          <c:invertIfNegative val="0"/>
          <c:cat>
            <c:strRef>
              <c:f>conclusion!$B$52:$B$66</c:f>
              <c:strCache>
                <c:ptCount val="15"/>
                <c:pt idx="0">
                  <c:v>Shut-off lambda</c:v>
                </c:pt>
                <c:pt idx="1">
                  <c:v>Multiple-path Reroute</c:v>
                </c:pt>
                <c:pt idx="2">
                  <c:v>Selective 0&lt;alpha&lt;1</c:v>
                </c:pt>
                <c:pt idx="3">
                  <c:v>BDF</c:v>
                </c:pt>
                <c:pt idx="4">
                  <c:v>SDF</c:v>
                </c:pt>
                <c:pt idx="5">
                  <c:v>Single-hop Reroute</c:v>
                </c:pt>
                <c:pt idx="6">
                  <c:v>NoRerouting</c:v>
                </c:pt>
                <c:pt idx="7">
                  <c:v>ES-ES</c:v>
                </c:pt>
                <c:pt idx="8">
                  <c:v>US-EP</c:v>
                </c:pt>
                <c:pt idx="9">
                  <c:v>US-UP</c:v>
                </c:pt>
                <c:pt idx="10">
                  <c:v>US</c:v>
                </c:pt>
                <c:pt idx="11">
                  <c:v>Flow Thinning</c:v>
                </c:pt>
                <c:pt idx="12">
                  <c:v>Flow Thinning with modular capacities</c:v>
                </c:pt>
                <c:pt idx="13">
                  <c:v>Affine Flow Thinning</c:v>
                </c:pt>
                <c:pt idx="14">
                  <c:v>Affine Flow Thinning with modular capacities</c:v>
                </c:pt>
              </c:strCache>
            </c:strRef>
          </c:cat>
          <c:val>
            <c:numRef>
              <c:f>conclusion!$D$52:$D$66</c:f>
              <c:numCache>
                <c:formatCode>General</c:formatCode>
                <c:ptCount val="15"/>
                <c:pt idx="0">
                  <c:v>2319</c:v>
                </c:pt>
                <c:pt idx="1">
                  <c:v>2005</c:v>
                </c:pt>
                <c:pt idx="2">
                  <c:v>2008</c:v>
                </c:pt>
                <c:pt idx="3">
                  <c:v>2128</c:v>
                </c:pt>
                <c:pt idx="4">
                  <c:v>1930</c:v>
                </c:pt>
                <c:pt idx="5">
                  <c:v>2151</c:v>
                </c:pt>
                <c:pt idx="6">
                  <c:v>2038</c:v>
                </c:pt>
                <c:pt idx="7">
                  <c:v>2005</c:v>
                </c:pt>
                <c:pt idx="8">
                  <c:v>2005</c:v>
                </c:pt>
                <c:pt idx="9">
                  <c:v>1930</c:v>
                </c:pt>
                <c:pt idx="10">
                  <c:v>1930</c:v>
                </c:pt>
                <c:pt idx="12">
                  <c:v>1422</c:v>
                </c:pt>
                <c:pt idx="14">
                  <c:v>1422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8A9-46F4-9C54-C00FBE5D6E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91153664"/>
        <c:axId val="191155200"/>
      </c:barChart>
      <c:catAx>
        <c:axId val="1911536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191155200"/>
        <c:crosses val="autoZero"/>
        <c:auto val="1"/>
        <c:lblAlgn val="ctr"/>
        <c:lblOffset val="100"/>
        <c:noMultiLvlLbl val="0"/>
      </c:catAx>
      <c:valAx>
        <c:axId val="19115520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9115366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AB8-48EF-9131-627F25FE3EAC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'Multiple-path Reroute'!$A$3:$B$56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AB8-48EF-9131-627F25FE3E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382336"/>
        <c:axId val="180392320"/>
      </c:barChart>
      <c:catAx>
        <c:axId val="18038233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392320"/>
        <c:crosses val="autoZero"/>
        <c:auto val="1"/>
        <c:lblAlgn val="ctr"/>
        <c:lblOffset val="100"/>
        <c:noMultiLvlLbl val="0"/>
      </c:catAx>
      <c:valAx>
        <c:axId val="180392320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38233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Multiple-path Reroute Extra Capacity Needed (G)"</a:t>
            </a:r>
          </a:p>
        </c:rich>
      </c:tx>
      <c:layout>
        <c:manualLayout>
          <c:xMode val="edge"/>
          <c:yMode val="edge"/>
          <c:x val="0.24251252353714428"/>
          <c:y val="6.507594413921948E-2"/>
        </c:manualLayout>
      </c:layout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Extra Capacity Needed (G)"</c:v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'Multiple-path Reroute'!$Y$4:$Y$8</c:f>
              <c:strCache>
                <c:ptCount val="5"/>
                <c:pt idx="0">
                  <c:v>F - K</c:v>
                </c:pt>
                <c:pt idx="1">
                  <c:v>F - H</c:v>
                </c:pt>
                <c:pt idx="2">
                  <c:v>F - S</c:v>
                </c:pt>
                <c:pt idx="3">
                  <c:v>F - N</c:v>
                </c:pt>
                <c:pt idx="4">
                  <c:v>Total</c:v>
                </c:pt>
              </c:strCache>
            </c:strRef>
          </c:cat>
          <c:val>
            <c:numRef>
              <c:f>'Multiple-path Reroute'!$Z$4:$Z$8</c:f>
              <c:numCache>
                <c:formatCode>General</c:formatCode>
                <c:ptCount val="5"/>
                <c:pt idx="0">
                  <c:v>33.590000000000003</c:v>
                </c:pt>
                <c:pt idx="1">
                  <c:v>16.62</c:v>
                </c:pt>
                <c:pt idx="2">
                  <c:v>20.91</c:v>
                </c:pt>
                <c:pt idx="3">
                  <c:v>69.75</c:v>
                </c:pt>
                <c:pt idx="4">
                  <c:v>140.87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373-4642-82A9-A7F128B909EB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503680"/>
        <c:axId val="180505216"/>
      </c:barChart>
      <c:catAx>
        <c:axId val="180503680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505216"/>
        <c:crosses val="autoZero"/>
        <c:auto val="1"/>
        <c:lblAlgn val="ctr"/>
        <c:lblOffset val="100"/>
        <c:noMultiLvlLbl val="0"/>
      </c:catAx>
      <c:valAx>
        <c:axId val="180505216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503680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Free 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Free 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0&lt;alpha&lt;1'!$K$3:$K$56</c:f>
              <c:numCache>
                <c:formatCode>General</c:formatCode>
                <c:ptCount val="54"/>
                <c:pt idx="0">
                  <c:v>101.03449999999999</c:v>
                </c:pt>
                <c:pt idx="1">
                  <c:v>140.18112500000001</c:v>
                </c:pt>
                <c:pt idx="2">
                  <c:v>73.857225</c:v>
                </c:pt>
                <c:pt idx="3">
                  <c:v>154.95749999999998</c:v>
                </c:pt>
                <c:pt idx="4">
                  <c:v>125.845</c:v>
                </c:pt>
                <c:pt idx="5">
                  <c:v>73.857225</c:v>
                </c:pt>
                <c:pt idx="6">
                  <c:v>52.472100000000012</c:v>
                </c:pt>
                <c:pt idx="7">
                  <c:v>49.91749999999999</c:v>
                </c:pt>
                <c:pt idx="8">
                  <c:v>137.88914999999997</c:v>
                </c:pt>
                <c:pt idx="9">
                  <c:v>159.41500000000002</c:v>
                </c:pt>
                <c:pt idx="10">
                  <c:v>183.23750000000001</c:v>
                </c:pt>
                <c:pt idx="12">
                  <c:v>89.119374999999991</c:v>
                </c:pt>
                <c:pt idx="13">
                  <c:v>113.20484999999999</c:v>
                </c:pt>
                <c:pt idx="14">
                  <c:v>160.92435</c:v>
                </c:pt>
                <c:pt idx="15">
                  <c:v>139.613775</c:v>
                </c:pt>
                <c:pt idx="16">
                  <c:v>159.413725</c:v>
                </c:pt>
                <c:pt idx="17">
                  <c:v>183.23750000000001</c:v>
                </c:pt>
                <c:pt idx="18">
                  <c:v>49.915850000000006</c:v>
                </c:pt>
                <c:pt idx="19">
                  <c:v>137.88914999999997</c:v>
                </c:pt>
                <c:pt idx="20">
                  <c:v>181.92275000000001</c:v>
                </c:pt>
                <c:pt idx="21">
                  <c:v>183.23750000000001</c:v>
                </c:pt>
                <c:pt idx="23">
                  <c:v>101.61435000000006</c:v>
                </c:pt>
                <c:pt idx="24">
                  <c:v>131.49877500000002</c:v>
                </c:pt>
                <c:pt idx="25">
                  <c:v>89.119374999999991</c:v>
                </c:pt>
                <c:pt idx="26">
                  <c:v>160.92435</c:v>
                </c:pt>
                <c:pt idx="27">
                  <c:v>139.613775</c:v>
                </c:pt>
                <c:pt idx="28">
                  <c:v>159.413725</c:v>
                </c:pt>
                <c:pt idx="29">
                  <c:v>41.819349999999986</c:v>
                </c:pt>
                <c:pt idx="30">
                  <c:v>154.95749999999998</c:v>
                </c:pt>
                <c:pt idx="31">
                  <c:v>160.92435</c:v>
                </c:pt>
                <c:pt idx="32">
                  <c:v>81.393224999999973</c:v>
                </c:pt>
                <c:pt idx="33">
                  <c:v>139.613775</c:v>
                </c:pt>
                <c:pt idx="34">
                  <c:v>336.50400000000002</c:v>
                </c:pt>
                <c:pt idx="35">
                  <c:v>165.35752500000001</c:v>
                </c:pt>
                <c:pt idx="36">
                  <c:v>335.38412500000004</c:v>
                </c:pt>
                <c:pt idx="37">
                  <c:v>224.64475000000002</c:v>
                </c:pt>
                <c:pt idx="38">
                  <c:v>137.88914999999997</c:v>
                </c:pt>
                <c:pt idx="39">
                  <c:v>131.49877500000002</c:v>
                </c:pt>
                <c:pt idx="40">
                  <c:v>189.74749750000001</c:v>
                </c:pt>
                <c:pt idx="41">
                  <c:v>149.56862749999999</c:v>
                </c:pt>
                <c:pt idx="42">
                  <c:v>168.06060000000002</c:v>
                </c:pt>
                <c:pt idx="43">
                  <c:v>113.664275</c:v>
                </c:pt>
                <c:pt idx="44">
                  <c:v>84.323624999999993</c:v>
                </c:pt>
                <c:pt idx="45">
                  <c:v>115.377</c:v>
                </c:pt>
                <c:pt idx="46">
                  <c:v>168.06060000000002</c:v>
                </c:pt>
                <c:pt idx="47">
                  <c:v>115.377</c:v>
                </c:pt>
                <c:pt idx="48">
                  <c:v>115.377</c:v>
                </c:pt>
                <c:pt idx="49">
                  <c:v>97.343525</c:v>
                </c:pt>
                <c:pt idx="50">
                  <c:v>84.323624999999993</c:v>
                </c:pt>
                <c:pt idx="51">
                  <c:v>175.0262525</c:v>
                </c:pt>
                <c:pt idx="52">
                  <c:v>224.64475000000002</c:v>
                </c:pt>
                <c:pt idx="53">
                  <c:v>97.343525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2-4A2B-B13B-69CAFB672B3C}"/>
            </c:ext>
          </c:extLst>
        </c:ser>
        <c:ser>
          <c:idx val="1"/>
          <c:order val="1"/>
          <c:tx>
            <c:v>Free 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'Selective 0&lt;alpha&lt;1'!$P$3:$P$56</c:f>
              <c:numCache>
                <c:formatCode>General</c:formatCode>
                <c:ptCount val="54"/>
                <c:pt idx="0">
                  <c:v>131.95400000000001</c:v>
                </c:pt>
                <c:pt idx="1">
                  <c:v>79.758499999999998</c:v>
                </c:pt>
                <c:pt idx="2">
                  <c:v>101.52370000000001</c:v>
                </c:pt>
                <c:pt idx="3">
                  <c:v>593.39</c:v>
                </c:pt>
                <c:pt idx="4">
                  <c:v>165.54</c:v>
                </c:pt>
                <c:pt idx="5">
                  <c:v>101.52370000000001</c:v>
                </c:pt>
                <c:pt idx="6">
                  <c:v>330.03719999999998</c:v>
                </c:pt>
                <c:pt idx="7">
                  <c:v>200.11</c:v>
                </c:pt>
                <c:pt idx="8">
                  <c:v>416.14780000000002</c:v>
                </c:pt>
                <c:pt idx="9">
                  <c:v>320.77999999999997</c:v>
                </c:pt>
                <c:pt idx="10">
                  <c:v>22.35</c:v>
                </c:pt>
                <c:pt idx="12">
                  <c:v>414.50749999999999</c:v>
                </c:pt>
                <c:pt idx="13">
                  <c:v>249.06020000000001</c:v>
                </c:pt>
                <c:pt idx="14">
                  <c:v>185.4342</c:v>
                </c:pt>
                <c:pt idx="15">
                  <c:v>213.84829999999999</c:v>
                </c:pt>
                <c:pt idx="16">
                  <c:v>320.7817</c:v>
                </c:pt>
                <c:pt idx="17">
                  <c:v>22.35</c:v>
                </c:pt>
                <c:pt idx="18">
                  <c:v>200.1122</c:v>
                </c:pt>
                <c:pt idx="19">
                  <c:v>416.14780000000002</c:v>
                </c:pt>
                <c:pt idx="20">
                  <c:v>24.103000000000002</c:v>
                </c:pt>
                <c:pt idx="21">
                  <c:v>22.35</c:v>
                </c:pt>
                <c:pt idx="23">
                  <c:v>664.51419999999996</c:v>
                </c:pt>
                <c:pt idx="24">
                  <c:v>424.66829999999999</c:v>
                </c:pt>
                <c:pt idx="25">
                  <c:v>414.50749999999999</c:v>
                </c:pt>
                <c:pt idx="26">
                  <c:v>185.4342</c:v>
                </c:pt>
                <c:pt idx="27">
                  <c:v>213.84829999999999</c:v>
                </c:pt>
                <c:pt idx="28">
                  <c:v>320.7817</c:v>
                </c:pt>
                <c:pt idx="29">
                  <c:v>277.57420000000002</c:v>
                </c:pt>
                <c:pt idx="30">
                  <c:v>593.39</c:v>
                </c:pt>
                <c:pt idx="31">
                  <c:v>185.4342</c:v>
                </c:pt>
                <c:pt idx="32">
                  <c:v>491.47570000000002</c:v>
                </c:pt>
                <c:pt idx="33">
                  <c:v>213.84829999999999</c:v>
                </c:pt>
                <c:pt idx="34">
                  <c:v>1151.328</c:v>
                </c:pt>
                <c:pt idx="35">
                  <c:v>779.52329999999995</c:v>
                </c:pt>
                <c:pt idx="36">
                  <c:v>886.15449999999998</c:v>
                </c:pt>
                <c:pt idx="37">
                  <c:v>233.80699999999999</c:v>
                </c:pt>
                <c:pt idx="38">
                  <c:v>416.14780000000002</c:v>
                </c:pt>
                <c:pt idx="39">
                  <c:v>424.66829999999999</c:v>
                </c:pt>
                <c:pt idx="40">
                  <c:v>80.336669999999998</c:v>
                </c:pt>
                <c:pt idx="41">
                  <c:v>67.241829999999993</c:v>
                </c:pt>
                <c:pt idx="42">
                  <c:v>175.91919999999999</c:v>
                </c:pt>
                <c:pt idx="43">
                  <c:v>115.1143</c:v>
                </c:pt>
                <c:pt idx="44">
                  <c:v>87.5685</c:v>
                </c:pt>
                <c:pt idx="45">
                  <c:v>46.164000000000001</c:v>
                </c:pt>
                <c:pt idx="46">
                  <c:v>175.91919999999999</c:v>
                </c:pt>
                <c:pt idx="47">
                  <c:v>46.164000000000001</c:v>
                </c:pt>
                <c:pt idx="48">
                  <c:v>46.164000000000001</c:v>
                </c:pt>
                <c:pt idx="49">
                  <c:v>136.87530000000001</c:v>
                </c:pt>
                <c:pt idx="50">
                  <c:v>87.5685</c:v>
                </c:pt>
                <c:pt idx="51">
                  <c:v>33.29833</c:v>
                </c:pt>
                <c:pt idx="52">
                  <c:v>233.80699999999999</c:v>
                </c:pt>
                <c:pt idx="53">
                  <c:v>136.87530000000001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A12-4A2B-B13B-69CAFB672B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80678656"/>
        <c:axId val="180680192"/>
      </c:barChart>
      <c:catAx>
        <c:axId val="18067865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680192"/>
        <c:crosses val="autoZero"/>
        <c:auto val="1"/>
        <c:lblAlgn val="ctr"/>
        <c:lblOffset val="100"/>
        <c:noMultiLvlLbl val="0"/>
      </c:catAx>
      <c:valAx>
        <c:axId val="18068019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Free Capacity</a:t>
                </a:r>
                <a:r>
                  <a:rPr lang="en-US" baseline="0"/>
                  <a:t> </a:t>
                </a:r>
                <a:r>
                  <a:rPr lang="en-US"/>
                  <a:t>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8067865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Capacities Before and After Failure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Capacity Before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AB-468F-A8A0-3EEA81588A8B}"/>
            </c:ext>
          </c:extLst>
        </c:ser>
        <c:ser>
          <c:idx val="1"/>
          <c:order val="1"/>
          <c:tx>
            <c:v>Capacity After Failure</c:v>
          </c:tx>
          <c:invertIfNegative val="0"/>
          <c:cat>
            <c:multiLvlStrRef>
              <c:f>'Selective 0&lt;alpha&lt;1'!$A$3:$B$56</c:f>
              <c:multiLvlStrCache>
                <c:ptCount val="54"/>
                <c:lvl>
                  <c:pt idx="0">
                    <c:v> B - H</c:v>
                  </c:pt>
                  <c:pt idx="1">
                    <c:v>B - HH</c:v>
                  </c:pt>
                  <c:pt idx="2">
                    <c:v>HH - L</c:v>
                  </c:pt>
                  <c:pt idx="3">
                    <c:v> B - F</c:v>
                  </c:pt>
                  <c:pt idx="4">
                    <c:v>B - L</c:v>
                  </c:pt>
                  <c:pt idx="5">
                    <c:v>HH - L</c:v>
                  </c:pt>
                  <c:pt idx="6">
                    <c:v>D - DO</c:v>
                  </c:pt>
                  <c:pt idx="7">
                    <c:v>D - H</c:v>
                  </c:pt>
                  <c:pt idx="8">
                    <c:v>D - HH</c:v>
                  </c:pt>
                  <c:pt idx="9">
                    <c:v>DO - F</c:v>
                  </c:pt>
                  <c:pt idx="10">
                    <c:v>H - K </c:v>
                  </c:pt>
                  <c:pt idx="11">
                    <c:v>None</c:v>
                  </c:pt>
                  <c:pt idx="12">
                    <c:v> D - F</c:v>
                  </c:pt>
                  <c:pt idx="13">
                    <c:v>D - K</c:v>
                  </c:pt>
                  <c:pt idx="14">
                    <c:v>D - L</c:v>
                  </c:pt>
                  <c:pt idx="15">
                    <c:v>D - M</c:v>
                  </c:pt>
                  <c:pt idx="16">
                    <c:v>DO - F</c:v>
                  </c:pt>
                  <c:pt idx="17">
                    <c:v> H - K </c:v>
                  </c:pt>
                  <c:pt idx="18">
                    <c:v>D - H</c:v>
                  </c:pt>
                  <c:pt idx="19">
                    <c:v>D - HH </c:v>
                  </c:pt>
                  <c:pt idx="20">
                    <c:v> DO - H </c:v>
                  </c:pt>
                  <c:pt idx="21">
                    <c:v>H - K </c:v>
                  </c:pt>
                  <c:pt idx="22">
                    <c:v>None </c:v>
                  </c:pt>
                  <c:pt idx="23">
                    <c:v>F - H</c:v>
                  </c:pt>
                  <c:pt idx="24">
                    <c:v> F - HH</c:v>
                  </c:pt>
                  <c:pt idx="25">
                    <c:v>D - F</c:v>
                  </c:pt>
                  <c:pt idx="26">
                    <c:v>D - L </c:v>
                  </c:pt>
                  <c:pt idx="27">
                    <c:v> D - M</c:v>
                  </c:pt>
                  <c:pt idx="28">
                    <c:v> DO - F </c:v>
                  </c:pt>
                  <c:pt idx="29">
                    <c:v>F - K </c:v>
                  </c:pt>
                  <c:pt idx="30">
                    <c:v>B - F </c:v>
                  </c:pt>
                  <c:pt idx="31">
                    <c:v> D - L </c:v>
                  </c:pt>
                  <c:pt idx="32">
                    <c:v> F - L </c:v>
                  </c:pt>
                  <c:pt idx="33">
                    <c:v> D - M </c:v>
                  </c:pt>
                  <c:pt idx="34">
                    <c:v> F - M </c:v>
                  </c:pt>
                  <c:pt idx="35">
                    <c:v> F - N </c:v>
                  </c:pt>
                  <c:pt idx="36">
                    <c:v> F - S</c:v>
                  </c:pt>
                  <c:pt idx="37">
                    <c:v> F - U</c:v>
                  </c:pt>
                  <c:pt idx="38">
                    <c:v> D - HH</c:v>
                  </c:pt>
                  <c:pt idx="39">
                    <c:v> F - HH</c:v>
                  </c:pt>
                  <c:pt idx="40">
                    <c:v> H - HH</c:v>
                  </c:pt>
                  <c:pt idx="41">
                    <c:v> H - L </c:v>
                  </c:pt>
                  <c:pt idx="42">
                    <c:v> L - M </c:v>
                  </c:pt>
                  <c:pt idx="43">
                    <c:v> L - N </c:v>
                  </c:pt>
                  <c:pt idx="44">
                    <c:v> L - S</c:v>
                  </c:pt>
                  <c:pt idx="45">
                    <c:v> L - U </c:v>
                  </c:pt>
                  <c:pt idx="46">
                    <c:v>L - M </c:v>
                  </c:pt>
                  <c:pt idx="47">
                    <c:v> L - U </c:v>
                  </c:pt>
                  <c:pt idx="48">
                    <c:v> L - U </c:v>
                  </c:pt>
                  <c:pt idx="49">
                    <c:v>M - S</c:v>
                  </c:pt>
                  <c:pt idx="50">
                    <c:v>L - S</c:v>
                  </c:pt>
                  <c:pt idx="51">
                    <c:v> N - S</c:v>
                  </c:pt>
                  <c:pt idx="52">
                    <c:v>F - U </c:v>
                  </c:pt>
                  <c:pt idx="53">
                    <c:v>M - S</c:v>
                  </c:pt>
                </c:lvl>
                <c:lvl>
                  <c:pt idx="0">
                    <c:v>B  -- H</c:v>
                  </c:pt>
                  <c:pt idx="1">
                    <c:v>B -- HH</c:v>
                  </c:pt>
                  <c:pt idx="3">
                    <c:v>B -- L </c:v>
                  </c:pt>
                  <c:pt idx="6">
                    <c:v>D -- DO</c:v>
                  </c:pt>
                  <c:pt idx="11">
                    <c:v>D -- HH</c:v>
                  </c:pt>
                  <c:pt idx="12">
                    <c:v>D -- K</c:v>
                  </c:pt>
                  <c:pt idx="18">
                    <c:v>DO -- H </c:v>
                  </c:pt>
                  <c:pt idx="22">
                    <c:v>DO -- K </c:v>
                  </c:pt>
                  <c:pt idx="23">
                    <c:v>H -- F </c:v>
                  </c:pt>
                  <c:pt idx="25">
                    <c:v>K -- F</c:v>
                  </c:pt>
                  <c:pt idx="30">
                    <c:v>F -- L </c:v>
                  </c:pt>
                  <c:pt idx="33">
                    <c:v>F -- M </c:v>
                  </c:pt>
                  <c:pt idx="35">
                    <c:v>F -- N </c:v>
                  </c:pt>
                  <c:pt idx="36">
                    <c:v>F -- S</c:v>
                  </c:pt>
                  <c:pt idx="38">
                    <c:v>H -- HH </c:v>
                  </c:pt>
                  <c:pt idx="41">
                    <c:v>H -- L </c:v>
                  </c:pt>
                  <c:pt idx="42">
                    <c:v>L -- N </c:v>
                  </c:pt>
                  <c:pt idx="46">
                    <c:v>N -- M </c:v>
                  </c:pt>
                  <c:pt idx="48">
                    <c:v>U -- M </c:v>
                  </c:pt>
                  <c:pt idx="50">
                    <c:v>S -- N </c:v>
                  </c:pt>
                  <c:pt idx="52">
                    <c:v>S -- U </c:v>
                  </c:pt>
                </c:lvl>
              </c:multiLvlStrCache>
            </c:multiLvlStrRef>
          </c:cat>
          <c:val>
            <c:numRef>
              <c:f>alpha_approach!#REF!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3AB-468F-A8A0-3EEA81588A8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79483776"/>
        <c:axId val="179485312"/>
      </c:barChart>
      <c:catAx>
        <c:axId val="1794837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79485312"/>
        <c:crosses val="autoZero"/>
        <c:auto val="1"/>
        <c:lblAlgn val="ctr"/>
        <c:lblOffset val="100"/>
        <c:noMultiLvlLbl val="0"/>
      </c:catAx>
      <c:valAx>
        <c:axId val="179485312"/>
        <c:scaling>
          <c:orientation val="minMax"/>
        </c:scaling>
        <c:delete val="0"/>
        <c:axPos val="r"/>
        <c:majorGridlines/>
        <c:title>
          <c:tx>
            <c:rich>
              <a:bodyPr rot="0" vert="wordArtVert"/>
              <a:lstStyle/>
              <a:p>
                <a:pPr>
                  <a:defRPr/>
                </a:pPr>
                <a:r>
                  <a:rPr lang="en-US"/>
                  <a:t>Capacity (G)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94837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Selective 0&lt;alpha&lt;1 Extra Capacity Needed(G)</a:t>
            </a:r>
          </a:p>
        </c:rich>
      </c:tx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'Selective 0&lt;alpha&lt;1'!$AA$44</c:f>
              <c:strCache>
                <c:ptCount val="1"/>
                <c:pt idx="0">
                  <c:v>Extra Capacity Needed(G)</c:v>
                </c:pt>
              </c:strCache>
            </c:strRef>
          </c:tx>
          <c:invertIfNegative val="0"/>
          <c:dLbls>
            <c:spPr>
              <a:noFill/>
              <a:ln>
                <a:noFill/>
              </a:ln>
              <a:effectLst/>
            </c:sp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'Selective 0&lt;alpha&lt;1'!$Z$45:$Z$51</c:f>
              <c:strCache>
                <c:ptCount val="7"/>
                <c:pt idx="0">
                  <c:v>F - H </c:v>
                </c:pt>
                <c:pt idx="2">
                  <c:v>F - N</c:v>
                </c:pt>
                <c:pt idx="3">
                  <c:v>F - S</c:v>
                </c:pt>
                <c:pt idx="4">
                  <c:v>F - K </c:v>
                </c:pt>
                <c:pt idx="6">
                  <c:v>Total </c:v>
                </c:pt>
              </c:strCache>
            </c:strRef>
          </c:cat>
          <c:val>
            <c:numRef>
              <c:f>'Selective 0&lt;alpha&lt;1'!$AA$45:$AA$51</c:f>
              <c:numCache>
                <c:formatCode>General</c:formatCode>
                <c:ptCount val="7"/>
                <c:pt idx="0">
                  <c:v>40.44</c:v>
                </c:pt>
                <c:pt idx="2">
                  <c:v>108.68</c:v>
                </c:pt>
                <c:pt idx="3">
                  <c:v>47.13</c:v>
                </c:pt>
                <c:pt idx="4">
                  <c:v>48.34</c:v>
                </c:pt>
                <c:pt idx="6">
                  <c:v>244.59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D5-4823-87C5-C6A45DDBE49D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50"/>
        <c:axId val="180453376"/>
        <c:axId val="180454912"/>
      </c:barChart>
      <c:catAx>
        <c:axId val="180453376"/>
        <c:scaling>
          <c:orientation val="maxMin"/>
        </c:scaling>
        <c:delete val="0"/>
        <c:axPos val="b"/>
        <c:numFmt formatCode="General" sourceLinked="0"/>
        <c:majorTickMark val="out"/>
        <c:minorTickMark val="none"/>
        <c:tickLblPos val="nextTo"/>
        <c:crossAx val="180454912"/>
        <c:crosses val="autoZero"/>
        <c:auto val="1"/>
        <c:lblAlgn val="ctr"/>
        <c:lblOffset val="100"/>
        <c:noMultiLvlLbl val="0"/>
      </c:catAx>
      <c:valAx>
        <c:axId val="180454912"/>
        <c:scaling>
          <c:orientation val="minMax"/>
        </c:scaling>
        <c:delete val="0"/>
        <c:axPos val="r"/>
        <c:majorGridlines/>
        <c:numFmt formatCode="General" sourceLinked="1"/>
        <c:majorTickMark val="out"/>
        <c:minorTickMark val="none"/>
        <c:tickLblPos val="nextTo"/>
        <c:crossAx val="180453376"/>
        <c:crosses val="autoZero"/>
        <c:crossBetween val="between"/>
      </c:valAx>
    </c:plotArea>
    <c:legend>
      <c:legendPos val="t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10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4.xml"/><Relationship Id="rId2" Type="http://schemas.openxmlformats.org/officeDocument/2006/relationships/chart" Target="../charts/chart23.xml"/><Relationship Id="rId1" Type="http://schemas.openxmlformats.org/officeDocument/2006/relationships/chart" Target="../charts/chart22.xml"/></Relationships>
</file>

<file path=xl/drawings/_rels/drawing1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0.xml"/><Relationship Id="rId2" Type="http://schemas.openxmlformats.org/officeDocument/2006/relationships/chart" Target="../charts/chart29.xml"/><Relationship Id="rId1" Type="http://schemas.openxmlformats.org/officeDocument/2006/relationships/chart" Target="../charts/chart28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7.xml"/><Relationship Id="rId2" Type="http://schemas.openxmlformats.org/officeDocument/2006/relationships/chart" Target="../charts/chart36.xml"/><Relationship Id="rId1" Type="http://schemas.openxmlformats.org/officeDocument/2006/relationships/chart" Target="../charts/chart35.xml"/><Relationship Id="rId6" Type="http://schemas.openxmlformats.org/officeDocument/2006/relationships/chart" Target="../charts/chart40.xml"/><Relationship Id="rId5" Type="http://schemas.openxmlformats.org/officeDocument/2006/relationships/chart" Target="../charts/chart39.xml"/><Relationship Id="rId4" Type="http://schemas.openxmlformats.org/officeDocument/2006/relationships/chart" Target="../charts/chart38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9.xml"/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2.xml"/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8.xml"/></Relationships>
</file>

<file path=xl/drawings/_rels/drawing9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1.xml"/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171450</xdr:colOff>
      <xdr:row>2</xdr:row>
      <xdr:rowOff>95250</xdr:rowOff>
    </xdr:from>
    <xdr:to>
      <xdr:col>18</xdr:col>
      <xdr:colOff>461010</xdr:colOff>
      <xdr:row>25</xdr:row>
      <xdr:rowOff>123825</xdr:rowOff>
    </xdr:to>
    <xdr:pic>
      <xdr:nvPicPr>
        <xdr:cNvPr id="350" name="Picture 349"/>
        <xdr:cNvPicPr/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2211050" y="476250"/>
          <a:ext cx="3718560" cy="4200525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21</xdr:col>
      <xdr:colOff>38100</xdr:colOff>
      <xdr:row>2</xdr:row>
      <xdr:rowOff>129267</xdr:rowOff>
    </xdr:from>
    <xdr:to>
      <xdr:col>26</xdr:col>
      <xdr:colOff>636494</xdr:colOff>
      <xdr:row>25</xdr:row>
      <xdr:rowOff>171450</xdr:rowOff>
    </xdr:to>
    <xdr:pic>
      <xdr:nvPicPr>
        <xdr:cNvPr id="352" name="Picture 351"/>
        <xdr:cNvPicPr/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64100" y="500742"/>
          <a:ext cx="4027394" cy="4214133"/>
        </a:xfrm>
        <a:prstGeom prst="rect">
          <a:avLst/>
        </a:prstGeom>
        <a:ln>
          <a:noFill/>
        </a:ln>
        <a:effectLst>
          <a:outerShdw blurRad="292100" dist="139700" dir="2700000" algn="tl" rotWithShape="0">
            <a:srgbClr val="333333">
              <a:alpha val="65000"/>
            </a:srgbClr>
          </a:outerShdw>
        </a:effectLst>
      </xdr:spPr>
    </xdr:pic>
    <xdr:clientData/>
  </xdr:twoCellAnchor>
  <xdr:twoCellAnchor>
    <xdr:from>
      <xdr:col>19</xdr:col>
      <xdr:colOff>647700</xdr:colOff>
      <xdr:row>9</xdr:row>
      <xdr:rowOff>76201</xdr:rowOff>
    </xdr:from>
    <xdr:to>
      <xdr:col>20</xdr:col>
      <xdr:colOff>126410</xdr:colOff>
      <xdr:row>22</xdr:row>
      <xdr:rowOff>22106</xdr:rowOff>
    </xdr:to>
    <xdr:sp macro="" textlink="">
      <xdr:nvSpPr>
        <xdr:cNvPr id="353" name="AutoShape 39"/>
        <xdr:cNvSpPr>
          <a:spLocks noChangeArrowheads="1"/>
        </xdr:cNvSpPr>
      </xdr:nvSpPr>
      <xdr:spPr bwMode="gray">
        <a:xfrm rot="5400000">
          <a:off x="15730302" y="2919649"/>
          <a:ext cx="2422405" cy="164510"/>
        </a:xfrm>
        <a:prstGeom prst="triangle">
          <a:avLst>
            <a:gd name="adj" fmla="val 50000"/>
          </a:avLst>
        </a:prstGeom>
        <a:gradFill rotWithShape="0">
          <a:gsLst>
            <a:gs pos="0">
              <a:srgbClr val="FFCCFF"/>
            </a:gs>
            <a:gs pos="78999">
              <a:srgbClr val="E20074"/>
            </a:gs>
            <a:gs pos="100000">
              <a:schemeClr val="tx2"/>
            </a:gs>
          </a:gsLst>
          <a:lin ang="10800000"/>
        </a:gradFill>
        <a:ln w="12700" algn="ctr">
          <a:solidFill>
            <a:schemeClr val="tx2"/>
          </a:solidFill>
          <a:round/>
          <a:headEnd/>
          <a:tailEnd/>
        </a:ln>
      </xdr:spPr>
      <xdr:txBody>
        <a:bodyPr rot="10800000" vert="eaVert" wrap="square" lIns="79383" tIns="0" rIns="0" bIns="0"/>
        <a:lstStyle>
          <a:defPPr>
            <a:defRPr lang="de-DE"/>
          </a:defPPr>
          <a:lvl1pPr marL="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57607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115214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72821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2304288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880360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3456432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4032504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4608576" algn="l" defTabSz="1152144" rtl="0" eaLnBrk="1" latinLnBrk="0" hangingPunct="1">
            <a:defRPr sz="23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pPr marL="243259" indent="-243259" algn="ctr">
            <a:spcBef>
              <a:spcPct val="0"/>
            </a:spcBef>
            <a:defRPr/>
          </a:pPr>
          <a:endParaRPr lang="en-GB" sz="1800">
            <a:solidFill>
              <a:schemeClr val="bg1"/>
            </a:solidFill>
            <a:latin typeface="Tele-GroteskFet" pitchFamily="2" charset="0"/>
            <a:cs typeface="Arial" charset="0"/>
          </a:endParaRPr>
        </a:p>
      </xdr:txBody>
    </xdr:sp>
    <xdr:clientData/>
  </xdr:twoCellAnchor>
  <xdr:oneCellAnchor>
    <xdr:from>
      <xdr:col>17</xdr:col>
      <xdr:colOff>190500</xdr:colOff>
      <xdr:row>6</xdr:row>
      <xdr:rowOff>95250</xdr:rowOff>
    </xdr:from>
    <xdr:ext cx="519693" cy="264560"/>
    <xdr:sp macro="" textlink="">
      <xdr:nvSpPr>
        <xdr:cNvPr id="2" name="TextBox 1"/>
        <xdr:cNvSpPr txBox="1"/>
      </xdr:nvSpPr>
      <xdr:spPr>
        <a:xfrm>
          <a:off x="14973300" y="12001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15</xdr:col>
      <xdr:colOff>238125</xdr:colOff>
      <xdr:row>8</xdr:row>
      <xdr:rowOff>38100</xdr:rowOff>
    </xdr:from>
    <xdr:ext cx="745910" cy="264560"/>
    <xdr:sp macro="" textlink="">
      <xdr:nvSpPr>
        <xdr:cNvPr id="7" name="TextBox 6"/>
        <xdr:cNvSpPr txBox="1"/>
      </xdr:nvSpPr>
      <xdr:spPr>
        <a:xfrm>
          <a:off x="13649325" y="150495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15</xdr:col>
      <xdr:colOff>361950</xdr:colOff>
      <xdr:row>4</xdr:row>
      <xdr:rowOff>85725</xdr:rowOff>
    </xdr:from>
    <xdr:ext cx="716671" cy="264560"/>
    <xdr:sp macro="" textlink="">
      <xdr:nvSpPr>
        <xdr:cNvPr id="8" name="TextBox 7"/>
        <xdr:cNvSpPr txBox="1"/>
      </xdr:nvSpPr>
      <xdr:spPr>
        <a:xfrm>
          <a:off x="13773150" y="819150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16</xdr:col>
      <xdr:colOff>676275</xdr:colOff>
      <xdr:row>11</xdr:row>
      <xdr:rowOff>133350</xdr:rowOff>
    </xdr:from>
    <xdr:ext cx="575222" cy="264560"/>
    <xdr:sp macro="" textlink="">
      <xdr:nvSpPr>
        <xdr:cNvPr id="9" name="TextBox 8"/>
        <xdr:cNvSpPr txBox="1"/>
      </xdr:nvSpPr>
      <xdr:spPr>
        <a:xfrm>
          <a:off x="14773275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14</xdr:col>
      <xdr:colOff>171450</xdr:colOff>
      <xdr:row>9</xdr:row>
      <xdr:rowOff>123825</xdr:rowOff>
    </xdr:from>
    <xdr:ext cx="777329" cy="264560"/>
    <xdr:sp macro="" textlink="">
      <xdr:nvSpPr>
        <xdr:cNvPr id="10" name="TextBox 9"/>
        <xdr:cNvSpPr txBox="1"/>
      </xdr:nvSpPr>
      <xdr:spPr>
        <a:xfrm>
          <a:off x="12896850" y="1771650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85725</xdr:colOff>
      <xdr:row>10</xdr:row>
      <xdr:rowOff>85725</xdr:rowOff>
    </xdr:from>
    <xdr:ext cx="869405" cy="264560"/>
    <xdr:sp macro="" textlink="">
      <xdr:nvSpPr>
        <xdr:cNvPr id="11" name="TextBox 10"/>
        <xdr:cNvSpPr txBox="1"/>
      </xdr:nvSpPr>
      <xdr:spPr>
        <a:xfrm>
          <a:off x="12125325" y="19145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050"/>
            <a:t>Duesseldorf</a:t>
          </a:r>
          <a:endParaRPr lang="ur-PK" sz="1050"/>
        </a:p>
      </xdr:txBody>
    </xdr:sp>
    <xdr:clientData/>
  </xdr:oneCellAnchor>
  <xdr:oneCellAnchor>
    <xdr:from>
      <xdr:col>21</xdr:col>
      <xdr:colOff>666750</xdr:colOff>
      <xdr:row>10</xdr:row>
      <xdr:rowOff>104775</xdr:rowOff>
    </xdr:from>
    <xdr:ext cx="777329" cy="264560"/>
    <xdr:sp macro="" textlink="">
      <xdr:nvSpPr>
        <xdr:cNvPr id="12" name="TextBox 11"/>
        <xdr:cNvSpPr txBox="1"/>
      </xdr:nvSpPr>
      <xdr:spPr>
        <a:xfrm>
          <a:off x="18192750" y="1933575"/>
          <a:ext cx="777329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Dortmund</a:t>
          </a:r>
          <a:endParaRPr lang="ur-PK" sz="1100"/>
        </a:p>
      </xdr:txBody>
    </xdr:sp>
    <xdr:clientData/>
  </xdr:oneCellAnchor>
  <xdr:oneCellAnchor>
    <xdr:from>
      <xdr:col>13</xdr:col>
      <xdr:colOff>457200</xdr:colOff>
      <xdr:row>14</xdr:row>
      <xdr:rowOff>171450</xdr:rowOff>
    </xdr:from>
    <xdr:ext cx="438838" cy="264560"/>
    <xdr:sp macro="" textlink="">
      <xdr:nvSpPr>
        <xdr:cNvPr id="13" name="TextBox 12"/>
        <xdr:cNvSpPr txBox="1"/>
      </xdr:nvSpPr>
      <xdr:spPr>
        <a:xfrm>
          <a:off x="12496800" y="272415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21</xdr:col>
      <xdr:colOff>581025</xdr:colOff>
      <xdr:row>15</xdr:row>
      <xdr:rowOff>85725</xdr:rowOff>
    </xdr:from>
    <xdr:ext cx="438838" cy="264560"/>
    <xdr:sp macro="" textlink="">
      <xdr:nvSpPr>
        <xdr:cNvPr id="14" name="TextBox 13"/>
        <xdr:cNvSpPr txBox="1"/>
      </xdr:nvSpPr>
      <xdr:spPr>
        <a:xfrm>
          <a:off x="18107025" y="2819400"/>
          <a:ext cx="438838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Koln</a:t>
          </a:r>
          <a:endParaRPr lang="ur-PK" sz="1100"/>
        </a:p>
      </xdr:txBody>
    </xdr:sp>
    <xdr:clientData/>
  </xdr:oneCellAnchor>
  <xdr:oneCellAnchor>
    <xdr:from>
      <xdr:col>24</xdr:col>
      <xdr:colOff>552450</xdr:colOff>
      <xdr:row>11</xdr:row>
      <xdr:rowOff>133350</xdr:rowOff>
    </xdr:from>
    <xdr:ext cx="575222" cy="264560"/>
    <xdr:sp macro="" textlink="">
      <xdr:nvSpPr>
        <xdr:cNvPr id="15" name="TextBox 14"/>
        <xdr:cNvSpPr txBox="1"/>
      </xdr:nvSpPr>
      <xdr:spPr>
        <a:xfrm>
          <a:off x="20135850" y="2143125"/>
          <a:ext cx="57522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Leipzig</a:t>
          </a:r>
          <a:endParaRPr lang="ur-PK" sz="1100"/>
        </a:p>
      </xdr:txBody>
    </xdr:sp>
    <xdr:clientData/>
  </xdr:oneCellAnchor>
  <xdr:oneCellAnchor>
    <xdr:from>
      <xdr:col>24</xdr:col>
      <xdr:colOff>657225</xdr:colOff>
      <xdr:row>7</xdr:row>
      <xdr:rowOff>104775</xdr:rowOff>
    </xdr:from>
    <xdr:ext cx="519693" cy="264560"/>
    <xdr:sp macro="" textlink="">
      <xdr:nvSpPr>
        <xdr:cNvPr id="16" name="TextBox 15"/>
        <xdr:cNvSpPr txBox="1"/>
      </xdr:nvSpPr>
      <xdr:spPr>
        <a:xfrm>
          <a:off x="20240625" y="1390650"/>
          <a:ext cx="51969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Berlin</a:t>
          </a:r>
          <a:endParaRPr lang="ur-PK" sz="1100"/>
        </a:p>
      </xdr:txBody>
    </xdr:sp>
    <xdr:clientData/>
  </xdr:oneCellAnchor>
  <xdr:oneCellAnchor>
    <xdr:from>
      <xdr:col>23</xdr:col>
      <xdr:colOff>371475</xdr:colOff>
      <xdr:row>6</xdr:row>
      <xdr:rowOff>9525</xdr:rowOff>
    </xdr:from>
    <xdr:ext cx="716671" cy="264560"/>
    <xdr:sp macro="" textlink="">
      <xdr:nvSpPr>
        <xdr:cNvPr id="17" name="TextBox 16"/>
        <xdr:cNvSpPr txBox="1"/>
      </xdr:nvSpPr>
      <xdr:spPr>
        <a:xfrm>
          <a:off x="19269075" y="1114425"/>
          <a:ext cx="716671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Hamburg</a:t>
          </a:r>
          <a:endParaRPr lang="ur-PK" sz="1100"/>
        </a:p>
      </xdr:txBody>
    </xdr:sp>
    <xdr:clientData/>
  </xdr:oneCellAnchor>
  <xdr:oneCellAnchor>
    <xdr:from>
      <xdr:col>23</xdr:col>
      <xdr:colOff>333375</xdr:colOff>
      <xdr:row>9</xdr:row>
      <xdr:rowOff>66675</xdr:rowOff>
    </xdr:from>
    <xdr:ext cx="745910" cy="264560"/>
    <xdr:sp macro="" textlink="">
      <xdr:nvSpPr>
        <xdr:cNvPr id="18" name="TextBox 17"/>
        <xdr:cNvSpPr txBox="1"/>
      </xdr:nvSpPr>
      <xdr:spPr>
        <a:xfrm>
          <a:off x="19230975" y="1714500"/>
          <a:ext cx="745910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Hannover</a:t>
          </a:r>
          <a:endParaRPr lang="ur-PK" sz="1100"/>
        </a:p>
      </xdr:txBody>
    </xdr:sp>
    <xdr:clientData/>
  </xdr:oneCellAnchor>
  <xdr:oneCellAnchor>
    <xdr:from>
      <xdr:col>22</xdr:col>
      <xdr:colOff>561975</xdr:colOff>
      <xdr:row>15</xdr:row>
      <xdr:rowOff>123825</xdr:rowOff>
    </xdr:from>
    <xdr:ext cx="718082" cy="264560"/>
    <xdr:sp macro="" textlink="">
      <xdr:nvSpPr>
        <xdr:cNvPr id="20" name="TextBox 19"/>
        <xdr:cNvSpPr txBox="1"/>
      </xdr:nvSpPr>
      <xdr:spPr>
        <a:xfrm>
          <a:off x="18773775" y="285750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14</xdr:col>
      <xdr:colOff>466725</xdr:colOff>
      <xdr:row>15</xdr:row>
      <xdr:rowOff>28575</xdr:rowOff>
    </xdr:from>
    <xdr:ext cx="718082" cy="264560"/>
    <xdr:sp macro="" textlink="">
      <xdr:nvSpPr>
        <xdr:cNvPr id="21" name="TextBox 20"/>
        <xdr:cNvSpPr txBox="1"/>
      </xdr:nvSpPr>
      <xdr:spPr>
        <a:xfrm>
          <a:off x="13192125" y="2762250"/>
          <a:ext cx="71808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Frankfurt</a:t>
          </a:r>
          <a:endParaRPr lang="ur-PK" sz="1100"/>
        </a:p>
      </xdr:txBody>
    </xdr:sp>
    <xdr:clientData/>
  </xdr:oneCellAnchor>
  <xdr:oneCellAnchor>
    <xdr:from>
      <xdr:col>20</xdr:col>
      <xdr:colOff>666750</xdr:colOff>
      <xdr:row>11</xdr:row>
      <xdr:rowOff>133350</xdr:rowOff>
    </xdr:from>
    <xdr:ext cx="869405" cy="264560"/>
    <xdr:sp macro="" textlink="">
      <xdr:nvSpPr>
        <xdr:cNvPr id="22" name="TextBox 21"/>
        <xdr:cNvSpPr txBox="1"/>
      </xdr:nvSpPr>
      <xdr:spPr>
        <a:xfrm>
          <a:off x="17506950" y="2143125"/>
          <a:ext cx="86940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Duesseldorf</a:t>
          </a:r>
          <a:endParaRPr lang="ur-PK" sz="1100"/>
        </a:p>
      </xdr:txBody>
    </xdr:sp>
    <xdr:clientData/>
  </xdr:oneCellAnchor>
  <xdr:oneCellAnchor>
    <xdr:from>
      <xdr:col>24</xdr:col>
      <xdr:colOff>47625</xdr:colOff>
      <xdr:row>17</xdr:row>
      <xdr:rowOff>114300</xdr:rowOff>
    </xdr:from>
    <xdr:ext cx="733085" cy="264560"/>
    <xdr:sp macro="" textlink="">
      <xdr:nvSpPr>
        <xdr:cNvPr id="23" name="TextBox 22"/>
        <xdr:cNvSpPr txBox="1"/>
      </xdr:nvSpPr>
      <xdr:spPr>
        <a:xfrm>
          <a:off x="19631025" y="3209925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16</xdr:col>
      <xdr:colOff>0</xdr:colOff>
      <xdr:row>17</xdr:row>
      <xdr:rowOff>85725</xdr:rowOff>
    </xdr:from>
    <xdr:ext cx="733085" cy="264560"/>
    <xdr:sp macro="" textlink="">
      <xdr:nvSpPr>
        <xdr:cNvPr id="24" name="TextBox 23"/>
        <xdr:cNvSpPr txBox="1"/>
      </xdr:nvSpPr>
      <xdr:spPr>
        <a:xfrm>
          <a:off x="14097000" y="3181350"/>
          <a:ext cx="733085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Nurnberg</a:t>
          </a:r>
          <a:endParaRPr lang="ur-PK" sz="1100"/>
        </a:p>
      </xdr:txBody>
    </xdr:sp>
    <xdr:clientData/>
  </xdr:oneCellAnchor>
  <xdr:oneCellAnchor>
    <xdr:from>
      <xdr:col>14</xdr:col>
      <xdr:colOff>314325</xdr:colOff>
      <xdr:row>19</xdr:row>
      <xdr:rowOff>9525</xdr:rowOff>
    </xdr:from>
    <xdr:ext cx="695832" cy="264560"/>
    <xdr:sp macro="" textlink="">
      <xdr:nvSpPr>
        <xdr:cNvPr id="25" name="TextBox 24"/>
        <xdr:cNvSpPr txBox="1"/>
      </xdr:nvSpPr>
      <xdr:spPr>
        <a:xfrm>
          <a:off x="13039725" y="3467100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15</xdr:col>
      <xdr:colOff>180975</xdr:colOff>
      <xdr:row>23</xdr:row>
      <xdr:rowOff>47625</xdr:rowOff>
    </xdr:from>
    <xdr:ext cx="420243" cy="264560"/>
    <xdr:sp macro="" textlink="">
      <xdr:nvSpPr>
        <xdr:cNvPr id="26" name="TextBox 25"/>
        <xdr:cNvSpPr txBox="1"/>
      </xdr:nvSpPr>
      <xdr:spPr>
        <a:xfrm>
          <a:off x="13592175" y="422910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23</xdr:col>
      <xdr:colOff>238125</xdr:colOff>
      <xdr:row>23</xdr:row>
      <xdr:rowOff>28575</xdr:rowOff>
    </xdr:from>
    <xdr:ext cx="420243" cy="264560"/>
    <xdr:sp macro="" textlink="">
      <xdr:nvSpPr>
        <xdr:cNvPr id="27" name="TextBox 26"/>
        <xdr:cNvSpPr txBox="1"/>
      </xdr:nvSpPr>
      <xdr:spPr>
        <a:xfrm>
          <a:off x="19135725" y="4210050"/>
          <a:ext cx="420243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Ulm</a:t>
          </a:r>
          <a:endParaRPr lang="ur-PK" sz="1100"/>
        </a:p>
      </xdr:txBody>
    </xdr:sp>
    <xdr:clientData/>
  </xdr:oneCellAnchor>
  <xdr:oneCellAnchor>
    <xdr:from>
      <xdr:col>22</xdr:col>
      <xdr:colOff>171450</xdr:colOff>
      <xdr:row>19</xdr:row>
      <xdr:rowOff>95250</xdr:rowOff>
    </xdr:from>
    <xdr:ext cx="695832" cy="264560"/>
    <xdr:sp macro="" textlink="">
      <xdr:nvSpPr>
        <xdr:cNvPr id="28" name="TextBox 27"/>
        <xdr:cNvSpPr txBox="1"/>
      </xdr:nvSpPr>
      <xdr:spPr>
        <a:xfrm>
          <a:off x="18383250" y="3552825"/>
          <a:ext cx="695832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Stuttgart</a:t>
          </a:r>
          <a:endParaRPr lang="ur-PK" sz="1100"/>
        </a:p>
      </xdr:txBody>
    </xdr:sp>
    <xdr:clientData/>
  </xdr:oneCellAnchor>
  <xdr:oneCellAnchor>
    <xdr:from>
      <xdr:col>24</xdr:col>
      <xdr:colOff>457200</xdr:colOff>
      <xdr:row>22</xdr:row>
      <xdr:rowOff>85725</xdr:rowOff>
    </xdr:from>
    <xdr:ext cx="619657" cy="264560"/>
    <xdr:sp macro="" textlink="">
      <xdr:nvSpPr>
        <xdr:cNvPr id="29" name="TextBox 28"/>
        <xdr:cNvSpPr txBox="1"/>
      </xdr:nvSpPr>
      <xdr:spPr>
        <a:xfrm>
          <a:off x="20040600" y="408622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  <xdr:oneCellAnchor>
    <xdr:from>
      <xdr:col>16</xdr:col>
      <xdr:colOff>476250</xdr:colOff>
      <xdr:row>22</xdr:row>
      <xdr:rowOff>66675</xdr:rowOff>
    </xdr:from>
    <xdr:ext cx="619657" cy="264560"/>
    <xdr:sp macro="" textlink="">
      <xdr:nvSpPr>
        <xdr:cNvPr id="30" name="TextBox 29"/>
        <xdr:cNvSpPr txBox="1"/>
      </xdr:nvSpPr>
      <xdr:spPr>
        <a:xfrm>
          <a:off x="14573250" y="4067175"/>
          <a:ext cx="619657" cy="264560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1" anchor="t">
          <a:spAutoFit/>
        </a:bodyPr>
        <a:lstStyle/>
        <a:p>
          <a:r>
            <a:rPr lang="en-US" sz="1100"/>
            <a:t>Munich</a:t>
          </a:r>
          <a:endParaRPr lang="ur-PK" sz="1100"/>
        </a:p>
      </xdr:txBody>
    </xdr:sp>
    <xdr:clientData/>
  </xdr:one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1185334</xdr:colOff>
      <xdr:row>38</xdr:row>
      <xdr:rowOff>120649</xdr:rowOff>
    </xdr:from>
    <xdr:to>
      <xdr:col>30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1185334</xdr:colOff>
      <xdr:row>38</xdr:row>
      <xdr:rowOff>120649</xdr:rowOff>
    </xdr:from>
    <xdr:to>
      <xdr:col>30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1185334</xdr:colOff>
      <xdr:row>38</xdr:row>
      <xdr:rowOff>120649</xdr:rowOff>
    </xdr:from>
    <xdr:to>
      <xdr:col>30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281781</xdr:colOff>
      <xdr:row>12</xdr:row>
      <xdr:rowOff>164307</xdr:rowOff>
    </xdr:from>
    <xdr:to>
      <xdr:col>9</xdr:col>
      <xdr:colOff>359229</xdr:colOff>
      <xdr:row>27</xdr:row>
      <xdr:rowOff>169069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567531</xdr:colOff>
      <xdr:row>16</xdr:row>
      <xdr:rowOff>116682</xdr:rowOff>
    </xdr:from>
    <xdr:to>
      <xdr:col>8</xdr:col>
      <xdr:colOff>35719</xdr:colOff>
      <xdr:row>31</xdr:row>
      <xdr:rowOff>121444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206373</xdr:colOff>
      <xdr:row>19</xdr:row>
      <xdr:rowOff>160338</xdr:rowOff>
    </xdr:from>
    <xdr:to>
      <xdr:col>12</xdr:col>
      <xdr:colOff>228600</xdr:colOff>
      <xdr:row>34</xdr:row>
      <xdr:rowOff>188914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1015998</xdr:colOff>
      <xdr:row>31</xdr:row>
      <xdr:rowOff>100806</xdr:rowOff>
    </xdr:from>
    <xdr:to>
      <xdr:col>14</xdr:col>
      <xdr:colOff>543717</xdr:colOff>
      <xdr:row>46</xdr:row>
      <xdr:rowOff>93663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11905</xdr:colOff>
      <xdr:row>0</xdr:row>
      <xdr:rowOff>176213</xdr:rowOff>
    </xdr:from>
    <xdr:to>
      <xdr:col>9</xdr:col>
      <xdr:colOff>103186</xdr:colOff>
      <xdr:row>15</xdr:row>
      <xdr:rowOff>61913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539749</xdr:colOff>
      <xdr:row>1</xdr:row>
      <xdr:rowOff>1589</xdr:rowOff>
    </xdr:from>
    <xdr:to>
      <xdr:col>15</xdr:col>
      <xdr:colOff>698500</xdr:colOff>
      <xdr:row>15</xdr:row>
      <xdr:rowOff>77789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83345</xdr:colOff>
      <xdr:row>25</xdr:row>
      <xdr:rowOff>0</xdr:rowOff>
    </xdr:from>
    <xdr:to>
      <xdr:col>12</xdr:col>
      <xdr:colOff>1309689</xdr:colOff>
      <xdr:row>39</xdr:row>
      <xdr:rowOff>85725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71437</xdr:colOff>
      <xdr:row>40</xdr:row>
      <xdr:rowOff>142875</xdr:rowOff>
    </xdr:from>
    <xdr:to>
      <xdr:col>12</xdr:col>
      <xdr:colOff>1297782</xdr:colOff>
      <xdr:row>55</xdr:row>
      <xdr:rowOff>38100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35719</xdr:colOff>
      <xdr:row>56</xdr:row>
      <xdr:rowOff>95250</xdr:rowOff>
    </xdr:from>
    <xdr:to>
      <xdr:col>12</xdr:col>
      <xdr:colOff>1262064</xdr:colOff>
      <xdr:row>70</xdr:row>
      <xdr:rowOff>180975</xdr:rowOff>
    </xdr:to>
    <xdr:graphicFrame macro="">
      <xdr:nvGraphicFramePr>
        <xdr:cNvPr id="7" name="Chart 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214313</xdr:colOff>
      <xdr:row>68</xdr:row>
      <xdr:rowOff>154782</xdr:rowOff>
    </xdr:from>
    <xdr:to>
      <xdr:col>5</xdr:col>
      <xdr:colOff>178594</xdr:colOff>
      <xdr:row>83</xdr:row>
      <xdr:rowOff>40482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33</xdr:col>
      <xdr:colOff>549010</xdr:colOff>
      <xdr:row>3</xdr:row>
      <xdr:rowOff>132292</xdr:rowOff>
    </xdr:from>
    <xdr:to>
      <xdr:col>49</xdr:col>
      <xdr:colOff>593990</xdr:colOff>
      <xdr:row>20</xdr:row>
      <xdr:rowOff>23547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0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0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22</xdr:col>
      <xdr:colOff>3132666</xdr:colOff>
      <xdr:row>32</xdr:row>
      <xdr:rowOff>94192</xdr:rowOff>
    </xdr:from>
    <xdr:to>
      <xdr:col>34</xdr:col>
      <xdr:colOff>146315</xdr:colOff>
      <xdr:row>49</xdr:row>
      <xdr:rowOff>78316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21</xdr:col>
      <xdr:colOff>0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21</xdr:col>
      <xdr:colOff>0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34</xdr:col>
      <xdr:colOff>571501</xdr:colOff>
      <xdr:row>22</xdr:row>
      <xdr:rowOff>1587</xdr:rowOff>
    </xdr:from>
    <xdr:to>
      <xdr:col>50</xdr:col>
      <xdr:colOff>624417</xdr:colOff>
      <xdr:row>37</xdr:row>
      <xdr:rowOff>117475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28</xdr:col>
      <xdr:colOff>590021</xdr:colOff>
      <xdr:row>11</xdr:row>
      <xdr:rowOff>154781</xdr:rowOff>
    </xdr:from>
    <xdr:to>
      <xdr:col>42</xdr:col>
      <xdr:colOff>523875</xdr:colOff>
      <xdr:row>29</xdr:row>
      <xdr:rowOff>70114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1185334</xdr:colOff>
      <xdr:row>38</xdr:row>
      <xdr:rowOff>120649</xdr:rowOff>
    </xdr:from>
    <xdr:to>
      <xdr:col>30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64293</xdr:colOff>
      <xdr:row>58</xdr:row>
      <xdr:rowOff>11905</xdr:rowOff>
    </xdr:from>
    <xdr:to>
      <xdr:col>24</xdr:col>
      <xdr:colOff>502443</xdr:colOff>
      <xdr:row>76</xdr:row>
      <xdr:rowOff>59530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23</xdr:col>
      <xdr:colOff>178595</xdr:colOff>
      <xdr:row>41</xdr:row>
      <xdr:rowOff>152399</xdr:rowOff>
    </xdr:from>
    <xdr:to>
      <xdr:col>28</xdr:col>
      <xdr:colOff>71437</xdr:colOff>
      <xdr:row>58</xdr:row>
      <xdr:rowOff>61912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28</xdr:col>
      <xdr:colOff>119061</xdr:colOff>
      <xdr:row>9</xdr:row>
      <xdr:rowOff>116681</xdr:rowOff>
    </xdr:from>
    <xdr:to>
      <xdr:col>38</xdr:col>
      <xdr:colOff>583406</xdr:colOff>
      <xdr:row>22</xdr:row>
      <xdr:rowOff>47624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761999</xdr:colOff>
      <xdr:row>93</xdr:row>
      <xdr:rowOff>38100</xdr:rowOff>
    </xdr:from>
    <xdr:to>
      <xdr:col>23</xdr:col>
      <xdr:colOff>10583</xdr:colOff>
      <xdr:row>117</xdr:row>
      <xdr:rowOff>137583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657222</xdr:colOff>
      <xdr:row>61</xdr:row>
      <xdr:rowOff>76201</xdr:rowOff>
    </xdr:from>
    <xdr:to>
      <xdr:col>23</xdr:col>
      <xdr:colOff>10582</xdr:colOff>
      <xdr:row>84</xdr:row>
      <xdr:rowOff>9526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23</xdr:col>
      <xdr:colOff>1185334</xdr:colOff>
      <xdr:row>38</xdr:row>
      <xdr:rowOff>120649</xdr:rowOff>
    </xdr:from>
    <xdr:to>
      <xdr:col>30</xdr:col>
      <xdr:colOff>412751</xdr:colOff>
      <xdr:row>55</xdr:row>
      <xdr:rowOff>10583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638" displayName="Table638" ref="A3:C4" totalsRowShown="0" headerRowDxfId="14" dataDxfId="12" headerRowBorderDxfId="13" headerRowCellStyle="Neutral" dataCellStyle="Comma">
  <tableColumns count="3">
    <tableColumn id="1" name="IP Links" dataDxfId="11" dataCellStyle="Comma"/>
    <tableColumn id="2" name="Working capacity of IP link e [Gbit/s]:" dataDxfId="10" dataCellStyle="Comma"/>
    <tableColumn id="4" name="Spare capacity of IP link e [Gbit/s]:" dataDxfId="9" dataCellStyle="Comma">
      <calculatedColumnFormula>D4-B4</calculatedColumnFormula>
    </tableColumn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/>
  </sheetPr>
  <dimension ref="A1:W34"/>
  <sheetViews>
    <sheetView topLeftCell="F1" zoomScaleNormal="100" workbookViewId="0">
      <selection activeCell="L2" sqref="L2"/>
    </sheetView>
  </sheetViews>
  <sheetFormatPr defaultRowHeight="15"/>
  <cols>
    <col min="2" max="2" width="13.140625" customWidth="1"/>
    <col min="3" max="3" width="12.42578125" customWidth="1"/>
    <col min="4" max="4" width="18.42578125" customWidth="1"/>
    <col min="5" max="5" width="17.42578125" customWidth="1"/>
    <col min="6" max="8" width="22.28515625" customWidth="1"/>
    <col min="9" max="9" width="18.5703125" customWidth="1"/>
    <col min="10" max="10" width="17.140625" customWidth="1"/>
    <col min="11" max="12" width="17" customWidth="1"/>
  </cols>
  <sheetData>
    <row r="1" spans="1:23">
      <c r="A1" s="4" t="s">
        <v>32</v>
      </c>
      <c r="B1" s="4" t="s">
        <v>35</v>
      </c>
      <c r="C1" s="4" t="s">
        <v>34</v>
      </c>
      <c r="D1" s="4" t="s">
        <v>1</v>
      </c>
      <c r="E1" s="4" t="s">
        <v>41</v>
      </c>
      <c r="F1" s="4" t="s">
        <v>37</v>
      </c>
      <c r="G1" s="247" t="s">
        <v>457</v>
      </c>
      <c r="H1" s="247" t="s">
        <v>459</v>
      </c>
      <c r="I1" s="247" t="s">
        <v>43</v>
      </c>
      <c r="J1" s="4" t="s">
        <v>33</v>
      </c>
      <c r="K1" s="247" t="s">
        <v>42</v>
      </c>
      <c r="L1" s="247" t="s">
        <v>79</v>
      </c>
    </row>
    <row r="2" spans="1:23">
      <c r="A2" s="5" t="s">
        <v>0</v>
      </c>
      <c r="B2" s="6" t="s">
        <v>72</v>
      </c>
      <c r="C2" s="7">
        <v>774.56</v>
      </c>
      <c r="D2" s="8" t="s">
        <v>75</v>
      </c>
      <c r="E2" s="7">
        <v>150</v>
      </c>
      <c r="F2" s="7">
        <v>593.39250000000004</v>
      </c>
      <c r="G2" s="11">
        <v>0.75</v>
      </c>
      <c r="H2" s="11">
        <f>G2*F2</f>
        <v>445.04437500000006</v>
      </c>
      <c r="I2" s="11">
        <f>CEILING(H2/(E2*0.84),1)</f>
        <v>4</v>
      </c>
      <c r="J2" s="7">
        <f>I2*E2</f>
        <v>600</v>
      </c>
      <c r="K2" s="333">
        <f>J2-H2</f>
        <v>154.95562499999994</v>
      </c>
      <c r="L2" s="9">
        <f>(H2/J2)*100</f>
        <v>74.174062500000019</v>
      </c>
      <c r="P2" s="3" t="s">
        <v>39</v>
      </c>
      <c r="W2" s="3" t="s">
        <v>40</v>
      </c>
    </row>
    <row r="3" spans="1:23">
      <c r="A3" s="5" t="s">
        <v>2</v>
      </c>
      <c r="B3" s="10" t="s">
        <v>73</v>
      </c>
      <c r="C3" s="11">
        <v>386.9</v>
      </c>
      <c r="D3" s="11" t="s">
        <v>76</v>
      </c>
      <c r="E3" s="11">
        <v>200</v>
      </c>
      <c r="F3" s="11">
        <v>131.95400000000001</v>
      </c>
      <c r="G3" s="248">
        <v>0.75</v>
      </c>
      <c r="H3" s="11">
        <f t="shared" ref="H3:H32" si="0">G3*F3</f>
        <v>98.965500000000006</v>
      </c>
      <c r="I3" s="11">
        <f t="shared" ref="I3:I32" si="1">CEILING(H3/(E3*0.84),1)</f>
        <v>1</v>
      </c>
      <c r="J3" s="11">
        <f t="shared" ref="J3:J32" si="2">I3*E3</f>
        <v>200</v>
      </c>
      <c r="K3" s="333">
        <f t="shared" ref="K3:K33" si="3">J3-H3</f>
        <v>101.03449999999999</v>
      </c>
      <c r="L3" s="12">
        <f t="shared" ref="L3:L32" si="4">(H3/J3)*100</f>
        <v>49.482750000000003</v>
      </c>
    </row>
    <row r="4" spans="1:23">
      <c r="A4" s="5" t="s">
        <v>3</v>
      </c>
      <c r="B4" s="10" t="s">
        <v>44</v>
      </c>
      <c r="C4" s="11">
        <v>424.31</v>
      </c>
      <c r="D4" s="13" t="s">
        <v>76</v>
      </c>
      <c r="E4" s="11">
        <v>200</v>
      </c>
      <c r="F4" s="11">
        <v>79.758499999999998</v>
      </c>
      <c r="G4" s="248">
        <v>0.75</v>
      </c>
      <c r="H4" s="11">
        <f t="shared" si="0"/>
        <v>59.818874999999998</v>
      </c>
      <c r="I4" s="11">
        <f t="shared" si="1"/>
        <v>1</v>
      </c>
      <c r="J4" s="11">
        <f t="shared" si="2"/>
        <v>200</v>
      </c>
      <c r="K4" s="333">
        <f t="shared" si="3"/>
        <v>140.18112500000001</v>
      </c>
      <c r="L4" s="12">
        <f t="shared" si="4"/>
        <v>29.909437499999996</v>
      </c>
      <c r="P4" s="1"/>
    </row>
    <row r="5" spans="1:23">
      <c r="A5" s="5" t="s">
        <v>4</v>
      </c>
      <c r="B5" s="10" t="s">
        <v>45</v>
      </c>
      <c r="C5" s="11">
        <v>221.095</v>
      </c>
      <c r="D5" s="11" t="s">
        <v>77</v>
      </c>
      <c r="E5" s="11">
        <v>250</v>
      </c>
      <c r="F5" s="11">
        <v>165.54</v>
      </c>
      <c r="G5" s="248">
        <v>0.75</v>
      </c>
      <c r="H5" s="11">
        <f t="shared" si="0"/>
        <v>124.155</v>
      </c>
      <c r="I5" s="11">
        <f t="shared" si="1"/>
        <v>1</v>
      </c>
      <c r="J5" s="11">
        <f t="shared" si="2"/>
        <v>250</v>
      </c>
      <c r="K5" s="333">
        <f t="shared" si="3"/>
        <v>125.845</v>
      </c>
      <c r="L5" s="12">
        <f t="shared" si="4"/>
        <v>49.661999999999999</v>
      </c>
      <c r="O5" s="2" t="s">
        <v>38</v>
      </c>
      <c r="P5" s="1"/>
    </row>
    <row r="6" spans="1:23">
      <c r="A6" s="5" t="s">
        <v>5</v>
      </c>
      <c r="B6" s="10" t="s">
        <v>46</v>
      </c>
      <c r="C6" s="11">
        <v>87.444999999999993</v>
      </c>
      <c r="D6" s="11" t="s">
        <v>78</v>
      </c>
      <c r="E6" s="11">
        <v>300</v>
      </c>
      <c r="F6" s="11">
        <v>330.03719999999998</v>
      </c>
      <c r="G6" s="248">
        <v>0.75</v>
      </c>
      <c r="H6" s="11">
        <f t="shared" si="0"/>
        <v>247.52789999999999</v>
      </c>
      <c r="I6" s="11">
        <f t="shared" si="1"/>
        <v>1</v>
      </c>
      <c r="J6" s="11">
        <f t="shared" si="2"/>
        <v>300</v>
      </c>
      <c r="K6" s="333">
        <f t="shared" si="3"/>
        <v>52.472100000000012</v>
      </c>
      <c r="L6" s="12">
        <f t="shared" si="4"/>
        <v>82.509299999999996</v>
      </c>
      <c r="P6" s="1"/>
    </row>
    <row r="7" spans="1:23">
      <c r="A7" s="5" t="s">
        <v>6</v>
      </c>
      <c r="B7" s="10" t="s">
        <v>47</v>
      </c>
      <c r="C7" s="11">
        <v>341.46499999999997</v>
      </c>
      <c r="D7" s="11" t="s">
        <v>76</v>
      </c>
      <c r="E7" s="11">
        <v>200</v>
      </c>
      <c r="F7" s="11">
        <v>414.50749999999999</v>
      </c>
      <c r="G7" s="248">
        <v>0.75</v>
      </c>
      <c r="H7" s="11">
        <f t="shared" si="0"/>
        <v>310.88062500000001</v>
      </c>
      <c r="I7" s="11">
        <f t="shared" si="1"/>
        <v>2</v>
      </c>
      <c r="J7" s="11">
        <f t="shared" si="2"/>
        <v>400</v>
      </c>
      <c r="K7" s="333">
        <f t="shared" si="3"/>
        <v>89.119374999999991</v>
      </c>
      <c r="L7" s="12">
        <f t="shared" si="4"/>
        <v>77.720156250000002</v>
      </c>
      <c r="P7" s="1"/>
    </row>
    <row r="8" spans="1:23">
      <c r="A8" s="5" t="s">
        <v>7</v>
      </c>
      <c r="B8" s="10" t="s">
        <v>48</v>
      </c>
      <c r="C8" s="11">
        <v>457.755</v>
      </c>
      <c r="D8" s="13" t="s">
        <v>76</v>
      </c>
      <c r="E8" s="11">
        <v>200</v>
      </c>
      <c r="F8" s="11">
        <v>200.1122</v>
      </c>
      <c r="G8" s="248">
        <v>0.75</v>
      </c>
      <c r="H8" s="11">
        <f t="shared" si="0"/>
        <v>150.08414999999999</v>
      </c>
      <c r="I8" s="11">
        <f t="shared" si="1"/>
        <v>1</v>
      </c>
      <c r="J8" s="11">
        <f t="shared" si="2"/>
        <v>200</v>
      </c>
      <c r="K8" s="333">
        <f t="shared" si="3"/>
        <v>49.915850000000006</v>
      </c>
      <c r="L8" s="12">
        <f t="shared" si="4"/>
        <v>75.042074999999997</v>
      </c>
      <c r="P8" s="1"/>
    </row>
    <row r="9" spans="1:23">
      <c r="A9" s="5" t="s">
        <v>8</v>
      </c>
      <c r="B9" s="10" t="s">
        <v>74</v>
      </c>
      <c r="C9" s="11">
        <v>632.29499999999996</v>
      </c>
      <c r="D9" s="13" t="s">
        <v>75</v>
      </c>
      <c r="E9" s="11">
        <v>150</v>
      </c>
      <c r="F9" s="20">
        <v>416.14780000000002</v>
      </c>
      <c r="G9" s="248">
        <v>0.75</v>
      </c>
      <c r="H9" s="11">
        <f t="shared" si="0"/>
        <v>312.11085000000003</v>
      </c>
      <c r="I9" s="11">
        <f t="shared" si="1"/>
        <v>3</v>
      </c>
      <c r="J9" s="11">
        <f t="shared" si="2"/>
        <v>450</v>
      </c>
      <c r="K9" s="333">
        <f t="shared" si="3"/>
        <v>137.88914999999997</v>
      </c>
      <c r="L9" s="12">
        <f t="shared" si="4"/>
        <v>69.35796666666667</v>
      </c>
      <c r="P9" s="1"/>
    </row>
    <row r="10" spans="1:23">
      <c r="A10" s="5" t="s">
        <v>9</v>
      </c>
      <c r="B10" s="10" t="s">
        <v>49</v>
      </c>
      <c r="C10" s="11">
        <v>72.555000000000007</v>
      </c>
      <c r="D10" s="11" t="s">
        <v>78</v>
      </c>
      <c r="E10" s="11">
        <v>300</v>
      </c>
      <c r="F10" s="11">
        <v>249.06020000000001</v>
      </c>
      <c r="G10" s="248">
        <v>0.75</v>
      </c>
      <c r="H10" s="11">
        <f t="shared" si="0"/>
        <v>186.79515000000001</v>
      </c>
      <c r="I10" s="11">
        <f t="shared" si="1"/>
        <v>1</v>
      </c>
      <c r="J10" s="11">
        <f t="shared" si="2"/>
        <v>300</v>
      </c>
      <c r="K10" s="333">
        <f t="shared" si="3"/>
        <v>113.20484999999999</v>
      </c>
      <c r="L10" s="12">
        <f t="shared" si="4"/>
        <v>62.265050000000002</v>
      </c>
      <c r="P10" s="1"/>
    </row>
    <row r="11" spans="1:23">
      <c r="A11" s="5" t="s">
        <v>10</v>
      </c>
      <c r="B11" s="10" t="s">
        <v>50</v>
      </c>
      <c r="C11" s="11">
        <v>894.93</v>
      </c>
      <c r="D11" s="13" t="s">
        <v>75</v>
      </c>
      <c r="E11" s="11">
        <v>150</v>
      </c>
      <c r="F11" s="11">
        <v>185.4342</v>
      </c>
      <c r="G11" s="248">
        <v>0.75</v>
      </c>
      <c r="H11" s="11">
        <f t="shared" si="0"/>
        <v>139.07565</v>
      </c>
      <c r="I11" s="11">
        <f t="shared" si="1"/>
        <v>2</v>
      </c>
      <c r="J11" s="11">
        <f t="shared" si="2"/>
        <v>300</v>
      </c>
      <c r="K11" s="333">
        <f t="shared" si="3"/>
        <v>160.92435</v>
      </c>
      <c r="L11" s="12">
        <f t="shared" si="4"/>
        <v>46.358550000000001</v>
      </c>
      <c r="P11" s="1"/>
    </row>
    <row r="12" spans="1:23">
      <c r="A12" s="5" t="s">
        <v>11</v>
      </c>
      <c r="B12" s="10" t="s">
        <v>51</v>
      </c>
      <c r="C12" s="11">
        <v>839.23</v>
      </c>
      <c r="D12" s="13" t="s">
        <v>75</v>
      </c>
      <c r="E12" s="11">
        <v>150</v>
      </c>
      <c r="F12" s="11">
        <v>213.84829999999999</v>
      </c>
      <c r="G12" s="248">
        <v>0.75</v>
      </c>
      <c r="H12" s="11">
        <f t="shared" si="0"/>
        <v>160.386225</v>
      </c>
      <c r="I12" s="11">
        <f t="shared" si="1"/>
        <v>2</v>
      </c>
      <c r="J12" s="11">
        <f t="shared" si="2"/>
        <v>300</v>
      </c>
      <c r="K12" s="333">
        <f t="shared" si="3"/>
        <v>139.613775</v>
      </c>
      <c r="L12" s="12">
        <f t="shared" si="4"/>
        <v>53.462074999999999</v>
      </c>
      <c r="P12" s="1"/>
    </row>
    <row r="13" spans="1:23">
      <c r="A13" s="5" t="s">
        <v>12</v>
      </c>
      <c r="B13" s="10" t="s">
        <v>52</v>
      </c>
      <c r="C13" s="11">
        <v>428.91</v>
      </c>
      <c r="D13" s="13" t="s">
        <v>76</v>
      </c>
      <c r="E13" s="11">
        <v>200</v>
      </c>
      <c r="F13" s="11">
        <v>320.7817</v>
      </c>
      <c r="G13" s="248">
        <v>0.75</v>
      </c>
      <c r="H13" s="11">
        <f t="shared" si="0"/>
        <v>240.586275</v>
      </c>
      <c r="I13" s="11">
        <f t="shared" si="1"/>
        <v>2</v>
      </c>
      <c r="J13" s="11">
        <f t="shared" si="2"/>
        <v>400</v>
      </c>
      <c r="K13" s="333">
        <f t="shared" si="3"/>
        <v>159.413725</v>
      </c>
      <c r="L13" s="12">
        <f t="shared" si="4"/>
        <v>60.146568749999993</v>
      </c>
      <c r="P13" s="1"/>
    </row>
    <row r="14" spans="1:23">
      <c r="A14" s="5" t="s">
        <v>13</v>
      </c>
      <c r="B14" s="10" t="s">
        <v>53</v>
      </c>
      <c r="C14" s="11">
        <v>370.31</v>
      </c>
      <c r="D14" s="11" t="s">
        <v>76</v>
      </c>
      <c r="E14" s="11">
        <v>200</v>
      </c>
      <c r="F14" s="11">
        <v>24.103169999999999</v>
      </c>
      <c r="G14" s="248">
        <v>0.75</v>
      </c>
      <c r="H14" s="11">
        <f t="shared" si="0"/>
        <v>18.077377499999997</v>
      </c>
      <c r="I14" s="11">
        <f t="shared" si="1"/>
        <v>1</v>
      </c>
      <c r="J14" s="11">
        <f t="shared" si="2"/>
        <v>200</v>
      </c>
      <c r="K14" s="333">
        <f t="shared" si="3"/>
        <v>181.92262249999999</v>
      </c>
      <c r="L14" s="12">
        <f t="shared" si="4"/>
        <v>9.0386887499999986</v>
      </c>
    </row>
    <row r="15" spans="1:23">
      <c r="A15" s="5" t="s">
        <v>14</v>
      </c>
      <c r="B15" s="10" t="s">
        <v>54</v>
      </c>
      <c r="C15" s="11">
        <v>391.72</v>
      </c>
      <c r="D15" s="11" t="s">
        <v>76</v>
      </c>
      <c r="E15" s="11">
        <v>200</v>
      </c>
      <c r="F15" s="11">
        <v>664.51419999999996</v>
      </c>
      <c r="G15" s="248">
        <v>0.75</v>
      </c>
      <c r="H15" s="11">
        <f t="shared" si="0"/>
        <v>498.38564999999994</v>
      </c>
      <c r="I15" s="11">
        <f t="shared" si="1"/>
        <v>3</v>
      </c>
      <c r="J15" s="11">
        <f t="shared" si="2"/>
        <v>600</v>
      </c>
      <c r="K15" s="333">
        <f t="shared" si="3"/>
        <v>101.61435000000006</v>
      </c>
      <c r="L15" s="12">
        <f t="shared" si="4"/>
        <v>83.064274999999981</v>
      </c>
    </row>
    <row r="16" spans="1:23">
      <c r="A16" s="5" t="s">
        <v>15</v>
      </c>
      <c r="B16" s="10" t="s">
        <v>55</v>
      </c>
      <c r="C16" s="11">
        <v>566.26</v>
      </c>
      <c r="D16" s="13" t="s">
        <v>75</v>
      </c>
      <c r="E16" s="11">
        <v>150</v>
      </c>
      <c r="F16" s="11">
        <v>424.66829999999999</v>
      </c>
      <c r="G16" s="248">
        <v>0.75</v>
      </c>
      <c r="H16" s="11">
        <f t="shared" si="0"/>
        <v>318.50122499999998</v>
      </c>
      <c r="I16" s="11">
        <f t="shared" si="1"/>
        <v>3</v>
      </c>
      <c r="J16" s="11">
        <f t="shared" si="2"/>
        <v>450</v>
      </c>
      <c r="K16" s="333">
        <f t="shared" si="3"/>
        <v>131.49877500000002</v>
      </c>
      <c r="L16" s="12">
        <f t="shared" si="4"/>
        <v>70.778049999999993</v>
      </c>
    </row>
    <row r="17" spans="1:12">
      <c r="A17" s="5" t="s">
        <v>16</v>
      </c>
      <c r="B17" s="10" t="s">
        <v>56</v>
      </c>
      <c r="C17" s="11">
        <v>268.91000000000003</v>
      </c>
      <c r="D17" s="11" t="s">
        <v>77</v>
      </c>
      <c r="E17" s="11">
        <v>250</v>
      </c>
      <c r="F17" s="11">
        <v>277.57420000000002</v>
      </c>
      <c r="G17" s="248">
        <v>0.75</v>
      </c>
      <c r="H17" s="11">
        <f t="shared" si="0"/>
        <v>208.18065000000001</v>
      </c>
      <c r="I17" s="11">
        <f t="shared" si="1"/>
        <v>1</v>
      </c>
      <c r="J17" s="11">
        <f t="shared" si="2"/>
        <v>250</v>
      </c>
      <c r="K17" s="333">
        <f t="shared" si="3"/>
        <v>41.819349999999986</v>
      </c>
      <c r="L17" s="12">
        <f t="shared" si="4"/>
        <v>83.272260000000003</v>
      </c>
    </row>
    <row r="18" spans="1:12">
      <c r="A18" s="5" t="s">
        <v>17</v>
      </c>
      <c r="B18" s="10" t="s">
        <v>57</v>
      </c>
      <c r="C18" s="11">
        <v>553.46500000000003</v>
      </c>
      <c r="D18" s="13" t="s">
        <v>75</v>
      </c>
      <c r="E18" s="11">
        <v>150</v>
      </c>
      <c r="F18" s="11">
        <v>491.47570000000002</v>
      </c>
      <c r="G18" s="248">
        <v>0.75</v>
      </c>
      <c r="H18" s="11">
        <f t="shared" si="0"/>
        <v>368.60677500000003</v>
      </c>
      <c r="I18" s="11">
        <f t="shared" si="1"/>
        <v>3</v>
      </c>
      <c r="J18" s="11">
        <f t="shared" si="2"/>
        <v>450</v>
      </c>
      <c r="K18" s="333">
        <f t="shared" si="3"/>
        <v>81.393224999999973</v>
      </c>
      <c r="L18" s="12">
        <f t="shared" si="4"/>
        <v>81.912616666666665</v>
      </c>
    </row>
    <row r="19" spans="1:12">
      <c r="A19" s="5" t="s">
        <v>18</v>
      </c>
      <c r="B19" s="10" t="s">
        <v>58</v>
      </c>
      <c r="C19" s="11">
        <v>497.76499999999999</v>
      </c>
      <c r="D19" s="13" t="s">
        <v>76</v>
      </c>
      <c r="E19" s="11">
        <v>200</v>
      </c>
      <c r="F19" s="20">
        <v>1151.328</v>
      </c>
      <c r="G19" s="248">
        <v>0.75</v>
      </c>
      <c r="H19" s="11">
        <f t="shared" si="0"/>
        <v>863.49599999999998</v>
      </c>
      <c r="I19" s="11">
        <f t="shared" si="1"/>
        <v>6</v>
      </c>
      <c r="J19" s="11">
        <f t="shared" si="2"/>
        <v>1200</v>
      </c>
      <c r="K19" s="333">
        <f t="shared" si="3"/>
        <v>336.50400000000002</v>
      </c>
      <c r="L19" s="12">
        <f t="shared" si="4"/>
        <v>71.957999999999998</v>
      </c>
    </row>
    <row r="20" spans="1:12">
      <c r="A20" s="5" t="s">
        <v>19</v>
      </c>
      <c r="B20" s="10" t="s">
        <v>59</v>
      </c>
      <c r="C20" s="11">
        <v>285.27999999999997</v>
      </c>
      <c r="D20" s="11" t="s">
        <v>77</v>
      </c>
      <c r="E20" s="11">
        <v>250</v>
      </c>
      <c r="F20" s="11">
        <v>779.52329999999995</v>
      </c>
      <c r="G20" s="248">
        <v>0.75</v>
      </c>
      <c r="H20" s="11">
        <f t="shared" si="0"/>
        <v>584.64247499999999</v>
      </c>
      <c r="I20" s="11">
        <f t="shared" si="1"/>
        <v>3</v>
      </c>
      <c r="J20" s="11">
        <f t="shared" si="2"/>
        <v>750</v>
      </c>
      <c r="K20" s="333">
        <f t="shared" si="3"/>
        <v>165.35752500000001</v>
      </c>
      <c r="L20" s="12">
        <f t="shared" si="4"/>
        <v>77.952330000000003</v>
      </c>
    </row>
    <row r="21" spans="1:12">
      <c r="A21" s="5" t="s">
        <v>20</v>
      </c>
      <c r="B21" s="10" t="s">
        <v>60</v>
      </c>
      <c r="C21" s="11">
        <v>239.47</v>
      </c>
      <c r="D21" s="11" t="s">
        <v>77</v>
      </c>
      <c r="E21" s="11">
        <v>250</v>
      </c>
      <c r="F21" s="11">
        <v>886.15449999999998</v>
      </c>
      <c r="G21" s="248">
        <v>0.75</v>
      </c>
      <c r="H21" s="11">
        <f t="shared" si="0"/>
        <v>664.61587499999996</v>
      </c>
      <c r="I21" s="11">
        <f t="shared" si="1"/>
        <v>4</v>
      </c>
      <c r="J21" s="11">
        <f t="shared" si="2"/>
        <v>1000</v>
      </c>
      <c r="K21" s="333">
        <f t="shared" si="3"/>
        <v>335.38412500000004</v>
      </c>
      <c r="L21" s="12">
        <f t="shared" si="4"/>
        <v>66.461587499999993</v>
      </c>
    </row>
    <row r="22" spans="1:12">
      <c r="A22" s="5" t="s">
        <v>21</v>
      </c>
      <c r="B22" s="10" t="s">
        <v>61</v>
      </c>
      <c r="C22" s="11">
        <v>381.34</v>
      </c>
      <c r="D22" s="11" t="s">
        <v>76</v>
      </c>
      <c r="E22" s="11">
        <v>200</v>
      </c>
      <c r="F22" s="11">
        <v>233.80699999999999</v>
      </c>
      <c r="G22" s="248">
        <v>0.75</v>
      </c>
      <c r="H22" s="11">
        <f t="shared" si="0"/>
        <v>175.35524999999998</v>
      </c>
      <c r="I22" s="11">
        <f t="shared" si="1"/>
        <v>2</v>
      </c>
      <c r="J22" s="11">
        <f t="shared" si="2"/>
        <v>400</v>
      </c>
      <c r="K22" s="333">
        <f t="shared" si="3"/>
        <v>224.64475000000002</v>
      </c>
      <c r="L22" s="12">
        <f t="shared" si="4"/>
        <v>43.838812499999996</v>
      </c>
    </row>
    <row r="23" spans="1:12">
      <c r="A23" s="5" t="s">
        <v>22</v>
      </c>
      <c r="B23" s="10" t="s">
        <v>62</v>
      </c>
      <c r="C23" s="11">
        <v>174.54</v>
      </c>
      <c r="D23" s="11" t="s">
        <v>77</v>
      </c>
      <c r="E23" s="11">
        <v>250</v>
      </c>
      <c r="F23" s="11">
        <v>80.336669999999998</v>
      </c>
      <c r="G23" s="248">
        <v>0.75</v>
      </c>
      <c r="H23" s="11">
        <f t="shared" si="0"/>
        <v>60.252502499999999</v>
      </c>
      <c r="I23" s="11">
        <f t="shared" si="1"/>
        <v>1</v>
      </c>
      <c r="J23" s="11">
        <f t="shared" si="2"/>
        <v>250</v>
      </c>
      <c r="K23" s="333">
        <f t="shared" si="3"/>
        <v>189.74749750000001</v>
      </c>
      <c r="L23" s="12">
        <f t="shared" si="4"/>
        <v>24.101001</v>
      </c>
    </row>
    <row r="24" spans="1:12">
      <c r="A24" s="5" t="s">
        <v>23</v>
      </c>
      <c r="B24" s="10" t="s">
        <v>63</v>
      </c>
      <c r="C24" s="11">
        <v>530.30999999999995</v>
      </c>
      <c r="D24" s="13" t="s">
        <v>76</v>
      </c>
      <c r="E24" s="11">
        <v>200</v>
      </c>
      <c r="F24" s="11">
        <v>22.350670000000001</v>
      </c>
      <c r="G24" s="248">
        <v>0.75</v>
      </c>
      <c r="H24" s="11">
        <f t="shared" si="0"/>
        <v>16.763002499999999</v>
      </c>
      <c r="I24" s="11">
        <f t="shared" si="1"/>
        <v>1</v>
      </c>
      <c r="J24" s="11">
        <f t="shared" si="2"/>
        <v>200</v>
      </c>
      <c r="K24" s="333">
        <f t="shared" si="3"/>
        <v>183.2369975</v>
      </c>
      <c r="L24" s="12">
        <f t="shared" si="4"/>
        <v>8.3815012499999995</v>
      </c>
    </row>
    <row r="25" spans="1:12">
      <c r="A25" s="5" t="s">
        <v>24</v>
      </c>
      <c r="B25" s="10" t="s">
        <v>64</v>
      </c>
      <c r="C25" s="11">
        <v>517.28</v>
      </c>
      <c r="D25" s="13" t="s">
        <v>76</v>
      </c>
      <c r="E25" s="11">
        <v>200</v>
      </c>
      <c r="F25" s="11">
        <v>67.241829999999993</v>
      </c>
      <c r="G25" s="248">
        <v>0.75</v>
      </c>
      <c r="H25" s="11">
        <f t="shared" si="0"/>
        <v>50.431372499999995</v>
      </c>
      <c r="I25" s="11">
        <f t="shared" si="1"/>
        <v>1</v>
      </c>
      <c r="J25" s="11">
        <f t="shared" si="2"/>
        <v>200</v>
      </c>
      <c r="K25" s="333">
        <f t="shared" si="3"/>
        <v>149.56862749999999</v>
      </c>
      <c r="L25" s="12">
        <f t="shared" si="4"/>
        <v>25.215686249999997</v>
      </c>
    </row>
    <row r="26" spans="1:12">
      <c r="A26" s="5" t="s">
        <v>25</v>
      </c>
      <c r="B26" s="10" t="s">
        <v>65</v>
      </c>
      <c r="C26" s="11">
        <v>645.40499999999997</v>
      </c>
      <c r="D26" s="13" t="s">
        <v>75</v>
      </c>
      <c r="E26" s="11">
        <v>150</v>
      </c>
      <c r="F26" s="11">
        <v>101.52370000000001</v>
      </c>
      <c r="G26" s="248">
        <v>0.75</v>
      </c>
      <c r="H26" s="11">
        <f t="shared" si="0"/>
        <v>76.142775</v>
      </c>
      <c r="I26" s="11">
        <f t="shared" si="1"/>
        <v>1</v>
      </c>
      <c r="J26" s="11">
        <f t="shared" si="2"/>
        <v>150</v>
      </c>
      <c r="K26" s="333">
        <f t="shared" si="3"/>
        <v>73.857225</v>
      </c>
      <c r="L26" s="12">
        <f t="shared" si="4"/>
        <v>50.761849999999995</v>
      </c>
    </row>
    <row r="27" spans="1:12">
      <c r="A27" s="5" t="s">
        <v>26</v>
      </c>
      <c r="B27" s="10" t="s">
        <v>66</v>
      </c>
      <c r="C27" s="11">
        <v>592.98500000000001</v>
      </c>
      <c r="D27" s="13" t="s">
        <v>75</v>
      </c>
      <c r="E27" s="11">
        <v>150</v>
      </c>
      <c r="F27" s="11">
        <v>175.91919999999999</v>
      </c>
      <c r="G27" s="248">
        <v>0.75</v>
      </c>
      <c r="H27" s="11">
        <f t="shared" si="0"/>
        <v>131.93939999999998</v>
      </c>
      <c r="I27" s="11">
        <f t="shared" si="1"/>
        <v>2</v>
      </c>
      <c r="J27" s="11">
        <f t="shared" si="2"/>
        <v>300</v>
      </c>
      <c r="K27" s="333">
        <f t="shared" si="3"/>
        <v>168.06060000000002</v>
      </c>
      <c r="L27" s="12">
        <f t="shared" si="4"/>
        <v>43.97979999999999</v>
      </c>
    </row>
    <row r="28" spans="1:12">
      <c r="A28" s="5" t="s">
        <v>27</v>
      </c>
      <c r="B28" s="10" t="s">
        <v>67</v>
      </c>
      <c r="C28" s="11">
        <v>374.84</v>
      </c>
      <c r="D28" s="11" t="s">
        <v>76</v>
      </c>
      <c r="E28" s="11">
        <v>200</v>
      </c>
      <c r="F28" s="11">
        <v>115.1143</v>
      </c>
      <c r="G28" s="248">
        <v>0.75</v>
      </c>
      <c r="H28" s="11">
        <f t="shared" si="0"/>
        <v>86.335724999999996</v>
      </c>
      <c r="I28" s="11">
        <f t="shared" si="1"/>
        <v>1</v>
      </c>
      <c r="J28" s="11">
        <f t="shared" si="2"/>
        <v>200</v>
      </c>
      <c r="K28" s="333">
        <f t="shared" si="3"/>
        <v>113.664275</v>
      </c>
      <c r="L28" s="12">
        <f t="shared" si="4"/>
        <v>43.167862499999998</v>
      </c>
    </row>
    <row r="29" spans="1:12">
      <c r="A29" s="5" t="s">
        <v>28</v>
      </c>
      <c r="B29" s="10" t="s">
        <v>68</v>
      </c>
      <c r="C29" s="11">
        <v>675.17499999999995</v>
      </c>
      <c r="D29" s="13" t="s">
        <v>75</v>
      </c>
      <c r="E29" s="11">
        <v>150</v>
      </c>
      <c r="F29" s="11">
        <v>87.5685</v>
      </c>
      <c r="G29" s="248">
        <v>0.75</v>
      </c>
      <c r="H29" s="11">
        <f t="shared" si="0"/>
        <v>65.676375000000007</v>
      </c>
      <c r="I29" s="11">
        <f t="shared" si="1"/>
        <v>1</v>
      </c>
      <c r="J29" s="11">
        <f t="shared" si="2"/>
        <v>150</v>
      </c>
      <c r="K29" s="333">
        <f t="shared" si="3"/>
        <v>84.323624999999993</v>
      </c>
      <c r="L29" s="12">
        <f t="shared" si="4"/>
        <v>43.78425</v>
      </c>
    </row>
    <row r="30" spans="1:12">
      <c r="A30" s="5" t="s">
        <v>29</v>
      </c>
      <c r="B30" s="10" t="s">
        <v>69</v>
      </c>
      <c r="C30" s="11">
        <v>768.38499999999999</v>
      </c>
      <c r="D30" s="13" t="s">
        <v>75</v>
      </c>
      <c r="E30" s="11">
        <v>150</v>
      </c>
      <c r="F30" s="11">
        <v>46.164000000000001</v>
      </c>
      <c r="G30" s="248">
        <v>0.75</v>
      </c>
      <c r="H30" s="11">
        <f t="shared" si="0"/>
        <v>34.623000000000005</v>
      </c>
      <c r="I30" s="11">
        <f t="shared" si="1"/>
        <v>1</v>
      </c>
      <c r="J30" s="11">
        <f t="shared" si="2"/>
        <v>150</v>
      </c>
      <c r="K30" s="333">
        <f t="shared" si="3"/>
        <v>115.377</v>
      </c>
      <c r="L30" s="12">
        <f t="shared" si="4"/>
        <v>23.082000000000001</v>
      </c>
    </row>
    <row r="31" spans="1:12">
      <c r="A31" s="5" t="s">
        <v>30</v>
      </c>
      <c r="B31" s="10" t="s">
        <v>70</v>
      </c>
      <c r="C31" s="11">
        <v>317.27</v>
      </c>
      <c r="D31" s="11" t="s">
        <v>76</v>
      </c>
      <c r="E31" s="11">
        <v>200</v>
      </c>
      <c r="F31" s="11">
        <v>136.87530000000001</v>
      </c>
      <c r="G31" s="248">
        <v>0.75</v>
      </c>
      <c r="H31" s="11">
        <f t="shared" si="0"/>
        <v>102.656475</v>
      </c>
      <c r="I31" s="11">
        <f t="shared" si="1"/>
        <v>1</v>
      </c>
      <c r="J31" s="11">
        <f t="shared" si="2"/>
        <v>200</v>
      </c>
      <c r="K31" s="333">
        <f t="shared" si="3"/>
        <v>97.343525</v>
      </c>
      <c r="L31" s="12">
        <f t="shared" si="4"/>
        <v>51.328237499999993</v>
      </c>
    </row>
    <row r="32" spans="1:12">
      <c r="A32" s="5" t="s">
        <v>31</v>
      </c>
      <c r="B32" s="14" t="s">
        <v>71</v>
      </c>
      <c r="C32" s="19">
        <v>300.33499999999998</v>
      </c>
      <c r="D32" s="15" t="s">
        <v>76</v>
      </c>
      <c r="E32" s="15">
        <v>200</v>
      </c>
      <c r="F32" s="15">
        <v>33.29833</v>
      </c>
      <c r="G32" s="248">
        <v>0.75</v>
      </c>
      <c r="H32" s="11">
        <f t="shared" si="0"/>
        <v>24.973747500000002</v>
      </c>
      <c r="I32" s="11">
        <f t="shared" si="1"/>
        <v>1</v>
      </c>
      <c r="J32" s="15">
        <f t="shared" si="2"/>
        <v>200</v>
      </c>
      <c r="K32" s="15">
        <f t="shared" si="3"/>
        <v>175.0262525</v>
      </c>
      <c r="L32" s="21">
        <f t="shared" si="4"/>
        <v>12.486873750000001</v>
      </c>
    </row>
    <row r="33" spans="1:12">
      <c r="A33" s="5"/>
      <c r="B33" s="5"/>
      <c r="C33" s="5"/>
      <c r="D33" s="16" t="s">
        <v>36</v>
      </c>
      <c r="E33" s="17">
        <f>SUM(E2:E32)</f>
        <v>6150</v>
      </c>
      <c r="F33" s="17">
        <f>SUM(F2:F32)</f>
        <v>9100.1149700000005</v>
      </c>
      <c r="G33" s="7"/>
      <c r="H33" s="7">
        <f>SUM(H2:H32)</f>
        <v>6825.0862274999999</v>
      </c>
      <c r="I33" s="7">
        <f>SUM(I2:I32)</f>
        <v>58</v>
      </c>
      <c r="J33" s="18">
        <f>SUM(J2:J32)</f>
        <v>11200</v>
      </c>
      <c r="K33" s="333">
        <f t="shared" si="3"/>
        <v>4374.9137725000001</v>
      </c>
      <c r="L33" s="11"/>
    </row>
    <row r="34" spans="1:12">
      <c r="A34" s="5"/>
      <c r="B34" s="5"/>
      <c r="C34" s="5"/>
      <c r="D34" s="4" t="s">
        <v>80</v>
      </c>
      <c r="E34" s="17">
        <f>F33/J33</f>
        <v>0.8125102651785715</v>
      </c>
      <c r="F34" s="5"/>
      <c r="G34" s="11"/>
      <c r="H34" s="11"/>
      <c r="I34" s="5"/>
      <c r="J34" s="5"/>
      <c r="K34" s="5"/>
      <c r="L34" s="5"/>
    </row>
  </sheetData>
  <pageMargins left="0.7" right="0.7" top="0.75" bottom="0.75" header="0.3" footer="0.3"/>
  <pageSetup paperSize="0" orientation="portrait" horizontalDpi="0" verticalDpi="0" copies="0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W52" zoomScaleNormal="100" workbookViewId="0">
      <selection activeCell="AG72" sqref="AG72:AM8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6.5703125" style="59" customWidth="1"/>
    <col min="6" max="10" width="23.7109375" style="61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1.28515625" style="59" customWidth="1"/>
    <col min="20" max="20" width="23.28515625" style="59" customWidth="1"/>
    <col min="21" max="21" width="17.5703125" style="62" customWidth="1"/>
    <col min="22" max="22" width="33.8554687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23.7109375" style="5" customWidth="1"/>
    <col min="27" max="27" width="21.5703125" style="5" customWidth="1"/>
    <col min="28" max="16384" width="9" style="5"/>
  </cols>
  <sheetData>
    <row r="1" spans="1:24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73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4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377"/>
      <c r="W2" s="375"/>
    </row>
    <row r="3" spans="1:24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377"/>
      <c r="W3" s="377"/>
    </row>
    <row r="4" spans="1:24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377"/>
      <c r="W4" s="377"/>
    </row>
    <row r="5" spans="1:24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376" t="s">
        <v>439</v>
      </c>
      <c r="W5" s="376" t="s">
        <v>454</v>
      </c>
    </row>
    <row r="6" spans="1:24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98"/>
      <c r="W6" s="197"/>
    </row>
    <row r="7" spans="1:24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221" t="s">
        <v>351</v>
      </c>
      <c r="W7" s="209" t="s">
        <v>351</v>
      </c>
    </row>
    <row r="8" spans="1:24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220"/>
      <c r="W8" s="209"/>
    </row>
    <row r="9" spans="1:24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07"/>
      <c r="W9" s="207"/>
      <c r="X9" s="213"/>
    </row>
    <row r="10" spans="1:24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377"/>
      <c r="W10" s="377"/>
      <c r="X10" s="213"/>
    </row>
    <row r="11" spans="1:24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377"/>
      <c r="W11" s="377"/>
      <c r="X11" s="213"/>
    </row>
    <row r="12" spans="1:24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377"/>
      <c r="W12" s="377"/>
      <c r="X12" s="213"/>
    </row>
    <row r="13" spans="1:24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377"/>
      <c r="W13" s="377"/>
      <c r="X13" s="213"/>
    </row>
    <row r="14" spans="1:24" ht="13.5" thickBot="1">
      <c r="A14" s="372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377"/>
      <c r="W14" s="377"/>
      <c r="X14" s="213"/>
    </row>
    <row r="15" spans="1:24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377"/>
      <c r="W15" s="377"/>
      <c r="X15" s="213"/>
    </row>
    <row r="16" spans="1:24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377"/>
      <c r="W16" s="377"/>
      <c r="X16" s="213"/>
    </row>
    <row r="17" spans="1:29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377"/>
      <c r="W17" s="377"/>
      <c r="X17" s="213"/>
    </row>
    <row r="18" spans="1:29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377"/>
      <c r="W18" s="377"/>
      <c r="X18" s="213"/>
    </row>
    <row r="19" spans="1:29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377"/>
      <c r="W19" s="377"/>
      <c r="X19" s="213"/>
    </row>
    <row r="20" spans="1:29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377"/>
      <c r="W20" s="377"/>
      <c r="X20" s="213"/>
    </row>
    <row r="21" spans="1:29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377"/>
      <c r="W21" s="377"/>
      <c r="X21" s="213"/>
    </row>
    <row r="22" spans="1:29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377"/>
      <c r="W22" s="377"/>
      <c r="X22" s="213"/>
    </row>
    <row r="23" spans="1:29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377"/>
      <c r="W23" s="377"/>
      <c r="X23" s="213"/>
      <c r="Y23" s="375"/>
      <c r="Z23" s="58"/>
    </row>
    <row r="24" spans="1:29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377"/>
      <c r="W24" s="377"/>
      <c r="Y24" s="533" t="s">
        <v>453</v>
      </c>
      <c r="Z24" s="534"/>
      <c r="AA24" s="378"/>
    </row>
    <row r="25" spans="1:29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376" t="s">
        <v>439</v>
      </c>
      <c r="W25" s="376" t="s">
        <v>454</v>
      </c>
      <c r="Y25" s="88"/>
      <c r="Z25" s="375"/>
      <c r="AA25" s="97"/>
    </row>
    <row r="26" spans="1:29" ht="15" customHeight="1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530" t="s">
        <v>14</v>
      </c>
      <c r="W26" s="528">
        <v>29</v>
      </c>
      <c r="Y26" s="243" t="s">
        <v>389</v>
      </c>
      <c r="Z26" s="350" t="s">
        <v>388</v>
      </c>
      <c r="AA26" s="244" t="s">
        <v>387</v>
      </c>
    </row>
    <row r="27" spans="1:29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531"/>
      <c r="W27" s="529"/>
      <c r="Y27" s="126" t="s">
        <v>14</v>
      </c>
      <c r="Z27" s="125">
        <v>29</v>
      </c>
      <c r="AA27" s="97">
        <f>(Z27/200)*100</f>
        <v>14.499999999999998</v>
      </c>
    </row>
    <row r="28" spans="1:29" ht="15" customHeight="1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530" t="s">
        <v>16</v>
      </c>
      <c r="W28" s="535">
        <v>45</v>
      </c>
      <c r="Y28" s="126" t="s">
        <v>16</v>
      </c>
      <c r="Z28" s="125">
        <v>45</v>
      </c>
      <c r="AA28" s="97">
        <f>(Z28/150)*100</f>
        <v>30</v>
      </c>
    </row>
    <row r="29" spans="1:29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532"/>
      <c r="W29" s="536"/>
      <c r="Y29" s="126" t="s">
        <v>19</v>
      </c>
      <c r="Z29" s="125">
        <v>100</v>
      </c>
      <c r="AA29" s="97"/>
    </row>
    <row r="30" spans="1:29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532"/>
      <c r="W30" s="536"/>
      <c r="Y30" s="5" t="s">
        <v>20</v>
      </c>
      <c r="Z30" s="5">
        <v>40</v>
      </c>
    </row>
    <row r="31" spans="1:29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532"/>
      <c r="W31" s="536"/>
      <c r="Z31" s="5">
        <v>0</v>
      </c>
      <c r="AB31" s="375"/>
      <c r="AC31" s="17"/>
    </row>
    <row r="32" spans="1:29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531"/>
      <c r="W32" s="537"/>
      <c r="Z32" s="5">
        <v>0</v>
      </c>
      <c r="AA32" s="375"/>
      <c r="AB32" s="375"/>
    </row>
    <row r="33" spans="1:28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207"/>
      <c r="W33" s="207"/>
      <c r="X33" s="213"/>
      <c r="Y33" s="154" t="s">
        <v>369</v>
      </c>
      <c r="Z33" s="218">
        <f>SUM(Z27:Z32)</f>
        <v>214</v>
      </c>
      <c r="AA33" s="375"/>
    </row>
    <row r="34" spans="1:28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377"/>
      <c r="W34" s="377"/>
      <c r="X34" s="213"/>
      <c r="Y34" s="217" t="s">
        <v>365</v>
      </c>
      <c r="Z34" s="216"/>
    </row>
    <row r="35" spans="1:28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377"/>
      <c r="W35" s="377"/>
      <c r="X35" s="213"/>
      <c r="AB35" s="375"/>
    </row>
    <row r="36" spans="1:28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377"/>
      <c r="W36" s="377"/>
      <c r="X36" s="213"/>
    </row>
    <row r="37" spans="1:28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215"/>
      <c r="W37" s="215"/>
      <c r="X37" s="213"/>
    </row>
    <row r="38" spans="1:28" ht="13.5" thickBot="1">
      <c r="A38" s="372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201" t="s">
        <v>19</v>
      </c>
      <c r="W38" s="200">
        <v>100</v>
      </c>
    </row>
    <row r="39" spans="1:28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98" t="s">
        <v>20</v>
      </c>
      <c r="W39" s="197">
        <v>40</v>
      </c>
    </row>
    <row r="40" spans="1:28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96"/>
      <c r="W40" s="195"/>
    </row>
    <row r="41" spans="1:28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V41" s="207"/>
      <c r="W41" s="207"/>
    </row>
    <row r="42" spans="1:28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V42" s="377"/>
      <c r="W42" s="377"/>
      <c r="X42" s="213"/>
    </row>
    <row r="43" spans="1:28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V43" s="377"/>
      <c r="W43" s="377"/>
      <c r="X43" s="213"/>
    </row>
    <row r="44" spans="1:28" ht="13.5" thickBot="1">
      <c r="A44" s="372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V44" s="377"/>
      <c r="W44" s="377"/>
      <c r="X44" s="213"/>
    </row>
    <row r="45" spans="1:28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V45" s="377"/>
      <c r="W45" s="377"/>
      <c r="X45" s="213"/>
    </row>
    <row r="46" spans="1:28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V46" s="377"/>
      <c r="W46" s="377"/>
      <c r="X46" s="213"/>
    </row>
    <row r="47" spans="1:28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V47" s="377"/>
      <c r="W47" s="377"/>
      <c r="X47" s="213"/>
    </row>
    <row r="48" spans="1:28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V48" s="377"/>
      <c r="W48" s="377"/>
      <c r="X48" s="213"/>
    </row>
    <row r="49" spans="1:35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V49" s="377"/>
      <c r="W49" s="377"/>
      <c r="X49" s="213"/>
    </row>
    <row r="50" spans="1:35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V50" s="377"/>
      <c r="W50" s="377"/>
      <c r="X50" s="213"/>
    </row>
    <row r="51" spans="1:35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V51" s="377"/>
      <c r="W51" s="377"/>
      <c r="X51" s="213"/>
    </row>
    <row r="52" spans="1:35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V52" s="377"/>
      <c r="W52" s="377"/>
      <c r="X52" s="213"/>
    </row>
    <row r="53" spans="1:35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V53" s="377"/>
      <c r="W53" s="377"/>
      <c r="X53" s="213"/>
    </row>
    <row r="54" spans="1:35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V54" s="377"/>
      <c r="W54" s="377"/>
      <c r="X54" s="213"/>
    </row>
    <row r="55" spans="1:35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V55" s="377"/>
      <c r="W55" s="377"/>
      <c r="X55" s="213"/>
    </row>
    <row r="56" spans="1:35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V56" s="377"/>
      <c r="W56" s="377"/>
      <c r="X56" s="213"/>
    </row>
    <row r="57" spans="1:35">
      <c r="A57" s="375"/>
      <c r="B57" s="64"/>
      <c r="C57" s="375"/>
      <c r="D57" s="375" t="s">
        <v>369</v>
      </c>
      <c r="E57" s="375"/>
      <c r="F57" s="64"/>
      <c r="G57" s="64"/>
      <c r="H57" s="64"/>
      <c r="I57" s="64"/>
      <c r="J57" s="64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7"/>
      <c r="W57" s="377"/>
    </row>
    <row r="58" spans="1:35">
      <c r="A58" s="375"/>
      <c r="B58" s="64"/>
      <c r="C58" s="375"/>
      <c r="D58" s="375"/>
      <c r="E58" s="375"/>
      <c r="F58" s="64"/>
      <c r="G58" s="64"/>
      <c r="H58" s="64"/>
      <c r="I58" s="64"/>
      <c r="J58" s="64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7"/>
      <c r="W58" s="377"/>
    </row>
    <row r="59" spans="1:35">
      <c r="A59" s="375"/>
      <c r="B59" s="64"/>
      <c r="C59" s="375"/>
      <c r="D59" s="375"/>
      <c r="E59" s="375"/>
      <c r="F59" s="64"/>
      <c r="G59" s="64"/>
      <c r="H59" s="64"/>
      <c r="I59" s="64"/>
      <c r="J59" s="64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7"/>
      <c r="W59" s="375"/>
      <c r="Y59" s="497" t="s">
        <v>561</v>
      </c>
      <c r="Z59" s="498"/>
      <c r="AA59" s="498"/>
      <c r="AB59" s="498"/>
      <c r="AC59" s="498"/>
      <c r="AD59" s="499"/>
      <c r="AE59" s="155"/>
    </row>
    <row r="60" spans="1:35">
      <c r="A60" s="375"/>
      <c r="B60" s="64"/>
      <c r="C60" s="375"/>
      <c r="D60" s="375"/>
      <c r="E60" s="375"/>
      <c r="F60" s="64"/>
      <c r="G60" s="64"/>
      <c r="H60" s="64"/>
      <c r="I60" s="64"/>
      <c r="J60" s="64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7"/>
      <c r="W60" s="375"/>
      <c r="Y60" s="355" t="s">
        <v>484</v>
      </c>
      <c r="Z60" s="357" t="s">
        <v>485</v>
      </c>
      <c r="AA60" s="357" t="s">
        <v>486</v>
      </c>
      <c r="AB60" s="357" t="s">
        <v>487</v>
      </c>
      <c r="AC60" s="357" t="s">
        <v>488</v>
      </c>
      <c r="AD60" s="358" t="s">
        <v>489</v>
      </c>
      <c r="AE60" s="270" t="s">
        <v>416</v>
      </c>
    </row>
    <row r="61" spans="1:35">
      <c r="A61" s="375"/>
      <c r="B61" s="64"/>
      <c r="C61" s="375"/>
      <c r="D61" s="375"/>
      <c r="E61" s="375"/>
      <c r="F61" s="64"/>
      <c r="G61" s="64"/>
      <c r="H61" s="64"/>
      <c r="I61" s="64"/>
      <c r="J61" s="64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7"/>
      <c r="W61" s="375"/>
      <c r="Y61" s="60" t="s">
        <v>84</v>
      </c>
      <c r="Z61" s="359">
        <v>0</v>
      </c>
      <c r="AA61" s="359">
        <v>0</v>
      </c>
      <c r="AB61" s="360">
        <v>0</v>
      </c>
      <c r="AC61" s="360">
        <v>0</v>
      </c>
      <c r="AD61" s="374">
        <v>0</v>
      </c>
      <c r="AE61" s="361">
        <f>SUM(Z61:AD61)</f>
        <v>0</v>
      </c>
    </row>
    <row r="62" spans="1:35">
      <c r="A62" s="375"/>
      <c r="B62" s="65"/>
      <c r="C62" s="375"/>
      <c r="D62" s="375"/>
      <c r="E62" s="375"/>
      <c r="F62" s="64"/>
      <c r="G62" s="64"/>
      <c r="H62" s="64"/>
      <c r="I62" s="64"/>
      <c r="J62" s="64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7"/>
      <c r="W62" s="375"/>
      <c r="Y62" s="60" t="s">
        <v>85</v>
      </c>
      <c r="Z62" s="359">
        <v>0</v>
      </c>
      <c r="AA62" s="359">
        <v>0</v>
      </c>
      <c r="AB62" s="359">
        <v>0</v>
      </c>
      <c r="AC62" s="359">
        <v>0</v>
      </c>
      <c r="AD62" s="374">
        <v>0</v>
      </c>
      <c r="AE62" s="60">
        <f t="shared" ref="AE62:AE72" si="22">SUM(Z62:AD62)</f>
        <v>0</v>
      </c>
    </row>
    <row r="63" spans="1:35">
      <c r="A63" s="375"/>
      <c r="B63" s="65"/>
      <c r="C63" s="375"/>
      <c r="D63" s="375"/>
      <c r="E63" s="375"/>
      <c r="F63" s="64"/>
      <c r="G63" s="64"/>
      <c r="H63" s="64"/>
      <c r="I63" s="64"/>
      <c r="J63" s="64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7"/>
      <c r="W63" s="375"/>
      <c r="Y63" s="60" t="s">
        <v>86</v>
      </c>
      <c r="Z63" s="359">
        <v>0</v>
      </c>
      <c r="AA63" s="359">
        <v>0</v>
      </c>
      <c r="AB63" s="359">
        <v>0</v>
      </c>
      <c r="AC63" s="359">
        <v>0</v>
      </c>
      <c r="AD63" s="374">
        <v>0</v>
      </c>
      <c r="AE63" s="60">
        <f t="shared" si="22"/>
        <v>0</v>
      </c>
      <c r="AG63" s="471" t="s">
        <v>490</v>
      </c>
      <c r="AH63" s="471" t="s">
        <v>491</v>
      </c>
      <c r="AI63" s="363" t="s">
        <v>492</v>
      </c>
    </row>
    <row r="64" spans="1:35">
      <c r="A64" s="375"/>
      <c r="B64" s="65"/>
      <c r="C64" s="375"/>
      <c r="D64" s="375"/>
      <c r="E64" s="375"/>
      <c r="F64" s="64"/>
      <c r="G64" s="64"/>
      <c r="H64" s="64"/>
      <c r="I64" s="64"/>
      <c r="J64" s="64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7"/>
      <c r="W64" s="375"/>
      <c r="Y64" s="60" t="s">
        <v>87</v>
      </c>
      <c r="Z64" s="359">
        <v>1</v>
      </c>
      <c r="AA64" s="359">
        <v>0</v>
      </c>
      <c r="AB64" s="359">
        <v>0</v>
      </c>
      <c r="AC64" s="359">
        <v>0</v>
      </c>
      <c r="AD64" s="374">
        <v>0</v>
      </c>
      <c r="AE64" s="60">
        <f t="shared" si="22"/>
        <v>1</v>
      </c>
      <c r="AG64" s="61" t="s">
        <v>485</v>
      </c>
      <c r="AH64" s="61">
        <v>100</v>
      </c>
      <c r="AI64" s="420">
        <v>15</v>
      </c>
    </row>
    <row r="65" spans="1:39">
      <c r="A65" s="375"/>
      <c r="B65" s="64"/>
      <c r="C65" s="375"/>
      <c r="D65" s="375"/>
      <c r="E65" s="375"/>
      <c r="O65" s="375"/>
      <c r="P65" s="375"/>
      <c r="Q65" s="375"/>
      <c r="R65" s="375"/>
      <c r="S65" s="375"/>
      <c r="U65" s="375"/>
      <c r="V65" s="377"/>
      <c r="W65" s="375"/>
      <c r="Y65" s="60" t="s">
        <v>88</v>
      </c>
      <c r="Z65" s="359">
        <v>1</v>
      </c>
      <c r="AA65" s="359">
        <v>0</v>
      </c>
      <c r="AB65" s="359">
        <v>0</v>
      </c>
      <c r="AC65" s="359">
        <v>0</v>
      </c>
      <c r="AD65" s="374">
        <v>0</v>
      </c>
      <c r="AE65" s="60">
        <f t="shared" si="22"/>
        <v>1</v>
      </c>
      <c r="AF65" s="377"/>
      <c r="AG65" s="364" t="s">
        <v>486</v>
      </c>
      <c r="AH65" s="364">
        <v>150</v>
      </c>
      <c r="AI65" s="421">
        <v>16.3689</v>
      </c>
    </row>
    <row r="66" spans="1:39">
      <c r="A66" s="375"/>
      <c r="B66" s="64"/>
      <c r="C66" s="375"/>
      <c r="D66" s="375"/>
      <c r="E66" s="375"/>
      <c r="O66" s="375"/>
      <c r="P66" s="375"/>
      <c r="Q66" s="375"/>
      <c r="R66" s="375"/>
      <c r="S66" s="375"/>
      <c r="U66" s="375"/>
      <c r="V66" s="377"/>
      <c r="W66" s="375"/>
      <c r="Y66" s="60" t="s">
        <v>89</v>
      </c>
      <c r="Z66" s="359">
        <v>0</v>
      </c>
      <c r="AA66" s="359">
        <v>0</v>
      </c>
      <c r="AB66" s="359">
        <v>0</v>
      </c>
      <c r="AC66" s="359">
        <v>0</v>
      </c>
      <c r="AD66" s="374">
        <v>0</v>
      </c>
      <c r="AE66" s="60">
        <f t="shared" si="22"/>
        <v>0</v>
      </c>
      <c r="AF66" s="376"/>
      <c r="AG66" s="364" t="s">
        <v>487</v>
      </c>
      <c r="AH66" s="364">
        <v>200</v>
      </c>
      <c r="AI66" s="421">
        <v>16.746700000000001</v>
      </c>
    </row>
    <row r="67" spans="1:39">
      <c r="A67" s="375"/>
      <c r="B67" s="64"/>
      <c r="C67" s="375"/>
      <c r="D67" s="375"/>
      <c r="E67" s="375"/>
      <c r="O67" s="375"/>
      <c r="P67" s="375"/>
      <c r="Q67" s="375"/>
      <c r="R67" s="375"/>
      <c r="S67" s="375"/>
      <c r="U67" s="375"/>
      <c r="V67" s="377"/>
      <c r="W67" s="375"/>
      <c r="Y67" s="60" t="s">
        <v>90</v>
      </c>
      <c r="Z67" s="359">
        <v>1</v>
      </c>
      <c r="AA67" s="359">
        <v>0</v>
      </c>
      <c r="AB67" s="359">
        <v>0</v>
      </c>
      <c r="AC67" s="359">
        <v>0</v>
      </c>
      <c r="AD67" s="374">
        <v>0</v>
      </c>
      <c r="AE67" s="60">
        <f t="shared" si="22"/>
        <v>1</v>
      </c>
      <c r="AF67" s="376"/>
      <c r="AG67" s="364" t="s">
        <v>488</v>
      </c>
      <c r="AH67" s="364">
        <v>250</v>
      </c>
      <c r="AI67" s="421">
        <v>16.886600000000001</v>
      </c>
    </row>
    <row r="68" spans="1:39">
      <c r="A68" s="375"/>
      <c r="B68" s="64"/>
      <c r="C68" s="375"/>
      <c r="D68" s="375"/>
      <c r="E68" s="375"/>
      <c r="F68" s="64"/>
      <c r="G68" s="64"/>
      <c r="H68" s="64"/>
      <c r="I68" s="64"/>
      <c r="J68" s="64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7"/>
      <c r="W68" s="375"/>
      <c r="Y68" s="60" t="s">
        <v>91</v>
      </c>
      <c r="Z68" s="359">
        <v>0</v>
      </c>
      <c r="AA68" s="359">
        <v>0</v>
      </c>
      <c r="AB68" s="374">
        <v>0</v>
      </c>
      <c r="AC68" s="374">
        <v>0</v>
      </c>
      <c r="AD68" s="374">
        <v>0</v>
      </c>
      <c r="AE68" s="60">
        <f t="shared" si="22"/>
        <v>0</v>
      </c>
      <c r="AF68" s="377"/>
      <c r="AG68" s="365" t="s">
        <v>525</v>
      </c>
      <c r="AH68" s="365">
        <v>300</v>
      </c>
      <c r="AI68" s="422">
        <v>17</v>
      </c>
    </row>
    <row r="69" spans="1:39">
      <c r="B69" s="64"/>
      <c r="C69" s="375"/>
      <c r="D69" s="375"/>
      <c r="E69" s="375"/>
      <c r="F69" s="64"/>
      <c r="G69" s="64"/>
      <c r="H69" s="64"/>
      <c r="I69" s="64"/>
      <c r="J69" s="64"/>
      <c r="K69" s="375"/>
      <c r="L69" s="375"/>
      <c r="M69" s="375"/>
      <c r="N69" s="375"/>
      <c r="O69" s="375"/>
      <c r="P69" s="375"/>
      <c r="Q69" s="375"/>
      <c r="R69" s="375"/>
      <c r="S69" s="375"/>
      <c r="T69" s="375"/>
      <c r="U69" s="375"/>
      <c r="V69" s="377"/>
      <c r="W69" s="375"/>
      <c r="Y69" s="60" t="s">
        <v>92</v>
      </c>
      <c r="Z69" s="374">
        <v>0</v>
      </c>
      <c r="AA69" s="374">
        <v>0</v>
      </c>
      <c r="AB69" s="374">
        <v>0</v>
      </c>
      <c r="AC69" s="374">
        <v>0</v>
      </c>
      <c r="AD69" s="374">
        <v>0</v>
      </c>
      <c r="AE69" s="60">
        <f t="shared" si="22"/>
        <v>0</v>
      </c>
      <c r="AF69" s="377"/>
      <c r="AG69" s="377"/>
      <c r="AH69" s="377"/>
    </row>
    <row r="70" spans="1:39">
      <c r="B70" s="64"/>
      <c r="C70" s="375"/>
      <c r="D70" s="375"/>
      <c r="E70" s="375"/>
      <c r="F70" s="64"/>
      <c r="G70" s="64"/>
      <c r="H70" s="64"/>
      <c r="I70" s="64"/>
      <c r="J70" s="64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7"/>
      <c r="W70" s="375"/>
      <c r="Y70" s="60" t="s">
        <v>93</v>
      </c>
      <c r="Z70" s="374">
        <v>1</v>
      </c>
      <c r="AA70" s="359">
        <v>0</v>
      </c>
      <c r="AB70" s="374">
        <v>0</v>
      </c>
      <c r="AC70" s="374">
        <v>0</v>
      </c>
      <c r="AD70" s="374">
        <v>0</v>
      </c>
      <c r="AE70" s="60">
        <f t="shared" si="22"/>
        <v>1</v>
      </c>
      <c r="AF70" s="377"/>
      <c r="AG70" s="377"/>
      <c r="AH70" s="377"/>
    </row>
    <row r="71" spans="1:39">
      <c r="B71" s="64"/>
      <c r="C71" s="375"/>
      <c r="D71" s="375"/>
      <c r="E71" s="375"/>
      <c r="F71" s="64"/>
      <c r="G71" s="64"/>
      <c r="H71" s="64"/>
      <c r="I71" s="64"/>
      <c r="J71" s="64"/>
      <c r="K71" s="375"/>
      <c r="L71" s="375"/>
      <c r="M71" s="375"/>
      <c r="N71" s="375"/>
      <c r="O71" s="375"/>
      <c r="P71" s="375"/>
      <c r="Q71" s="375"/>
      <c r="R71" s="375"/>
      <c r="S71" s="375"/>
      <c r="T71" s="375"/>
      <c r="U71" s="375"/>
      <c r="V71" s="377"/>
      <c r="W71" s="375"/>
      <c r="Y71" s="60" t="s">
        <v>94</v>
      </c>
      <c r="Z71" s="374">
        <v>1</v>
      </c>
      <c r="AA71" s="359">
        <v>0</v>
      </c>
      <c r="AB71" s="374">
        <v>0</v>
      </c>
      <c r="AC71" s="374">
        <v>0</v>
      </c>
      <c r="AD71" s="374">
        <v>0</v>
      </c>
      <c r="AE71" s="60">
        <f t="shared" si="22"/>
        <v>1</v>
      </c>
      <c r="AF71" s="18"/>
      <c r="AG71" s="18"/>
      <c r="AH71" s="377"/>
    </row>
    <row r="72" spans="1:39">
      <c r="B72" s="64"/>
      <c r="C72" s="375"/>
      <c r="D72" s="375"/>
      <c r="E72" s="375"/>
      <c r="F72" s="64"/>
      <c r="G72" s="64"/>
      <c r="H72" s="64"/>
      <c r="I72" s="64"/>
      <c r="J72" s="64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7"/>
      <c r="W72" s="375"/>
      <c r="Y72" s="366" t="s">
        <v>482</v>
      </c>
      <c r="Z72" s="367">
        <v>0</v>
      </c>
      <c r="AA72" s="367">
        <v>0</v>
      </c>
      <c r="AB72" s="367">
        <v>0</v>
      </c>
      <c r="AC72" s="367">
        <v>0</v>
      </c>
      <c r="AD72" s="367">
        <v>0</v>
      </c>
      <c r="AE72" s="366">
        <f t="shared" si="22"/>
        <v>0</v>
      </c>
      <c r="AF72" s="377"/>
      <c r="AG72" s="497" t="s">
        <v>563</v>
      </c>
      <c r="AH72" s="498"/>
      <c r="AI72" s="498"/>
      <c r="AJ72" s="498"/>
      <c r="AK72" s="498"/>
      <c r="AL72" s="499"/>
      <c r="AM72" s="155"/>
    </row>
    <row r="73" spans="1:39">
      <c r="B73" s="64"/>
      <c r="C73" s="375"/>
      <c r="D73" s="375"/>
      <c r="E73" s="375"/>
      <c r="F73" s="64"/>
      <c r="G73" s="64"/>
      <c r="H73" s="64"/>
      <c r="I73" s="64"/>
      <c r="J73" s="64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7"/>
      <c r="W73" s="375"/>
      <c r="Y73" s="270" t="s">
        <v>493</v>
      </c>
      <c r="Z73" s="368">
        <f t="shared" ref="Z73:AE73" si="23">SUM(Z61:Z72)</f>
        <v>5</v>
      </c>
      <c r="AA73" s="368">
        <f t="shared" si="23"/>
        <v>0</v>
      </c>
      <c r="AB73" s="368">
        <f t="shared" si="23"/>
        <v>0</v>
      </c>
      <c r="AC73" s="368">
        <f t="shared" si="23"/>
        <v>0</v>
      </c>
      <c r="AD73" s="368">
        <f t="shared" si="23"/>
        <v>0</v>
      </c>
      <c r="AE73" s="369">
        <f t="shared" si="23"/>
        <v>5</v>
      </c>
      <c r="AF73" s="377"/>
      <c r="AG73" s="355" t="s">
        <v>484</v>
      </c>
      <c r="AH73" s="357" t="s">
        <v>485</v>
      </c>
      <c r="AI73" s="357" t="s">
        <v>486</v>
      </c>
      <c r="AJ73" s="357" t="s">
        <v>487</v>
      </c>
      <c r="AK73" s="357" t="s">
        <v>488</v>
      </c>
      <c r="AL73" s="358" t="s">
        <v>525</v>
      </c>
      <c r="AM73" s="270" t="s">
        <v>416</v>
      </c>
    </row>
    <row r="74" spans="1:39">
      <c r="B74" s="64"/>
      <c r="C74" s="375"/>
      <c r="D74" s="375"/>
      <c r="E74" s="375"/>
      <c r="F74" s="64"/>
      <c r="G74" s="64"/>
      <c r="H74" s="64"/>
      <c r="I74" s="64"/>
      <c r="J74" s="64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7"/>
      <c r="W74" s="375"/>
      <c r="Y74" s="270" t="s">
        <v>492</v>
      </c>
      <c r="Z74" s="370">
        <f>PRODUCT(Z73*AI64)</f>
        <v>75</v>
      </c>
      <c r="AA74" s="370">
        <f>PRODUCT(AA73*AI65)</f>
        <v>0</v>
      </c>
      <c r="AB74" s="370">
        <f>PRODUCT(AB73*AI66)</f>
        <v>0</v>
      </c>
      <c r="AC74" s="370">
        <f>PRODUCT(AC73*AI67)</f>
        <v>0</v>
      </c>
      <c r="AD74" s="370">
        <f>PRODUCT(AD73*AI68)</f>
        <v>0</v>
      </c>
      <c r="AE74" s="270">
        <f>SUM(Z74:AD74)</f>
        <v>75</v>
      </c>
      <c r="AF74" s="377"/>
      <c r="AG74" s="60" t="s">
        <v>84</v>
      </c>
      <c r="AH74" s="470">
        <f>Z61+Z81</f>
        <v>0</v>
      </c>
      <c r="AI74" s="470">
        <f t="shared" ref="AI74:AL85" si="24">AA61+AA81</f>
        <v>4</v>
      </c>
      <c r="AJ74" s="470">
        <f t="shared" si="24"/>
        <v>2</v>
      </c>
      <c r="AK74" s="470">
        <f t="shared" si="24"/>
        <v>1</v>
      </c>
      <c r="AL74" s="470">
        <f t="shared" si="24"/>
        <v>0</v>
      </c>
      <c r="AM74" s="361">
        <f>SUM(AH74:AL74)</f>
        <v>7</v>
      </c>
    </row>
    <row r="75" spans="1:39">
      <c r="B75" s="64"/>
      <c r="C75" s="375"/>
      <c r="D75" s="375"/>
      <c r="E75" s="375"/>
      <c r="F75" s="64"/>
      <c r="G75" s="64"/>
      <c r="H75" s="64"/>
      <c r="I75" s="64"/>
      <c r="J75" s="64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7"/>
      <c r="W75" s="375"/>
      <c r="Y75" s="270" t="s">
        <v>491</v>
      </c>
      <c r="Z75" s="370">
        <f>Z73*AH64</f>
        <v>500</v>
      </c>
      <c r="AA75" s="370">
        <f>AA73*AH65</f>
        <v>0</v>
      </c>
      <c r="AB75" s="370">
        <f>AB73*AH66</f>
        <v>0</v>
      </c>
      <c r="AC75" s="370">
        <f>AC73*AH67</f>
        <v>0</v>
      </c>
      <c r="AD75" s="370">
        <f>AD73*AH68</f>
        <v>0</v>
      </c>
      <c r="AE75" s="270">
        <f>SUM(Z75:AD75)</f>
        <v>500</v>
      </c>
      <c r="AF75" s="377"/>
      <c r="AG75" s="60" t="s">
        <v>85</v>
      </c>
      <c r="AH75" s="470">
        <f t="shared" ref="AH75:AH85" si="25">Z62+Z82</f>
        <v>0</v>
      </c>
      <c r="AI75" s="470">
        <f t="shared" si="24"/>
        <v>7</v>
      </c>
      <c r="AJ75" s="470">
        <f t="shared" si="24"/>
        <v>3</v>
      </c>
      <c r="AK75" s="470">
        <f t="shared" si="24"/>
        <v>0</v>
      </c>
      <c r="AL75" s="470">
        <f t="shared" si="24"/>
        <v>2</v>
      </c>
      <c r="AM75" s="60">
        <f t="shared" ref="AM75:AM85" si="26">SUM(AH75:AL75)</f>
        <v>12</v>
      </c>
    </row>
    <row r="76" spans="1:39">
      <c r="B76" s="64"/>
      <c r="C76" s="375"/>
      <c r="D76" s="375"/>
      <c r="E76" s="375"/>
      <c r="F76" s="64"/>
      <c r="G76" s="64"/>
      <c r="H76" s="64"/>
      <c r="I76" s="64"/>
      <c r="J76" s="64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7"/>
      <c r="W76" s="375"/>
      <c r="AG76" s="60" t="s">
        <v>86</v>
      </c>
      <c r="AH76" s="470">
        <f t="shared" si="25"/>
        <v>0</v>
      </c>
      <c r="AI76" s="470">
        <f t="shared" si="24"/>
        <v>0</v>
      </c>
      <c r="AJ76" s="470">
        <f t="shared" si="24"/>
        <v>3</v>
      </c>
      <c r="AK76" s="470">
        <f t="shared" si="24"/>
        <v>0</v>
      </c>
      <c r="AL76" s="470">
        <f t="shared" si="24"/>
        <v>1</v>
      </c>
      <c r="AM76" s="60">
        <f t="shared" si="26"/>
        <v>4</v>
      </c>
    </row>
    <row r="77" spans="1:39">
      <c r="B77" s="64"/>
      <c r="C77" s="375"/>
      <c r="D77" s="375"/>
      <c r="E77" s="375"/>
      <c r="F77" s="64"/>
      <c r="G77" s="64"/>
      <c r="H77" s="64"/>
      <c r="I77" s="64"/>
      <c r="J77" s="64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75"/>
      <c r="V77" s="377"/>
      <c r="W77" s="375"/>
      <c r="AG77" s="60" t="s">
        <v>87</v>
      </c>
      <c r="AH77" s="470">
        <f t="shared" si="25"/>
        <v>1</v>
      </c>
      <c r="AI77" s="470">
        <f t="shared" si="24"/>
        <v>10</v>
      </c>
      <c r="AJ77" s="470">
        <f t="shared" si="24"/>
        <v>15</v>
      </c>
      <c r="AK77" s="470">
        <f t="shared" si="24"/>
        <v>8</v>
      </c>
      <c r="AL77" s="470">
        <f t="shared" si="24"/>
        <v>0</v>
      </c>
      <c r="AM77" s="60">
        <f t="shared" si="26"/>
        <v>34</v>
      </c>
    </row>
    <row r="78" spans="1:39">
      <c r="B78" s="64"/>
      <c r="C78" s="375"/>
      <c r="D78" s="375"/>
      <c r="E78" s="375"/>
      <c r="F78" s="64"/>
      <c r="G78" s="64"/>
      <c r="H78" s="64"/>
      <c r="I78" s="64"/>
      <c r="J78" s="64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7"/>
      <c r="W78" s="375"/>
      <c r="AG78" s="60" t="s">
        <v>88</v>
      </c>
      <c r="AH78" s="470">
        <f t="shared" si="25"/>
        <v>1</v>
      </c>
      <c r="AI78" s="470">
        <f t="shared" si="24"/>
        <v>0</v>
      </c>
      <c r="AJ78" s="470">
        <f t="shared" si="24"/>
        <v>8</v>
      </c>
      <c r="AK78" s="470">
        <f t="shared" si="24"/>
        <v>1</v>
      </c>
      <c r="AL78" s="470">
        <f t="shared" si="24"/>
        <v>0</v>
      </c>
      <c r="AM78" s="60">
        <f t="shared" si="26"/>
        <v>10</v>
      </c>
    </row>
    <row r="79" spans="1:39">
      <c r="B79" s="64"/>
      <c r="C79" s="375"/>
      <c r="D79" s="375"/>
      <c r="E79" s="375"/>
      <c r="F79" s="64"/>
      <c r="G79" s="64"/>
      <c r="H79" s="64"/>
      <c r="I79" s="64"/>
      <c r="J79" s="64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7"/>
      <c r="W79" s="375"/>
      <c r="Y79" s="497" t="s">
        <v>562</v>
      </c>
      <c r="Z79" s="498"/>
      <c r="AA79" s="498"/>
      <c r="AB79" s="498"/>
      <c r="AC79" s="498"/>
      <c r="AD79" s="499"/>
      <c r="AE79" s="155"/>
      <c r="AG79" s="60" t="s">
        <v>89</v>
      </c>
      <c r="AH79" s="470">
        <f t="shared" si="25"/>
        <v>0</v>
      </c>
      <c r="AI79" s="470">
        <f t="shared" si="24"/>
        <v>7</v>
      </c>
      <c r="AJ79" s="470">
        <f t="shared" si="24"/>
        <v>1</v>
      </c>
      <c r="AK79" s="470">
        <f t="shared" si="24"/>
        <v>1</v>
      </c>
      <c r="AL79" s="470">
        <f t="shared" si="24"/>
        <v>0</v>
      </c>
      <c r="AM79" s="60">
        <f t="shared" si="26"/>
        <v>9</v>
      </c>
    </row>
    <row r="80" spans="1:39">
      <c r="B80" s="64"/>
      <c r="C80" s="375"/>
      <c r="D80" s="375"/>
      <c r="E80" s="375"/>
      <c r="F80" s="64"/>
      <c r="G80" s="64"/>
      <c r="H80" s="64"/>
      <c r="I80" s="64"/>
      <c r="J80" s="64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7"/>
      <c r="W80" s="375"/>
      <c r="Y80" s="355" t="s">
        <v>484</v>
      </c>
      <c r="Z80" s="357" t="s">
        <v>485</v>
      </c>
      <c r="AA80" s="357" t="s">
        <v>486</v>
      </c>
      <c r="AB80" s="357" t="s">
        <v>487</v>
      </c>
      <c r="AC80" s="357" t="s">
        <v>488</v>
      </c>
      <c r="AD80" s="358" t="s">
        <v>525</v>
      </c>
      <c r="AE80" s="270" t="s">
        <v>416</v>
      </c>
      <c r="AG80" s="60" t="s">
        <v>90</v>
      </c>
      <c r="AH80" s="470">
        <f t="shared" si="25"/>
        <v>1</v>
      </c>
      <c r="AI80" s="470">
        <f t="shared" si="24"/>
        <v>0</v>
      </c>
      <c r="AJ80" s="470">
        <f t="shared" si="24"/>
        <v>1</v>
      </c>
      <c r="AK80" s="470">
        <f t="shared" si="24"/>
        <v>1</v>
      </c>
      <c r="AL80" s="470">
        <f t="shared" si="24"/>
        <v>1</v>
      </c>
      <c r="AM80" s="60">
        <f t="shared" si="26"/>
        <v>4</v>
      </c>
    </row>
    <row r="81" spans="2:39">
      <c r="B81" s="64"/>
      <c r="C81" s="375"/>
      <c r="D81" s="375"/>
      <c r="E81" s="375"/>
      <c r="F81" s="64"/>
      <c r="G81" s="64"/>
      <c r="H81" s="64"/>
      <c r="I81" s="64"/>
      <c r="J81" s="64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7"/>
      <c r="W81" s="375"/>
      <c r="Y81" s="60" t="s">
        <v>84</v>
      </c>
      <c r="Z81" s="470">
        <v>0</v>
      </c>
      <c r="AA81" s="470">
        <f>4</f>
        <v>4</v>
      </c>
      <c r="AB81" s="416">
        <f>1+1</f>
        <v>2</v>
      </c>
      <c r="AC81" s="416">
        <f>1</f>
        <v>1</v>
      </c>
      <c r="AD81" s="470">
        <v>0</v>
      </c>
      <c r="AE81" s="361">
        <f>SUM(Z81:AD81)</f>
        <v>7</v>
      </c>
      <c r="AG81" s="60" t="s">
        <v>91</v>
      </c>
      <c r="AH81" s="470">
        <f t="shared" si="25"/>
        <v>0</v>
      </c>
      <c r="AI81" s="470">
        <f t="shared" si="24"/>
        <v>10</v>
      </c>
      <c r="AJ81" s="470">
        <f t="shared" si="24"/>
        <v>2</v>
      </c>
      <c r="AK81" s="470">
        <f t="shared" si="24"/>
        <v>1</v>
      </c>
      <c r="AL81" s="470">
        <f t="shared" si="24"/>
        <v>0</v>
      </c>
      <c r="AM81" s="60">
        <f t="shared" si="26"/>
        <v>13</v>
      </c>
    </row>
    <row r="82" spans="2:39">
      <c r="B82" s="64"/>
      <c r="C82" s="375"/>
      <c r="D82" s="375"/>
      <c r="E82" s="375"/>
      <c r="F82" s="64"/>
      <c r="G82" s="64"/>
      <c r="H82" s="64"/>
      <c r="I82" s="64"/>
      <c r="J82" s="64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7"/>
      <c r="W82" s="375"/>
      <c r="Y82" s="60" t="s">
        <v>85</v>
      </c>
      <c r="Z82" s="470">
        <v>0</v>
      </c>
      <c r="AA82" s="470">
        <f>3+2+2</f>
        <v>7</v>
      </c>
      <c r="AB82" s="470">
        <f>2+1</f>
        <v>3</v>
      </c>
      <c r="AC82" s="470">
        <v>0</v>
      </c>
      <c r="AD82" s="470">
        <f>1+1</f>
        <v>2</v>
      </c>
      <c r="AE82" s="60">
        <f t="shared" ref="AE82:AE92" si="27">SUM(Z82:AD82)</f>
        <v>12</v>
      </c>
      <c r="AG82" s="60" t="s">
        <v>92</v>
      </c>
      <c r="AH82" s="470">
        <f t="shared" si="25"/>
        <v>0</v>
      </c>
      <c r="AI82" s="470">
        <f t="shared" si="24"/>
        <v>4</v>
      </c>
      <c r="AJ82" s="470">
        <f t="shared" si="24"/>
        <v>7</v>
      </c>
      <c r="AK82" s="470">
        <f t="shared" si="24"/>
        <v>0</v>
      </c>
      <c r="AL82" s="470">
        <f t="shared" si="24"/>
        <v>0</v>
      </c>
      <c r="AM82" s="60">
        <f t="shared" si="26"/>
        <v>11</v>
      </c>
    </row>
    <row r="83" spans="2:39">
      <c r="B83" s="64"/>
      <c r="C83" s="375"/>
      <c r="D83" s="375"/>
      <c r="E83" s="375"/>
      <c r="F83" s="64"/>
      <c r="G83" s="64"/>
      <c r="H83" s="64"/>
      <c r="I83" s="64"/>
      <c r="J83" s="64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7"/>
      <c r="W83" s="375"/>
      <c r="Y83" s="60" t="s">
        <v>86</v>
      </c>
      <c r="Z83" s="470">
        <v>0</v>
      </c>
      <c r="AA83" s="470">
        <v>0</v>
      </c>
      <c r="AB83" s="359">
        <f>2+1</f>
        <v>3</v>
      </c>
      <c r="AC83" s="470">
        <v>0</v>
      </c>
      <c r="AD83" s="470">
        <f>1</f>
        <v>1</v>
      </c>
      <c r="AE83" s="60">
        <f t="shared" si="27"/>
        <v>4</v>
      </c>
      <c r="AG83" s="60" t="s">
        <v>93</v>
      </c>
      <c r="AH83" s="470">
        <f t="shared" si="25"/>
        <v>1</v>
      </c>
      <c r="AI83" s="470">
        <f t="shared" si="24"/>
        <v>0</v>
      </c>
      <c r="AJ83" s="470">
        <f t="shared" si="24"/>
        <v>2</v>
      </c>
      <c r="AK83" s="470">
        <f t="shared" si="24"/>
        <v>3</v>
      </c>
      <c r="AL83" s="470">
        <f t="shared" si="24"/>
        <v>0</v>
      </c>
      <c r="AM83" s="60">
        <f t="shared" si="26"/>
        <v>6</v>
      </c>
    </row>
    <row r="84" spans="2:39">
      <c r="B84" s="64"/>
      <c r="C84" s="375"/>
      <c r="D84" s="375"/>
      <c r="E84" s="375"/>
      <c r="F84" s="64"/>
      <c r="G84" s="64"/>
      <c r="H84" s="64"/>
      <c r="I84" s="64"/>
      <c r="J84" s="64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7"/>
      <c r="W84" s="375"/>
      <c r="Y84" s="60" t="s">
        <v>87</v>
      </c>
      <c r="Z84" s="470">
        <v>0</v>
      </c>
      <c r="AA84" s="417">
        <f>4+3+3</f>
        <v>10</v>
      </c>
      <c r="AB84" s="470">
        <f>2+2+3+6+2</f>
        <v>15</v>
      </c>
      <c r="AC84" s="470">
        <f>1+3+4</f>
        <v>8</v>
      </c>
      <c r="AD84" s="470">
        <v>0</v>
      </c>
      <c r="AE84" s="60">
        <f t="shared" si="27"/>
        <v>33</v>
      </c>
      <c r="AG84" s="60" t="s">
        <v>94</v>
      </c>
      <c r="AH84" s="470">
        <f t="shared" si="25"/>
        <v>1</v>
      </c>
      <c r="AI84" s="470">
        <f t="shared" si="24"/>
        <v>1</v>
      </c>
      <c r="AJ84" s="470">
        <f t="shared" si="24"/>
        <v>2</v>
      </c>
      <c r="AK84" s="470">
        <f t="shared" si="24"/>
        <v>4</v>
      </c>
      <c r="AL84" s="470">
        <f t="shared" si="24"/>
        <v>0</v>
      </c>
      <c r="AM84" s="60">
        <f t="shared" si="26"/>
        <v>8</v>
      </c>
    </row>
    <row r="85" spans="2:39">
      <c r="B85" s="64"/>
      <c r="C85" s="375"/>
      <c r="D85" s="375"/>
      <c r="E85" s="375"/>
      <c r="F85" s="64"/>
      <c r="G85" s="64"/>
      <c r="H85" s="64"/>
      <c r="I85" s="64"/>
      <c r="J85" s="64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7"/>
      <c r="W85" s="375"/>
      <c r="Y85" s="60" t="s">
        <v>88</v>
      </c>
      <c r="Z85" s="470">
        <v>0</v>
      </c>
      <c r="AA85" s="470">
        <v>0</v>
      </c>
      <c r="AB85" s="470">
        <f>1+1+1+3+1+1</f>
        <v>8</v>
      </c>
      <c r="AC85" s="470">
        <f>1</f>
        <v>1</v>
      </c>
      <c r="AD85" s="470">
        <v>0</v>
      </c>
      <c r="AE85" s="60">
        <f t="shared" si="27"/>
        <v>9</v>
      </c>
      <c r="AG85" s="366" t="s">
        <v>482</v>
      </c>
      <c r="AH85" s="470">
        <f t="shared" si="25"/>
        <v>0</v>
      </c>
      <c r="AI85" s="470">
        <f t="shared" si="24"/>
        <v>1</v>
      </c>
      <c r="AJ85" s="470">
        <f t="shared" si="24"/>
        <v>2</v>
      </c>
      <c r="AK85" s="470">
        <f t="shared" si="24"/>
        <v>0</v>
      </c>
      <c r="AL85" s="470">
        <f t="shared" si="24"/>
        <v>0</v>
      </c>
      <c r="AM85" s="366">
        <f t="shared" si="26"/>
        <v>3</v>
      </c>
    </row>
    <row r="86" spans="2:39">
      <c r="B86" s="64"/>
      <c r="C86" s="375"/>
      <c r="D86" s="375"/>
      <c r="E86" s="375"/>
      <c r="F86" s="64"/>
      <c r="G86" s="64"/>
      <c r="H86" s="64"/>
      <c r="I86" s="64"/>
      <c r="J86" s="64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7"/>
      <c r="W86" s="375"/>
      <c r="Y86" s="60" t="s">
        <v>89</v>
      </c>
      <c r="Z86" s="470">
        <v>0</v>
      </c>
      <c r="AA86" s="470">
        <f>3+3+1</f>
        <v>7</v>
      </c>
      <c r="AB86" s="470">
        <f>1</f>
        <v>1</v>
      </c>
      <c r="AC86" s="470">
        <f>1</f>
        <v>1</v>
      </c>
      <c r="AD86" s="470">
        <v>0</v>
      </c>
      <c r="AE86" s="60">
        <f t="shared" si="27"/>
        <v>9</v>
      </c>
      <c r="AG86" s="270" t="s">
        <v>493</v>
      </c>
      <c r="AH86" s="368">
        <f t="shared" ref="AH86:AM86" si="28">SUM(AH74:AH85)</f>
        <v>5</v>
      </c>
      <c r="AI86" s="368">
        <f t="shared" si="28"/>
        <v>44</v>
      </c>
      <c r="AJ86" s="368">
        <f t="shared" si="28"/>
        <v>48</v>
      </c>
      <c r="AK86" s="368">
        <f t="shared" si="28"/>
        <v>20</v>
      </c>
      <c r="AL86" s="368">
        <f t="shared" si="28"/>
        <v>4</v>
      </c>
      <c r="AM86" s="369">
        <f t="shared" si="28"/>
        <v>121</v>
      </c>
    </row>
    <row r="87" spans="2:39">
      <c r="B87" s="64"/>
      <c r="C87" s="375"/>
      <c r="D87" s="375"/>
      <c r="E87" s="375"/>
      <c r="F87" s="64"/>
      <c r="G87" s="64"/>
      <c r="H87" s="64"/>
      <c r="I87" s="64"/>
      <c r="J87" s="64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7"/>
      <c r="W87" s="375"/>
      <c r="Y87" s="60" t="s">
        <v>90</v>
      </c>
      <c r="Z87" s="470">
        <v>0</v>
      </c>
      <c r="AA87" s="359">
        <v>0</v>
      </c>
      <c r="AB87" s="359">
        <f>1</f>
        <v>1</v>
      </c>
      <c r="AC87" s="470">
        <f>1</f>
        <v>1</v>
      </c>
      <c r="AD87" s="470">
        <f>1</f>
        <v>1</v>
      </c>
      <c r="AE87" s="60">
        <f t="shared" si="27"/>
        <v>3</v>
      </c>
      <c r="AG87" s="270" t="s">
        <v>492</v>
      </c>
      <c r="AH87" s="370">
        <f>PRODUCT(AH86*AI64)</f>
        <v>75</v>
      </c>
      <c r="AI87" s="418">
        <f>PRODUCT(AI86*AI65)</f>
        <v>720.23159999999996</v>
      </c>
      <c r="AJ87" s="418">
        <f>PRODUCT(AJ86*AI66)</f>
        <v>803.84159999999997</v>
      </c>
      <c r="AK87" s="418">
        <f>PRODUCT(AK86*AI67)</f>
        <v>337.73200000000003</v>
      </c>
      <c r="AL87" s="418">
        <f>PRODUCT(AL86*AI68)</f>
        <v>68</v>
      </c>
      <c r="AM87" s="419">
        <f>SUM(AH87:AL87)</f>
        <v>2004.8051999999998</v>
      </c>
    </row>
    <row r="88" spans="2:39">
      <c r="B88" s="64"/>
      <c r="C88" s="375"/>
      <c r="D88" s="375"/>
      <c r="E88" s="375"/>
      <c r="F88" s="64"/>
      <c r="G88" s="64"/>
      <c r="H88" s="64"/>
      <c r="I88" s="64"/>
      <c r="J88" s="64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7"/>
      <c r="W88" s="375"/>
      <c r="Y88" s="60" t="s">
        <v>91</v>
      </c>
      <c r="Z88" s="470">
        <v>0</v>
      </c>
      <c r="AA88" s="359">
        <f>2+3+1+2+1+1</f>
        <v>10</v>
      </c>
      <c r="AB88" s="470">
        <f>1+1</f>
        <v>2</v>
      </c>
      <c r="AC88" s="470">
        <f>1</f>
        <v>1</v>
      </c>
      <c r="AD88" s="470">
        <v>0</v>
      </c>
      <c r="AE88" s="60">
        <f t="shared" si="27"/>
        <v>13</v>
      </c>
      <c r="AG88" s="270" t="s">
        <v>526</v>
      </c>
      <c r="AH88" s="370">
        <f>AH86*AH64</f>
        <v>500</v>
      </c>
      <c r="AI88" s="370">
        <f>AI86*AH65</f>
        <v>6600</v>
      </c>
      <c r="AJ88" s="370">
        <f>AJ86*AH66</f>
        <v>9600</v>
      </c>
      <c r="AK88" s="370">
        <f>AK86*AH67</f>
        <v>5000</v>
      </c>
      <c r="AL88" s="370">
        <f>AL86*AH68</f>
        <v>1200</v>
      </c>
      <c r="AM88" s="270">
        <f>SUM(AH88:AL88)</f>
        <v>22900</v>
      </c>
    </row>
    <row r="89" spans="2:39">
      <c r="B89" s="64"/>
      <c r="C89" s="375"/>
      <c r="D89" s="375"/>
      <c r="E89" s="375"/>
      <c r="F89" s="64"/>
      <c r="G89" s="64"/>
      <c r="H89" s="64"/>
      <c r="I89" s="64"/>
      <c r="J89" s="64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7"/>
      <c r="W89" s="375"/>
      <c r="Y89" s="60" t="s">
        <v>92</v>
      </c>
      <c r="Z89" s="470">
        <v>0</v>
      </c>
      <c r="AA89" s="359">
        <f>2+2</f>
        <v>4</v>
      </c>
      <c r="AB89" s="470">
        <f>6+1</f>
        <v>7</v>
      </c>
      <c r="AC89" s="470">
        <v>0</v>
      </c>
      <c r="AD89" s="470">
        <v>0</v>
      </c>
      <c r="AE89" s="60">
        <f t="shared" si="27"/>
        <v>11</v>
      </c>
    </row>
    <row r="90" spans="2:39">
      <c r="B90" s="64"/>
      <c r="C90" s="375"/>
      <c r="D90" s="375"/>
      <c r="E90" s="375"/>
      <c r="F90" s="64"/>
      <c r="G90" s="64"/>
      <c r="H90" s="64"/>
      <c r="I90" s="64"/>
      <c r="J90" s="64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7"/>
      <c r="W90" s="375"/>
      <c r="Y90" s="60" t="s">
        <v>93</v>
      </c>
      <c r="Z90" s="470">
        <v>0</v>
      </c>
      <c r="AA90" s="359">
        <v>0</v>
      </c>
      <c r="AB90" s="470">
        <f>1+1</f>
        <v>2</v>
      </c>
      <c r="AC90" s="470">
        <f>3</f>
        <v>3</v>
      </c>
      <c r="AD90" s="470">
        <v>0</v>
      </c>
      <c r="AE90" s="60">
        <f t="shared" si="27"/>
        <v>5</v>
      </c>
    </row>
    <row r="91" spans="2:39">
      <c r="B91" s="64"/>
      <c r="C91" s="375"/>
      <c r="D91" s="375"/>
      <c r="E91" s="375"/>
      <c r="F91" s="64"/>
      <c r="G91" s="64"/>
      <c r="H91" s="64"/>
      <c r="I91" s="64"/>
      <c r="J91" s="64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7"/>
      <c r="W91" s="375"/>
      <c r="Y91" s="60" t="s">
        <v>94</v>
      </c>
      <c r="Z91" s="470">
        <v>0</v>
      </c>
      <c r="AA91" s="417">
        <f>1</f>
        <v>1</v>
      </c>
      <c r="AB91" s="470">
        <f>1+1</f>
        <v>2</v>
      </c>
      <c r="AC91" s="470">
        <f>4</f>
        <v>4</v>
      </c>
      <c r="AD91" s="470">
        <v>0</v>
      </c>
      <c r="AE91" s="60">
        <f t="shared" si="27"/>
        <v>7</v>
      </c>
    </row>
    <row r="92" spans="2:39">
      <c r="B92" s="64"/>
      <c r="C92" s="375"/>
      <c r="D92" s="375"/>
      <c r="E92" s="375"/>
      <c r="F92" s="64"/>
      <c r="G92" s="64"/>
      <c r="H92" s="64"/>
      <c r="I92" s="64"/>
      <c r="J92" s="64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7"/>
      <c r="W92" s="375"/>
      <c r="Y92" s="366" t="s">
        <v>482</v>
      </c>
      <c r="Z92" s="367">
        <v>0</v>
      </c>
      <c r="AA92" s="367">
        <f>1</f>
        <v>1</v>
      </c>
      <c r="AB92" s="367">
        <f>2</f>
        <v>2</v>
      </c>
      <c r="AC92" s="367">
        <v>0</v>
      </c>
      <c r="AD92" s="367">
        <v>0</v>
      </c>
      <c r="AE92" s="366">
        <f t="shared" si="27"/>
        <v>3</v>
      </c>
    </row>
    <row r="93" spans="2:39">
      <c r="B93" s="64"/>
      <c r="C93" s="375"/>
      <c r="D93" s="375"/>
      <c r="E93" s="375"/>
      <c r="F93" s="64"/>
      <c r="G93" s="64"/>
      <c r="H93" s="64"/>
      <c r="I93" s="64"/>
      <c r="J93" s="64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7"/>
      <c r="W93" s="375"/>
      <c r="Y93" s="270" t="s">
        <v>493</v>
      </c>
      <c r="Z93" s="368">
        <f t="shared" ref="Z93:AE93" si="29">SUM(Z81:Z92)</f>
        <v>0</v>
      </c>
      <c r="AA93" s="368">
        <f t="shared" si="29"/>
        <v>44</v>
      </c>
      <c r="AB93" s="368">
        <f t="shared" si="29"/>
        <v>48</v>
      </c>
      <c r="AC93" s="368">
        <f t="shared" si="29"/>
        <v>20</v>
      </c>
      <c r="AD93" s="368">
        <f t="shared" si="29"/>
        <v>4</v>
      </c>
      <c r="AE93" s="369">
        <f t="shared" si="29"/>
        <v>116</v>
      </c>
    </row>
    <row r="94" spans="2:39">
      <c r="B94" s="64"/>
      <c r="C94" s="375"/>
      <c r="D94" s="375"/>
      <c r="E94" s="375"/>
      <c r="F94" s="64"/>
      <c r="G94" s="64"/>
      <c r="H94" s="64"/>
      <c r="I94" s="64"/>
      <c r="J94" s="64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7"/>
      <c r="W94" s="375"/>
      <c r="Y94" s="270" t="s">
        <v>492</v>
      </c>
      <c r="Z94" s="418">
        <f>PRODUCT(Z93*AI64)</f>
        <v>0</v>
      </c>
      <c r="AA94" s="418">
        <f>PRODUCT(AA93*AI65)</f>
        <v>720.23159999999996</v>
      </c>
      <c r="AB94" s="418">
        <f>PRODUCT(AB93*AI66)</f>
        <v>803.84159999999997</v>
      </c>
      <c r="AC94" s="418">
        <f>PRODUCT(AC93*AI67)</f>
        <v>337.73200000000003</v>
      </c>
      <c r="AD94" s="418">
        <f>PRODUCT(AD93*AI68)</f>
        <v>68</v>
      </c>
      <c r="AE94" s="419">
        <f>SUM(Z94:AD94)</f>
        <v>1929.8051999999998</v>
      </c>
    </row>
    <row r="95" spans="2:39">
      <c r="B95" s="64"/>
      <c r="C95" s="375"/>
      <c r="D95" s="375"/>
      <c r="E95" s="375"/>
      <c r="F95" s="64"/>
      <c r="G95" s="64"/>
      <c r="H95" s="64"/>
      <c r="I95" s="64"/>
      <c r="J95" s="64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7"/>
      <c r="W95" s="375"/>
      <c r="Y95" s="270" t="s">
        <v>526</v>
      </c>
      <c r="Z95" s="370">
        <f>Z93*AH64</f>
        <v>0</v>
      </c>
      <c r="AA95" s="370">
        <f>AA93*AH65</f>
        <v>6600</v>
      </c>
      <c r="AB95" s="370">
        <f>AB93*AH66</f>
        <v>9600</v>
      </c>
      <c r="AC95" s="370">
        <f>AC93*AH67</f>
        <v>5000</v>
      </c>
      <c r="AD95" s="370">
        <f>AD93*AH68</f>
        <v>1200</v>
      </c>
      <c r="AE95" s="270">
        <f>SUM(Z95:AD95)</f>
        <v>22400</v>
      </c>
    </row>
    <row r="96" spans="2:39">
      <c r="B96" s="64"/>
      <c r="C96" s="375"/>
      <c r="D96" s="375"/>
      <c r="E96" s="375"/>
      <c r="F96" s="64"/>
      <c r="G96" s="64"/>
      <c r="H96" s="64"/>
      <c r="I96" s="64"/>
      <c r="J96" s="64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7"/>
      <c r="W96" s="375"/>
    </row>
    <row r="97" spans="2:23">
      <c r="B97" s="64"/>
      <c r="C97" s="375"/>
      <c r="D97" s="375"/>
      <c r="E97" s="375"/>
      <c r="F97" s="64"/>
      <c r="G97" s="64"/>
      <c r="H97" s="64"/>
      <c r="I97" s="64"/>
      <c r="J97" s="64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7"/>
      <c r="W97" s="375"/>
    </row>
    <row r="98" spans="2:23">
      <c r="B98" s="64"/>
      <c r="C98" s="375"/>
      <c r="D98" s="375"/>
      <c r="E98" s="375"/>
      <c r="F98" s="64"/>
      <c r="G98" s="64"/>
      <c r="H98" s="64"/>
      <c r="I98" s="64"/>
      <c r="J98" s="64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7"/>
      <c r="W98" s="375"/>
    </row>
    <row r="99" spans="2:23">
      <c r="B99" s="64"/>
      <c r="C99" s="375"/>
      <c r="D99" s="375"/>
      <c r="E99" s="375"/>
      <c r="F99" s="64"/>
      <c r="G99" s="64"/>
      <c r="H99" s="64"/>
      <c r="I99" s="64"/>
      <c r="J99" s="64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7"/>
      <c r="W99" s="375"/>
    </row>
    <row r="100" spans="2:23">
      <c r="B100" s="64"/>
      <c r="C100" s="375"/>
      <c r="D100" s="375"/>
      <c r="E100" s="375"/>
      <c r="F100" s="64"/>
      <c r="G100" s="64"/>
      <c r="H100" s="64"/>
      <c r="I100" s="64"/>
      <c r="J100" s="64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7"/>
      <c r="W100" s="375"/>
    </row>
    <row r="101" spans="2:23">
      <c r="B101" s="64"/>
      <c r="C101" s="375"/>
      <c r="D101" s="375"/>
      <c r="E101" s="375"/>
      <c r="F101" s="64"/>
      <c r="G101" s="64"/>
      <c r="H101" s="64"/>
      <c r="I101" s="64"/>
      <c r="J101" s="64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7"/>
      <c r="W101" s="375"/>
    </row>
    <row r="102" spans="2:23">
      <c r="B102" s="64"/>
      <c r="C102" s="375"/>
      <c r="D102" s="375"/>
      <c r="E102" s="375"/>
      <c r="F102" s="64"/>
      <c r="G102" s="64"/>
      <c r="H102" s="64"/>
      <c r="I102" s="64"/>
      <c r="J102" s="64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7"/>
      <c r="W102" s="375"/>
    </row>
    <row r="103" spans="2:23">
      <c r="B103" s="64"/>
      <c r="C103" s="375"/>
      <c r="D103" s="375"/>
      <c r="E103" s="375"/>
      <c r="F103" s="64"/>
      <c r="G103" s="64"/>
      <c r="H103" s="64"/>
      <c r="I103" s="64"/>
      <c r="J103" s="64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7"/>
      <c r="W103" s="375"/>
    </row>
    <row r="104" spans="2:23">
      <c r="B104" s="64"/>
      <c r="C104" s="375"/>
      <c r="D104" s="375"/>
      <c r="E104" s="375"/>
      <c r="F104" s="64"/>
      <c r="G104" s="64"/>
      <c r="H104" s="64"/>
      <c r="I104" s="64"/>
      <c r="J104" s="64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7"/>
      <c r="W104" s="375"/>
    </row>
    <row r="105" spans="2:23">
      <c r="B105" s="64"/>
      <c r="C105" s="375"/>
      <c r="D105" s="375"/>
      <c r="E105" s="375"/>
      <c r="F105" s="64"/>
      <c r="G105" s="64"/>
      <c r="H105" s="64"/>
      <c r="I105" s="64"/>
      <c r="J105" s="64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7"/>
      <c r="W105" s="375"/>
    </row>
    <row r="106" spans="2:23">
      <c r="B106" s="64"/>
      <c r="C106" s="375"/>
      <c r="D106" s="375"/>
      <c r="E106" s="375"/>
      <c r="F106" s="64"/>
      <c r="G106" s="64"/>
      <c r="H106" s="64"/>
      <c r="I106" s="64"/>
      <c r="J106" s="64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7"/>
      <c r="W106" s="375"/>
    </row>
    <row r="107" spans="2:23">
      <c r="B107" s="64"/>
      <c r="C107" s="375"/>
      <c r="D107" s="375"/>
      <c r="E107" s="375"/>
      <c r="F107" s="64"/>
      <c r="G107" s="64"/>
      <c r="H107" s="64"/>
      <c r="I107" s="64"/>
      <c r="J107" s="64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7"/>
      <c r="W107" s="375"/>
    </row>
    <row r="108" spans="2:23">
      <c r="B108" s="64"/>
      <c r="C108" s="375"/>
      <c r="D108" s="375"/>
      <c r="E108" s="375"/>
      <c r="F108" s="64"/>
      <c r="G108" s="64"/>
      <c r="H108" s="64"/>
      <c r="I108" s="64"/>
      <c r="J108" s="64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7"/>
      <c r="W108" s="375"/>
    </row>
    <row r="109" spans="2:23">
      <c r="B109" s="64"/>
      <c r="C109" s="375"/>
      <c r="D109" s="375"/>
      <c r="E109" s="375"/>
      <c r="F109" s="64"/>
      <c r="G109" s="64"/>
      <c r="H109" s="64"/>
      <c r="I109" s="64"/>
      <c r="J109" s="64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7"/>
      <c r="W109" s="375"/>
    </row>
    <row r="110" spans="2:23">
      <c r="B110" s="64"/>
      <c r="C110" s="375"/>
      <c r="D110" s="375"/>
      <c r="E110" s="375"/>
      <c r="F110" s="64"/>
      <c r="G110" s="64"/>
      <c r="H110" s="64"/>
      <c r="I110" s="64"/>
      <c r="J110" s="64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7"/>
      <c r="W110" s="375"/>
    </row>
    <row r="111" spans="2:23">
      <c r="B111" s="64"/>
      <c r="C111" s="375"/>
      <c r="D111" s="375"/>
      <c r="E111" s="375"/>
      <c r="F111" s="64"/>
      <c r="G111" s="64"/>
      <c r="H111" s="64"/>
      <c r="I111" s="64"/>
      <c r="J111" s="64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7"/>
      <c r="W111" s="375"/>
    </row>
    <row r="112" spans="2:23">
      <c r="B112" s="64"/>
      <c r="C112" s="375"/>
      <c r="D112" s="375"/>
      <c r="E112" s="375"/>
      <c r="F112" s="64"/>
      <c r="G112" s="64"/>
      <c r="H112" s="64"/>
      <c r="I112" s="64"/>
      <c r="J112" s="64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7"/>
      <c r="W112" s="375"/>
    </row>
    <row r="113" spans="1:23">
      <c r="B113" s="64"/>
      <c r="C113" s="375"/>
      <c r="D113" s="375"/>
      <c r="E113" s="375"/>
      <c r="F113" s="64"/>
      <c r="G113" s="64"/>
      <c r="H113" s="64"/>
      <c r="I113" s="64"/>
      <c r="J113" s="64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7"/>
      <c r="W113" s="375"/>
    </row>
    <row r="114" spans="1:23">
      <c r="B114" s="64"/>
      <c r="C114" s="375"/>
      <c r="D114" s="375"/>
      <c r="E114" s="375"/>
      <c r="F114" s="64"/>
      <c r="G114" s="64"/>
      <c r="H114" s="64"/>
      <c r="I114" s="64"/>
      <c r="J114" s="64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7"/>
      <c r="W114" s="375"/>
    </row>
    <row r="115" spans="1:23">
      <c r="B115" s="64"/>
      <c r="C115" s="375"/>
      <c r="D115" s="375"/>
      <c r="E115" s="375"/>
      <c r="F115" s="64"/>
      <c r="G115" s="64"/>
      <c r="H115" s="64"/>
      <c r="I115" s="64"/>
      <c r="J115" s="64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7"/>
      <c r="W115" s="375"/>
    </row>
    <row r="116" spans="1:23">
      <c r="B116" s="64"/>
      <c r="C116" s="375"/>
      <c r="D116" s="375"/>
      <c r="E116" s="375"/>
      <c r="F116" s="64"/>
      <c r="G116" s="64"/>
      <c r="H116" s="64"/>
      <c r="I116" s="64"/>
      <c r="J116" s="64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7"/>
      <c r="W116" s="375"/>
    </row>
    <row r="117" spans="1:23">
      <c r="B117" s="64"/>
      <c r="C117" s="375"/>
      <c r="D117" s="375"/>
      <c r="E117" s="375"/>
      <c r="F117" s="64"/>
      <c r="G117" s="64"/>
      <c r="H117" s="64"/>
      <c r="I117" s="64"/>
      <c r="J117" s="64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7"/>
      <c r="W117" s="375"/>
    </row>
    <row r="118" spans="1:23">
      <c r="B118" s="64"/>
      <c r="C118" s="375"/>
      <c r="D118" s="375"/>
      <c r="E118" s="375"/>
      <c r="F118" s="64"/>
      <c r="G118" s="64"/>
      <c r="H118" s="64"/>
      <c r="I118" s="64"/>
      <c r="J118" s="64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7"/>
      <c r="W118" s="375"/>
    </row>
    <row r="119" spans="1:23">
      <c r="B119" s="64"/>
      <c r="C119" s="375"/>
      <c r="D119" s="375"/>
      <c r="E119" s="375"/>
      <c r="F119" s="64"/>
      <c r="G119" s="64"/>
      <c r="H119" s="64"/>
      <c r="I119" s="64"/>
      <c r="J119" s="64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7"/>
      <c r="W119" s="375"/>
    </row>
    <row r="120" spans="1:23">
      <c r="B120" s="64"/>
      <c r="C120" s="375"/>
      <c r="D120" s="375"/>
      <c r="E120" s="375"/>
      <c r="F120" s="64"/>
      <c r="G120" s="64"/>
      <c r="H120" s="64"/>
      <c r="I120" s="64"/>
      <c r="J120" s="64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7"/>
      <c r="W120" s="375"/>
    </row>
    <row r="121" spans="1:23">
      <c r="B121" s="64"/>
      <c r="C121" s="375"/>
      <c r="D121" s="375"/>
      <c r="E121" s="375"/>
      <c r="F121" s="64"/>
      <c r="G121" s="64"/>
      <c r="H121" s="64"/>
      <c r="I121" s="64"/>
      <c r="J121" s="64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7"/>
      <c r="W121" s="375"/>
    </row>
    <row r="122" spans="1:23">
      <c r="B122" s="64"/>
      <c r="C122" s="375"/>
      <c r="D122" s="375"/>
      <c r="E122" s="375"/>
      <c r="F122" s="64"/>
      <c r="G122" s="64"/>
      <c r="H122" s="64"/>
      <c r="I122" s="64"/>
      <c r="J122" s="64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7"/>
      <c r="W122" s="375"/>
    </row>
    <row r="123" spans="1:23">
      <c r="B123" s="64"/>
      <c r="C123" s="375"/>
      <c r="D123" s="375"/>
      <c r="E123" s="375"/>
      <c r="F123" s="64"/>
      <c r="G123" s="64"/>
      <c r="H123" s="64"/>
      <c r="I123" s="64"/>
      <c r="J123" s="64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7"/>
      <c r="W123" s="375"/>
    </row>
    <row r="124" spans="1:23">
      <c r="A124" s="375"/>
      <c r="B124" s="64"/>
      <c r="C124" s="375"/>
      <c r="D124" s="375"/>
      <c r="E124" s="375"/>
      <c r="F124" s="64"/>
      <c r="G124" s="64"/>
      <c r="H124" s="64"/>
      <c r="I124" s="64"/>
      <c r="J124" s="64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7"/>
      <c r="W124" s="375"/>
    </row>
    <row r="125" spans="1:23">
      <c r="A125" s="375"/>
      <c r="B125" s="64"/>
      <c r="C125" s="375"/>
      <c r="D125" s="375"/>
      <c r="E125" s="375"/>
      <c r="F125" s="64"/>
      <c r="G125" s="64"/>
      <c r="H125" s="64"/>
      <c r="I125" s="64"/>
      <c r="J125" s="64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7"/>
      <c r="W125" s="375"/>
    </row>
    <row r="126" spans="1:23">
      <c r="A126" s="375"/>
      <c r="B126" s="64"/>
      <c r="C126" s="375"/>
      <c r="D126" s="375"/>
      <c r="E126" s="375"/>
      <c r="F126" s="64"/>
      <c r="G126" s="64"/>
      <c r="H126" s="64"/>
      <c r="I126" s="64"/>
      <c r="J126" s="64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7"/>
      <c r="W126" s="375"/>
    </row>
    <row r="127" spans="1:23">
      <c r="A127" s="375"/>
      <c r="B127" s="64"/>
      <c r="C127" s="375"/>
      <c r="D127" s="375"/>
      <c r="E127" s="375"/>
      <c r="F127" s="64"/>
      <c r="G127" s="64"/>
      <c r="H127" s="64"/>
      <c r="I127" s="64"/>
      <c r="J127" s="64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7"/>
      <c r="W127" s="375"/>
    </row>
    <row r="128" spans="1:23">
      <c r="A128" s="375"/>
      <c r="B128" s="64"/>
      <c r="C128" s="375"/>
      <c r="D128" s="375"/>
      <c r="E128" s="375"/>
      <c r="F128" s="64"/>
      <c r="G128" s="64"/>
      <c r="H128" s="64"/>
      <c r="I128" s="64"/>
      <c r="J128" s="64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7"/>
      <c r="W128" s="375"/>
    </row>
    <row r="129" spans="1:23">
      <c r="A129" s="375"/>
      <c r="B129" s="64"/>
      <c r="C129" s="375"/>
      <c r="D129" s="375"/>
      <c r="E129" s="375"/>
      <c r="F129" s="64"/>
      <c r="G129" s="64"/>
      <c r="H129" s="64"/>
      <c r="I129" s="64"/>
      <c r="J129" s="64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7"/>
      <c r="W129" s="375"/>
    </row>
    <row r="130" spans="1:23">
      <c r="A130" s="375"/>
      <c r="B130" s="64"/>
      <c r="C130" s="375"/>
      <c r="D130" s="375"/>
      <c r="E130" s="375"/>
      <c r="F130" s="64"/>
      <c r="G130" s="64"/>
      <c r="H130" s="64"/>
      <c r="I130" s="64"/>
      <c r="J130" s="64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7"/>
      <c r="W130" s="375"/>
    </row>
    <row r="131" spans="1:23">
      <c r="A131" s="375"/>
      <c r="B131" s="64"/>
      <c r="C131" s="375"/>
      <c r="D131" s="375"/>
      <c r="E131" s="375"/>
      <c r="F131" s="64"/>
      <c r="G131" s="64"/>
      <c r="H131" s="64"/>
      <c r="I131" s="64"/>
      <c r="J131" s="64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7"/>
      <c r="W131" s="375"/>
    </row>
    <row r="132" spans="1:23">
      <c r="A132" s="375"/>
      <c r="B132" s="64"/>
      <c r="C132" s="375"/>
      <c r="D132" s="375"/>
      <c r="E132" s="375"/>
      <c r="F132" s="64"/>
      <c r="G132" s="64"/>
      <c r="H132" s="64"/>
      <c r="I132" s="64"/>
      <c r="J132" s="64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7"/>
      <c r="W132" s="375"/>
    </row>
    <row r="133" spans="1:23">
      <c r="A133" s="375"/>
      <c r="B133" s="64"/>
      <c r="C133" s="375"/>
      <c r="D133" s="375"/>
      <c r="E133" s="375"/>
      <c r="F133" s="64"/>
      <c r="G133" s="64"/>
      <c r="H133" s="64"/>
      <c r="I133" s="64"/>
      <c r="J133" s="64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7"/>
      <c r="W133" s="375"/>
    </row>
    <row r="134" spans="1:23">
      <c r="A134" s="375"/>
      <c r="B134" s="64"/>
      <c r="C134" s="375"/>
      <c r="D134" s="375"/>
      <c r="E134" s="375"/>
      <c r="F134" s="64"/>
      <c r="G134" s="64"/>
      <c r="H134" s="64"/>
      <c r="I134" s="64"/>
      <c r="J134" s="64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7"/>
      <c r="W134" s="375"/>
    </row>
    <row r="135" spans="1:23">
      <c r="A135" s="375"/>
      <c r="B135" s="64"/>
      <c r="C135" s="375"/>
      <c r="D135" s="375"/>
      <c r="E135" s="375"/>
      <c r="F135" s="64"/>
      <c r="G135" s="64"/>
      <c r="H135" s="64"/>
      <c r="I135" s="64"/>
      <c r="J135" s="64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7"/>
      <c r="W135" s="375"/>
    </row>
    <row r="136" spans="1:23">
      <c r="A136" s="375"/>
      <c r="B136" s="64"/>
      <c r="C136" s="375"/>
      <c r="D136" s="375"/>
      <c r="E136" s="375"/>
      <c r="F136" s="64"/>
      <c r="G136" s="64"/>
      <c r="H136" s="64"/>
      <c r="I136" s="64"/>
      <c r="J136" s="64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7"/>
      <c r="W136" s="375"/>
    </row>
    <row r="137" spans="1:23">
      <c r="A137" s="375"/>
      <c r="B137" s="64"/>
      <c r="C137" s="375"/>
      <c r="D137" s="375"/>
      <c r="E137" s="375"/>
      <c r="F137" s="64"/>
      <c r="G137" s="64"/>
      <c r="H137" s="64"/>
      <c r="I137" s="64"/>
      <c r="J137" s="64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7"/>
      <c r="W137" s="375"/>
    </row>
    <row r="138" spans="1:23">
      <c r="A138" s="375"/>
      <c r="B138" s="64"/>
      <c r="C138" s="375"/>
      <c r="D138" s="375"/>
      <c r="E138" s="375"/>
      <c r="F138" s="64"/>
      <c r="G138" s="64"/>
      <c r="H138" s="64"/>
      <c r="I138" s="64"/>
      <c r="J138" s="64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7"/>
      <c r="W138" s="375"/>
    </row>
    <row r="139" spans="1:23">
      <c r="A139" s="375"/>
      <c r="B139" s="64"/>
      <c r="C139" s="375"/>
      <c r="D139" s="375"/>
      <c r="E139" s="375"/>
      <c r="F139" s="64"/>
      <c r="G139" s="64"/>
      <c r="H139" s="64"/>
      <c r="I139" s="64"/>
      <c r="J139" s="64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7"/>
      <c r="W139" s="375"/>
    </row>
    <row r="140" spans="1:23">
      <c r="A140" s="375"/>
      <c r="B140" s="64"/>
      <c r="C140" s="375"/>
      <c r="D140" s="375"/>
      <c r="E140" s="375"/>
      <c r="F140" s="64"/>
      <c r="G140" s="64"/>
      <c r="H140" s="64"/>
      <c r="I140" s="64"/>
      <c r="J140" s="64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7"/>
      <c r="W140" s="375"/>
    </row>
    <row r="141" spans="1:23">
      <c r="A141" s="375"/>
      <c r="B141" s="64"/>
      <c r="C141" s="375"/>
      <c r="D141" s="375"/>
      <c r="E141" s="375"/>
      <c r="F141" s="64"/>
      <c r="G141" s="64"/>
      <c r="H141" s="64"/>
      <c r="I141" s="64"/>
      <c r="J141" s="64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7"/>
      <c r="W141" s="375"/>
    </row>
    <row r="142" spans="1:23">
      <c r="A142" s="375"/>
      <c r="B142" s="64"/>
      <c r="C142" s="375"/>
      <c r="D142" s="375"/>
      <c r="E142" s="375"/>
      <c r="F142" s="64"/>
      <c r="G142" s="64"/>
      <c r="H142" s="64"/>
      <c r="I142" s="64"/>
      <c r="J142" s="64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7"/>
      <c r="W142" s="375"/>
    </row>
    <row r="143" spans="1:23">
      <c r="A143" s="375"/>
      <c r="B143" s="64"/>
      <c r="C143" s="375"/>
      <c r="D143" s="375"/>
      <c r="E143" s="375"/>
      <c r="F143" s="64"/>
      <c r="G143" s="64"/>
      <c r="H143" s="64"/>
      <c r="I143" s="64"/>
      <c r="J143" s="64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7"/>
      <c r="W143" s="375"/>
    </row>
    <row r="144" spans="1:23">
      <c r="A144" s="375"/>
      <c r="B144" s="64"/>
      <c r="C144" s="375"/>
      <c r="D144" s="375"/>
      <c r="E144" s="375"/>
      <c r="F144" s="64"/>
      <c r="G144" s="64"/>
      <c r="H144" s="64"/>
      <c r="I144" s="64"/>
      <c r="J144" s="64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7"/>
      <c r="W144" s="375"/>
    </row>
    <row r="145" spans="1:23">
      <c r="A145" s="375"/>
      <c r="B145" s="64"/>
      <c r="C145" s="375"/>
      <c r="D145" s="375"/>
      <c r="E145" s="375"/>
      <c r="F145" s="64"/>
      <c r="G145" s="64"/>
      <c r="H145" s="64"/>
      <c r="I145" s="64"/>
      <c r="J145" s="64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7"/>
      <c r="W145" s="375"/>
    </row>
    <row r="146" spans="1:23">
      <c r="A146" s="375"/>
      <c r="B146" s="64"/>
      <c r="C146" s="375"/>
      <c r="D146" s="375"/>
      <c r="E146" s="375"/>
      <c r="F146" s="64"/>
      <c r="G146" s="64"/>
      <c r="H146" s="64"/>
      <c r="I146" s="64"/>
      <c r="J146" s="64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7"/>
      <c r="W146" s="375"/>
    </row>
    <row r="147" spans="1:23">
      <c r="A147" s="375"/>
      <c r="B147" s="64"/>
      <c r="C147" s="375"/>
      <c r="D147" s="375"/>
      <c r="E147" s="375"/>
      <c r="F147" s="64"/>
      <c r="G147" s="64"/>
      <c r="H147" s="64"/>
      <c r="I147" s="64"/>
      <c r="J147" s="64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7"/>
      <c r="W147" s="375"/>
    </row>
    <row r="148" spans="1:23">
      <c r="A148" s="375"/>
      <c r="B148" s="64"/>
      <c r="C148" s="375"/>
      <c r="D148" s="375"/>
      <c r="E148" s="375"/>
      <c r="F148" s="64"/>
      <c r="G148" s="64"/>
      <c r="H148" s="64"/>
      <c r="I148" s="64"/>
      <c r="J148" s="64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7"/>
      <c r="W148" s="375"/>
    </row>
    <row r="149" spans="1:23">
      <c r="A149" s="375"/>
      <c r="B149" s="64"/>
      <c r="C149" s="375"/>
      <c r="D149" s="375"/>
      <c r="E149" s="375"/>
      <c r="F149" s="64"/>
      <c r="G149" s="64"/>
      <c r="H149" s="64"/>
      <c r="I149" s="64"/>
      <c r="J149" s="64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7"/>
      <c r="W149" s="375"/>
    </row>
    <row r="150" spans="1:23">
      <c r="A150" s="375"/>
      <c r="B150" s="64"/>
      <c r="C150" s="375"/>
      <c r="D150" s="375"/>
      <c r="E150" s="375"/>
      <c r="F150" s="64"/>
      <c r="G150" s="64"/>
      <c r="H150" s="64"/>
      <c r="I150" s="64"/>
      <c r="J150" s="64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7"/>
      <c r="W150" s="375"/>
    </row>
    <row r="151" spans="1:23">
      <c r="A151" s="375"/>
      <c r="B151" s="64"/>
      <c r="C151" s="375"/>
      <c r="D151" s="375"/>
      <c r="E151" s="375"/>
      <c r="F151" s="64"/>
      <c r="G151" s="64"/>
      <c r="H151" s="64"/>
      <c r="I151" s="64"/>
      <c r="J151" s="64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7"/>
      <c r="W151" s="375"/>
    </row>
    <row r="152" spans="1:23">
      <c r="A152" s="375"/>
      <c r="B152" s="64"/>
      <c r="C152" s="375"/>
      <c r="D152" s="375"/>
      <c r="E152" s="375"/>
      <c r="F152" s="64"/>
      <c r="G152" s="64"/>
      <c r="H152" s="64"/>
      <c r="I152" s="64"/>
      <c r="J152" s="64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7"/>
      <c r="W152" s="375"/>
    </row>
    <row r="153" spans="1:23">
      <c r="A153" s="375"/>
      <c r="B153" s="64"/>
      <c r="C153" s="375"/>
      <c r="D153" s="375"/>
      <c r="E153" s="375"/>
      <c r="F153" s="64"/>
      <c r="G153" s="64"/>
      <c r="H153" s="64"/>
      <c r="I153" s="64"/>
      <c r="J153" s="64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7"/>
      <c r="W153" s="375"/>
    </row>
    <row r="154" spans="1:23">
      <c r="A154" s="375"/>
      <c r="B154" s="64"/>
      <c r="C154" s="375"/>
      <c r="D154" s="375"/>
      <c r="E154" s="375"/>
      <c r="F154" s="64"/>
      <c r="G154" s="64"/>
      <c r="H154" s="64"/>
      <c r="I154" s="64"/>
      <c r="J154" s="64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7"/>
      <c r="W154" s="375"/>
    </row>
    <row r="155" spans="1:23">
      <c r="A155" s="375"/>
      <c r="B155" s="64"/>
      <c r="C155" s="375"/>
      <c r="D155" s="375"/>
      <c r="E155" s="375"/>
      <c r="F155" s="64"/>
      <c r="G155" s="64"/>
      <c r="H155" s="64"/>
      <c r="I155" s="64"/>
      <c r="J155" s="64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7"/>
      <c r="W155" s="375"/>
    </row>
    <row r="156" spans="1:23">
      <c r="A156" s="375"/>
      <c r="B156" s="64"/>
      <c r="C156" s="375"/>
      <c r="D156" s="375"/>
      <c r="E156" s="375"/>
      <c r="F156" s="64"/>
      <c r="G156" s="64"/>
      <c r="H156" s="64"/>
      <c r="I156" s="64"/>
      <c r="J156" s="64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7"/>
      <c r="W156" s="375"/>
    </row>
    <row r="157" spans="1:23">
      <c r="A157" s="375"/>
      <c r="B157" s="64"/>
      <c r="C157" s="375"/>
      <c r="D157" s="375"/>
      <c r="E157" s="375"/>
      <c r="F157" s="64"/>
      <c r="G157" s="64"/>
      <c r="H157" s="64"/>
      <c r="I157" s="64"/>
      <c r="J157" s="64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7"/>
      <c r="W157" s="375"/>
    </row>
    <row r="158" spans="1:23">
      <c r="A158" s="375"/>
      <c r="B158" s="64"/>
      <c r="C158" s="375"/>
      <c r="D158" s="375"/>
      <c r="E158" s="375"/>
      <c r="F158" s="64"/>
      <c r="G158" s="64"/>
      <c r="H158" s="64"/>
      <c r="I158" s="64"/>
      <c r="J158" s="64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7"/>
      <c r="W158" s="375"/>
    </row>
    <row r="159" spans="1:23">
      <c r="A159" s="375"/>
      <c r="B159" s="64"/>
      <c r="C159" s="375"/>
      <c r="D159" s="375"/>
      <c r="E159" s="375"/>
      <c r="F159" s="64"/>
      <c r="G159" s="64"/>
      <c r="H159" s="64"/>
      <c r="I159" s="64"/>
      <c r="J159" s="64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7"/>
      <c r="W159" s="375"/>
    </row>
    <row r="160" spans="1:23">
      <c r="A160" s="375"/>
      <c r="B160" s="64"/>
      <c r="C160" s="375"/>
      <c r="D160" s="375"/>
      <c r="E160" s="375"/>
      <c r="F160" s="64"/>
      <c r="G160" s="64"/>
      <c r="H160" s="64"/>
      <c r="I160" s="64"/>
      <c r="J160" s="64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7"/>
      <c r="W160" s="375"/>
    </row>
    <row r="161" spans="1:23">
      <c r="A161" s="375"/>
      <c r="B161" s="64"/>
      <c r="C161" s="375"/>
      <c r="D161" s="375"/>
      <c r="E161" s="375"/>
      <c r="F161" s="64"/>
      <c r="G161" s="64"/>
      <c r="H161" s="64"/>
      <c r="I161" s="64"/>
      <c r="J161" s="64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7"/>
      <c r="W161" s="375"/>
    </row>
    <row r="162" spans="1:23">
      <c r="A162" s="375"/>
      <c r="B162" s="64"/>
      <c r="C162" s="375"/>
      <c r="D162" s="375"/>
      <c r="E162" s="375"/>
      <c r="F162" s="64"/>
      <c r="G162" s="64"/>
      <c r="H162" s="64"/>
      <c r="I162" s="64"/>
      <c r="J162" s="64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7"/>
      <c r="W162" s="375"/>
    </row>
    <row r="163" spans="1:23">
      <c r="A163" s="375"/>
      <c r="B163" s="64"/>
      <c r="C163" s="375"/>
      <c r="D163" s="375"/>
      <c r="E163" s="375"/>
      <c r="F163" s="64"/>
      <c r="G163" s="64"/>
      <c r="H163" s="64"/>
      <c r="I163" s="64"/>
      <c r="J163" s="64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7"/>
      <c r="W163" s="375"/>
    </row>
    <row r="164" spans="1:23">
      <c r="A164" s="375"/>
      <c r="B164" s="64"/>
      <c r="C164" s="375"/>
      <c r="D164" s="375"/>
      <c r="E164" s="375"/>
      <c r="F164" s="64"/>
      <c r="G164" s="64"/>
      <c r="H164" s="64"/>
      <c r="I164" s="64"/>
      <c r="J164" s="64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7"/>
      <c r="W164" s="375"/>
    </row>
    <row r="165" spans="1:23">
      <c r="A165" s="375"/>
      <c r="B165" s="64"/>
      <c r="C165" s="375"/>
      <c r="D165" s="375"/>
      <c r="E165" s="375"/>
      <c r="F165" s="64"/>
      <c r="G165" s="64"/>
      <c r="H165" s="64"/>
      <c r="I165" s="64"/>
      <c r="J165" s="64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7"/>
      <c r="W165" s="375"/>
    </row>
    <row r="166" spans="1:23">
      <c r="A166" s="375"/>
      <c r="B166" s="64"/>
      <c r="C166" s="375"/>
      <c r="D166" s="375"/>
      <c r="E166" s="375"/>
      <c r="F166" s="64"/>
      <c r="G166" s="64"/>
      <c r="H166" s="64"/>
      <c r="I166" s="64"/>
      <c r="J166" s="64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7"/>
      <c r="W166" s="375"/>
    </row>
    <row r="167" spans="1:23">
      <c r="A167" s="375"/>
      <c r="B167" s="64"/>
      <c r="C167" s="375"/>
      <c r="D167" s="375"/>
      <c r="E167" s="375"/>
      <c r="F167" s="64"/>
      <c r="G167" s="64"/>
      <c r="H167" s="64"/>
      <c r="I167" s="64"/>
      <c r="J167" s="64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7"/>
      <c r="W167" s="375"/>
    </row>
    <row r="168" spans="1:23">
      <c r="A168" s="375"/>
      <c r="B168" s="64"/>
      <c r="C168" s="375"/>
      <c r="D168" s="375"/>
      <c r="E168" s="375"/>
      <c r="F168" s="64"/>
      <c r="G168" s="64"/>
      <c r="H168" s="64"/>
      <c r="I168" s="64"/>
      <c r="J168" s="64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7"/>
      <c r="W168" s="375"/>
    </row>
    <row r="169" spans="1:23">
      <c r="A169" s="375"/>
      <c r="B169" s="64"/>
      <c r="C169" s="375"/>
      <c r="D169" s="375"/>
      <c r="E169" s="375"/>
      <c r="F169" s="64"/>
      <c r="G169" s="64"/>
      <c r="H169" s="64"/>
      <c r="I169" s="64"/>
      <c r="J169" s="64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7"/>
      <c r="W169" s="375"/>
    </row>
    <row r="170" spans="1:23">
      <c r="A170" s="375"/>
      <c r="B170" s="64"/>
      <c r="C170" s="375"/>
      <c r="D170" s="375"/>
      <c r="E170" s="375"/>
      <c r="F170" s="64"/>
      <c r="G170" s="64"/>
      <c r="H170" s="64"/>
      <c r="I170" s="64"/>
      <c r="J170" s="64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7"/>
      <c r="W170" s="375"/>
    </row>
    <row r="171" spans="1:23">
      <c r="A171" s="375"/>
      <c r="B171" s="64"/>
      <c r="C171" s="375"/>
      <c r="D171" s="375"/>
      <c r="E171" s="375"/>
      <c r="F171" s="64"/>
      <c r="G171" s="64"/>
      <c r="H171" s="64"/>
      <c r="I171" s="64"/>
      <c r="J171" s="64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7"/>
      <c r="W171" s="375"/>
    </row>
    <row r="172" spans="1:23">
      <c r="A172" s="375"/>
      <c r="B172" s="64"/>
      <c r="C172" s="375"/>
      <c r="D172" s="375"/>
      <c r="E172" s="375"/>
      <c r="F172" s="64"/>
      <c r="G172" s="64"/>
      <c r="H172" s="64"/>
      <c r="I172" s="64"/>
      <c r="J172" s="64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7"/>
      <c r="W172" s="375"/>
    </row>
    <row r="173" spans="1:23">
      <c r="A173" s="375"/>
      <c r="B173" s="64"/>
      <c r="C173" s="375"/>
      <c r="D173" s="375"/>
      <c r="E173" s="375"/>
      <c r="F173" s="64"/>
      <c r="G173" s="64"/>
      <c r="H173" s="64"/>
      <c r="I173" s="64"/>
      <c r="J173" s="64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7"/>
      <c r="W173" s="375"/>
    </row>
    <row r="174" spans="1:23">
      <c r="A174" s="375"/>
      <c r="B174" s="64"/>
      <c r="C174" s="375"/>
      <c r="D174" s="375"/>
      <c r="E174" s="375"/>
      <c r="F174" s="64"/>
      <c r="G174" s="64"/>
      <c r="H174" s="64"/>
      <c r="I174" s="64"/>
      <c r="J174" s="64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7"/>
      <c r="W174" s="375"/>
    </row>
    <row r="175" spans="1:23">
      <c r="A175" s="375"/>
      <c r="B175" s="64"/>
      <c r="C175" s="375"/>
      <c r="D175" s="375"/>
      <c r="E175" s="375"/>
      <c r="F175" s="64"/>
      <c r="G175" s="64"/>
      <c r="H175" s="64"/>
      <c r="I175" s="64"/>
      <c r="J175" s="64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7"/>
      <c r="W175" s="375"/>
    </row>
    <row r="176" spans="1:23">
      <c r="A176" s="375"/>
      <c r="B176" s="64"/>
      <c r="C176" s="375"/>
      <c r="D176" s="375"/>
      <c r="E176" s="375"/>
      <c r="F176" s="64"/>
      <c r="G176" s="64"/>
      <c r="H176" s="64"/>
      <c r="I176" s="64"/>
      <c r="J176" s="64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7"/>
      <c r="W176" s="375"/>
    </row>
    <row r="177" spans="1:23">
      <c r="A177" s="375"/>
      <c r="B177" s="64"/>
      <c r="C177" s="375"/>
      <c r="D177" s="375"/>
      <c r="E177" s="375"/>
      <c r="F177" s="64"/>
      <c r="G177" s="64"/>
      <c r="H177" s="64"/>
      <c r="I177" s="64"/>
      <c r="J177" s="64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7"/>
      <c r="W177" s="375"/>
    </row>
    <row r="178" spans="1:23">
      <c r="A178" s="375"/>
      <c r="B178" s="64"/>
      <c r="C178" s="375"/>
      <c r="D178" s="375"/>
      <c r="E178" s="375"/>
      <c r="F178" s="64"/>
      <c r="G178" s="64"/>
      <c r="H178" s="64"/>
      <c r="I178" s="64"/>
      <c r="J178" s="64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7"/>
      <c r="W178" s="375"/>
    </row>
    <row r="179" spans="1:23">
      <c r="A179" s="375"/>
      <c r="B179" s="64"/>
      <c r="C179" s="375"/>
      <c r="D179" s="375"/>
      <c r="E179" s="375"/>
      <c r="F179" s="64"/>
      <c r="G179" s="64"/>
      <c r="H179" s="64"/>
      <c r="I179" s="64"/>
      <c r="J179" s="64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7"/>
      <c r="W179" s="375"/>
    </row>
  </sheetData>
  <dataConsolidate/>
  <mergeCells count="26">
    <mergeCell ref="Y79:AD79"/>
    <mergeCell ref="AG72:AL72"/>
    <mergeCell ref="A53:A54"/>
    <mergeCell ref="A55:A56"/>
    <mergeCell ref="Y59:AD59"/>
    <mergeCell ref="Y24:Z24"/>
    <mergeCell ref="A26:A27"/>
    <mergeCell ref="V26:V27"/>
    <mergeCell ref="W26:W27"/>
    <mergeCell ref="A33:A35"/>
    <mergeCell ref="A51:A52"/>
    <mergeCell ref="A28:A32"/>
    <mergeCell ref="V28:V32"/>
    <mergeCell ref="W28:W32"/>
    <mergeCell ref="A15:A20"/>
    <mergeCell ref="A21:A24"/>
    <mergeCell ref="A49:A50"/>
    <mergeCell ref="A36:A37"/>
    <mergeCell ref="A39:A40"/>
    <mergeCell ref="A41:A43"/>
    <mergeCell ref="A45:A48"/>
    <mergeCell ref="C1:K1"/>
    <mergeCell ref="M1:U1"/>
    <mergeCell ref="A4:A5"/>
    <mergeCell ref="A6:A8"/>
    <mergeCell ref="A9:A13"/>
  </mergeCells>
  <conditionalFormatting sqref="U3:U56">
    <cfRule type="containsText" dxfId="40" priority="7" operator="containsText" text="Yes">
      <formula>NOT(ISERROR(SEARCH("Yes",U3)))</formula>
    </cfRule>
  </conditionalFormatting>
  <conditionalFormatting sqref="T3:T56">
    <cfRule type="cellIs" dxfId="39" priority="5" operator="lessThan">
      <formula>0</formula>
    </cfRule>
  </conditionalFormatting>
  <conditionalFormatting sqref="Z61:AE72">
    <cfRule type="cellIs" dxfId="38" priority="4" operator="greaterThan">
      <formula>0</formula>
    </cfRule>
  </conditionalFormatting>
  <conditionalFormatting sqref="AA81:AE92">
    <cfRule type="cellIs" dxfId="37" priority="3" operator="greaterThan">
      <formula>0</formula>
    </cfRule>
  </conditionalFormatting>
  <conditionalFormatting sqref="Z81:Z92">
    <cfRule type="cellIs" dxfId="36" priority="2" operator="greaterThan">
      <formula>0</formula>
    </cfRule>
  </conditionalFormatting>
  <conditionalFormatting sqref="AH74:AM85">
    <cfRule type="cellIs" dxfId="35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W52" zoomScaleNormal="100" workbookViewId="0">
      <selection activeCell="AG72" sqref="AG72:AM8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6.5703125" style="59" customWidth="1"/>
    <col min="6" max="10" width="23.7109375" style="61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1.28515625" style="59" customWidth="1"/>
    <col min="20" max="20" width="23.28515625" style="59" customWidth="1"/>
    <col min="21" max="21" width="17.5703125" style="62" customWidth="1"/>
    <col min="22" max="22" width="33.8554687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23.7109375" style="5" customWidth="1"/>
    <col min="27" max="27" width="21.5703125" style="5" customWidth="1"/>
    <col min="28" max="32" width="9" style="5"/>
    <col min="33" max="33" width="12.28515625" style="5" customWidth="1"/>
    <col min="34" max="16384" width="9" style="5"/>
  </cols>
  <sheetData>
    <row r="1" spans="1:24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73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4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377"/>
      <c r="W2" s="375"/>
    </row>
    <row r="3" spans="1:24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377"/>
      <c r="W3" s="377"/>
    </row>
    <row r="4" spans="1:24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377"/>
      <c r="W4" s="377"/>
    </row>
    <row r="5" spans="1:24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376" t="s">
        <v>439</v>
      </c>
      <c r="W5" s="376" t="s">
        <v>454</v>
      </c>
    </row>
    <row r="6" spans="1:24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98"/>
      <c r="W6" s="197"/>
    </row>
    <row r="7" spans="1:24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221" t="s">
        <v>351</v>
      </c>
      <c r="W7" s="209" t="s">
        <v>351</v>
      </c>
    </row>
    <row r="8" spans="1:24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220"/>
      <c r="W8" s="209"/>
    </row>
    <row r="9" spans="1:24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07"/>
      <c r="W9" s="207"/>
      <c r="X9" s="213"/>
    </row>
    <row r="10" spans="1:24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377"/>
      <c r="W10" s="377"/>
      <c r="X10" s="213"/>
    </row>
    <row r="11" spans="1:24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377"/>
      <c r="W11" s="377"/>
      <c r="X11" s="213"/>
    </row>
    <row r="12" spans="1:24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377"/>
      <c r="W12" s="377"/>
      <c r="X12" s="213"/>
    </row>
    <row r="13" spans="1:24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377"/>
      <c r="W13" s="377"/>
      <c r="X13" s="213"/>
    </row>
    <row r="14" spans="1:24" ht="13.5" thickBot="1">
      <c r="A14" s="372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377"/>
      <c r="W14" s="377"/>
      <c r="X14" s="213"/>
    </row>
    <row r="15" spans="1:24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377"/>
      <c r="W15" s="377"/>
      <c r="X15" s="213"/>
    </row>
    <row r="16" spans="1:24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377"/>
      <c r="W16" s="377"/>
      <c r="X16" s="213"/>
    </row>
    <row r="17" spans="1:29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377"/>
      <c r="W17" s="377"/>
      <c r="X17" s="213"/>
    </row>
    <row r="18" spans="1:29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377"/>
      <c r="W18" s="377"/>
      <c r="X18" s="213"/>
    </row>
    <row r="19" spans="1:29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377"/>
      <c r="W19" s="377"/>
      <c r="X19" s="213"/>
    </row>
    <row r="20" spans="1:29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377"/>
      <c r="W20" s="377"/>
      <c r="X20" s="213"/>
    </row>
    <row r="21" spans="1:29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377"/>
      <c r="W21" s="377"/>
      <c r="X21" s="213"/>
    </row>
    <row r="22" spans="1:29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377"/>
      <c r="W22" s="377"/>
      <c r="X22" s="213"/>
    </row>
    <row r="23" spans="1:29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377"/>
      <c r="W23" s="377"/>
      <c r="X23" s="213"/>
      <c r="Y23" s="375"/>
      <c r="Z23" s="58"/>
    </row>
    <row r="24" spans="1:29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377"/>
      <c r="W24" s="377"/>
      <c r="Y24" s="533" t="s">
        <v>453</v>
      </c>
      <c r="Z24" s="534"/>
      <c r="AA24" s="378"/>
    </row>
    <row r="25" spans="1:29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376" t="s">
        <v>439</v>
      </c>
      <c r="W25" s="376" t="s">
        <v>454</v>
      </c>
      <c r="Y25" s="88"/>
      <c r="Z25" s="375"/>
      <c r="AA25" s="97"/>
    </row>
    <row r="26" spans="1:29" ht="15" customHeight="1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530" t="s">
        <v>14</v>
      </c>
      <c r="W26" s="528">
        <v>17</v>
      </c>
      <c r="Y26" s="243" t="s">
        <v>389</v>
      </c>
      <c r="Z26" s="350" t="s">
        <v>388</v>
      </c>
      <c r="AA26" s="244" t="s">
        <v>387</v>
      </c>
    </row>
    <row r="27" spans="1:29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531"/>
      <c r="W27" s="529"/>
      <c r="Y27" s="126" t="s">
        <v>14</v>
      </c>
      <c r="Z27" s="125">
        <v>17</v>
      </c>
      <c r="AA27" s="97">
        <f>(Z27/200)*100</f>
        <v>8.5</v>
      </c>
    </row>
    <row r="28" spans="1:29" ht="15" customHeight="1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530" t="s">
        <v>16</v>
      </c>
      <c r="W28" s="535">
        <v>33</v>
      </c>
      <c r="Y28" s="126" t="s">
        <v>16</v>
      </c>
      <c r="Z28" s="125">
        <v>33</v>
      </c>
      <c r="AA28" s="97">
        <f>(Z28/150)*100</f>
        <v>22</v>
      </c>
    </row>
    <row r="29" spans="1:29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532"/>
      <c r="W29" s="536"/>
      <c r="Y29" s="126" t="s">
        <v>19</v>
      </c>
      <c r="Z29" s="125">
        <v>70</v>
      </c>
      <c r="AA29" s="97"/>
    </row>
    <row r="30" spans="1:29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532"/>
      <c r="W30" s="536"/>
      <c r="Y30" s="5" t="s">
        <v>20</v>
      </c>
      <c r="Z30" s="5">
        <v>21</v>
      </c>
    </row>
    <row r="31" spans="1:29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532"/>
      <c r="W31" s="536"/>
      <c r="Z31" s="5">
        <v>0</v>
      </c>
      <c r="AB31" s="375"/>
      <c r="AC31" s="17"/>
    </row>
    <row r="32" spans="1:29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531"/>
      <c r="W32" s="537"/>
      <c r="Z32" s="5">
        <v>0</v>
      </c>
      <c r="AA32" s="375"/>
      <c r="AB32" s="375"/>
    </row>
    <row r="33" spans="1:28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207"/>
      <c r="W33" s="207"/>
      <c r="X33" s="213"/>
      <c r="Y33" s="154" t="s">
        <v>369</v>
      </c>
      <c r="Z33" s="218">
        <f>SUM(Z27:Z32)</f>
        <v>141</v>
      </c>
      <c r="AA33" s="375"/>
    </row>
    <row r="34" spans="1:28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377"/>
      <c r="W34" s="377"/>
      <c r="X34" s="213"/>
      <c r="Y34" s="217" t="s">
        <v>365</v>
      </c>
      <c r="Z34" s="216"/>
    </row>
    <row r="35" spans="1:28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377"/>
      <c r="W35" s="377"/>
      <c r="X35" s="213"/>
      <c r="AB35" s="375"/>
    </row>
    <row r="36" spans="1:28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377"/>
      <c r="W36" s="377"/>
      <c r="X36" s="213"/>
    </row>
    <row r="37" spans="1:28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215"/>
      <c r="W37" s="215"/>
      <c r="X37" s="213"/>
    </row>
    <row r="38" spans="1:28" ht="13.5" thickBot="1">
      <c r="A38" s="372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201" t="s">
        <v>19</v>
      </c>
      <c r="W38" s="200">
        <v>70</v>
      </c>
    </row>
    <row r="39" spans="1:28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98" t="s">
        <v>20</v>
      </c>
      <c r="W39" s="197">
        <v>21</v>
      </c>
    </row>
    <row r="40" spans="1:28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96"/>
      <c r="W40" s="195"/>
    </row>
    <row r="41" spans="1:28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V41" s="207"/>
      <c r="W41" s="207"/>
    </row>
    <row r="42" spans="1:28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V42" s="377"/>
      <c r="W42" s="377"/>
      <c r="X42" s="213"/>
    </row>
    <row r="43" spans="1:28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V43" s="377"/>
      <c r="W43" s="377"/>
      <c r="X43" s="213"/>
    </row>
    <row r="44" spans="1:28" ht="13.5" thickBot="1">
      <c r="A44" s="372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V44" s="377"/>
      <c r="W44" s="377"/>
      <c r="X44" s="213"/>
    </row>
    <row r="45" spans="1:28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V45" s="377"/>
      <c r="W45" s="377"/>
      <c r="X45" s="213"/>
    </row>
    <row r="46" spans="1:28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V46" s="377"/>
      <c r="W46" s="377"/>
      <c r="X46" s="213"/>
    </row>
    <row r="47" spans="1:28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V47" s="377"/>
      <c r="W47" s="377"/>
      <c r="X47" s="213"/>
    </row>
    <row r="48" spans="1:28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V48" s="377"/>
      <c r="W48" s="377"/>
      <c r="X48" s="213"/>
    </row>
    <row r="49" spans="1:35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V49" s="377"/>
      <c r="W49" s="377"/>
      <c r="X49" s="213"/>
    </row>
    <row r="50" spans="1:35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V50" s="377"/>
      <c r="W50" s="377"/>
      <c r="X50" s="213"/>
    </row>
    <row r="51" spans="1:35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V51" s="377"/>
      <c r="W51" s="377"/>
      <c r="X51" s="213"/>
    </row>
    <row r="52" spans="1:35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V52" s="377"/>
      <c r="W52" s="377"/>
      <c r="X52" s="213"/>
    </row>
    <row r="53" spans="1:35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V53" s="377"/>
      <c r="W53" s="377"/>
      <c r="X53" s="213"/>
    </row>
    <row r="54" spans="1:35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V54" s="377"/>
      <c r="W54" s="377"/>
      <c r="X54" s="213"/>
    </row>
    <row r="55" spans="1:35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V55" s="377"/>
      <c r="W55" s="377"/>
      <c r="X55" s="213"/>
    </row>
    <row r="56" spans="1:35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V56" s="377"/>
      <c r="W56" s="377"/>
      <c r="X56" s="213"/>
    </row>
    <row r="57" spans="1:35">
      <c r="A57" s="375"/>
      <c r="B57" s="64"/>
      <c r="C57" s="375"/>
      <c r="D57" s="375" t="s">
        <v>369</v>
      </c>
      <c r="E57" s="375"/>
      <c r="F57" s="64"/>
      <c r="G57" s="64"/>
      <c r="H57" s="64"/>
      <c r="I57" s="64"/>
      <c r="J57" s="64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7"/>
      <c r="W57" s="377"/>
    </row>
    <row r="58" spans="1:35">
      <c r="A58" s="375"/>
      <c r="B58" s="64"/>
      <c r="C58" s="375"/>
      <c r="D58" s="375"/>
      <c r="E58" s="375"/>
      <c r="F58" s="64"/>
      <c r="G58" s="64"/>
      <c r="H58" s="64"/>
      <c r="I58" s="64"/>
      <c r="J58" s="64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7"/>
      <c r="W58" s="377"/>
    </row>
    <row r="59" spans="1:35">
      <c r="A59" s="375"/>
      <c r="B59" s="64"/>
      <c r="C59" s="375"/>
      <c r="D59" s="375"/>
      <c r="E59" s="375"/>
      <c r="F59" s="64"/>
      <c r="G59" s="64"/>
      <c r="H59" s="64"/>
      <c r="I59" s="64"/>
      <c r="J59" s="64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7"/>
      <c r="W59" s="375"/>
      <c r="Y59" s="497" t="s">
        <v>564</v>
      </c>
      <c r="Z59" s="498"/>
      <c r="AA59" s="498"/>
      <c r="AB59" s="498"/>
      <c r="AC59" s="498"/>
      <c r="AD59" s="499"/>
      <c r="AE59" s="155"/>
    </row>
    <row r="60" spans="1:35">
      <c r="A60" s="375"/>
      <c r="B60" s="64"/>
      <c r="C60" s="375"/>
      <c r="D60" s="375"/>
      <c r="E60" s="375"/>
      <c r="F60" s="64"/>
      <c r="G60" s="64"/>
      <c r="H60" s="64"/>
      <c r="I60" s="64"/>
      <c r="J60" s="64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7"/>
      <c r="W60" s="375"/>
      <c r="Y60" s="355" t="s">
        <v>484</v>
      </c>
      <c r="Z60" s="357" t="s">
        <v>485</v>
      </c>
      <c r="AA60" s="357" t="s">
        <v>486</v>
      </c>
      <c r="AB60" s="357" t="s">
        <v>487</v>
      </c>
      <c r="AC60" s="357" t="s">
        <v>488</v>
      </c>
      <c r="AD60" s="358" t="s">
        <v>489</v>
      </c>
      <c r="AE60" s="270" t="s">
        <v>416</v>
      </c>
    </row>
    <row r="61" spans="1:35">
      <c r="A61" s="375"/>
      <c r="B61" s="64"/>
      <c r="C61" s="375"/>
      <c r="D61" s="375"/>
      <c r="E61" s="375"/>
      <c r="F61" s="64"/>
      <c r="G61" s="64"/>
      <c r="H61" s="64"/>
      <c r="I61" s="64"/>
      <c r="J61" s="64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7"/>
      <c r="W61" s="375"/>
      <c r="Y61" s="60" t="s">
        <v>84</v>
      </c>
      <c r="Z61" s="359">
        <v>0</v>
      </c>
      <c r="AA61" s="359">
        <v>0</v>
      </c>
      <c r="AB61" s="360">
        <v>0</v>
      </c>
      <c r="AC61" s="360">
        <v>0</v>
      </c>
      <c r="AD61" s="374">
        <v>0</v>
      </c>
      <c r="AE61" s="361">
        <f>SUM(Z61:AD61)</f>
        <v>0</v>
      </c>
    </row>
    <row r="62" spans="1:35">
      <c r="A62" s="375"/>
      <c r="B62" s="65"/>
      <c r="C62" s="375"/>
      <c r="D62" s="375"/>
      <c r="E62" s="375"/>
      <c r="F62" s="64"/>
      <c r="G62" s="64"/>
      <c r="H62" s="64"/>
      <c r="I62" s="64"/>
      <c r="J62" s="64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7"/>
      <c r="W62" s="375"/>
      <c r="Y62" s="60" t="s">
        <v>85</v>
      </c>
      <c r="Z62" s="359">
        <v>0</v>
      </c>
      <c r="AA62" s="359">
        <v>0</v>
      </c>
      <c r="AB62" s="359">
        <v>0</v>
      </c>
      <c r="AC62" s="359">
        <v>0</v>
      </c>
      <c r="AD62" s="374">
        <v>0</v>
      </c>
      <c r="AE62" s="60">
        <f t="shared" ref="AE62:AE72" si="22">SUM(Z62:AD62)</f>
        <v>0</v>
      </c>
    </row>
    <row r="63" spans="1:35">
      <c r="A63" s="375"/>
      <c r="B63" s="65"/>
      <c r="C63" s="375"/>
      <c r="D63" s="375"/>
      <c r="E63" s="375"/>
      <c r="F63" s="64"/>
      <c r="G63" s="64"/>
      <c r="H63" s="64"/>
      <c r="I63" s="64"/>
      <c r="J63" s="64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7"/>
      <c r="W63" s="375"/>
      <c r="Y63" s="60" t="s">
        <v>86</v>
      </c>
      <c r="Z63" s="359">
        <v>0</v>
      </c>
      <c r="AA63" s="359">
        <v>0</v>
      </c>
      <c r="AB63" s="359">
        <v>0</v>
      </c>
      <c r="AC63" s="359">
        <v>0</v>
      </c>
      <c r="AD63" s="374">
        <v>0</v>
      </c>
      <c r="AE63" s="60">
        <f t="shared" si="22"/>
        <v>0</v>
      </c>
      <c r="AG63" s="471" t="s">
        <v>490</v>
      </c>
      <c r="AH63" s="471" t="s">
        <v>491</v>
      </c>
      <c r="AI63" s="363" t="s">
        <v>492</v>
      </c>
    </row>
    <row r="64" spans="1:35">
      <c r="A64" s="375"/>
      <c r="B64" s="65"/>
      <c r="C64" s="375"/>
      <c r="D64" s="375"/>
      <c r="E64" s="375"/>
      <c r="F64" s="64"/>
      <c r="G64" s="64"/>
      <c r="H64" s="64"/>
      <c r="I64" s="64"/>
      <c r="J64" s="64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7"/>
      <c r="W64" s="375"/>
      <c r="Y64" s="60" t="s">
        <v>87</v>
      </c>
      <c r="Z64" s="359">
        <v>1</v>
      </c>
      <c r="AA64" s="359">
        <v>0</v>
      </c>
      <c r="AB64" s="359">
        <v>0</v>
      </c>
      <c r="AC64" s="359">
        <v>0</v>
      </c>
      <c r="AD64" s="374">
        <v>0</v>
      </c>
      <c r="AE64" s="60">
        <f t="shared" si="22"/>
        <v>1</v>
      </c>
      <c r="AG64" s="61" t="s">
        <v>485</v>
      </c>
      <c r="AH64" s="61">
        <v>100</v>
      </c>
      <c r="AI64" s="420">
        <v>15</v>
      </c>
    </row>
    <row r="65" spans="1:39">
      <c r="A65" s="375"/>
      <c r="B65" s="64"/>
      <c r="C65" s="375"/>
      <c r="D65" s="375"/>
      <c r="E65" s="375"/>
      <c r="O65" s="375"/>
      <c r="P65" s="375"/>
      <c r="Q65" s="375"/>
      <c r="R65" s="375"/>
      <c r="S65" s="375"/>
      <c r="U65" s="375"/>
      <c r="V65" s="377"/>
      <c r="W65" s="375"/>
      <c r="Y65" s="60" t="s">
        <v>88</v>
      </c>
      <c r="Z65" s="359">
        <v>1</v>
      </c>
      <c r="AA65" s="359">
        <v>0</v>
      </c>
      <c r="AB65" s="359">
        <v>0</v>
      </c>
      <c r="AC65" s="359">
        <v>0</v>
      </c>
      <c r="AD65" s="374">
        <v>0</v>
      </c>
      <c r="AE65" s="60">
        <f t="shared" si="22"/>
        <v>1</v>
      </c>
      <c r="AF65" s="377"/>
      <c r="AG65" s="364" t="s">
        <v>486</v>
      </c>
      <c r="AH65" s="364">
        <v>150</v>
      </c>
      <c r="AI65" s="421">
        <v>16.3689</v>
      </c>
    </row>
    <row r="66" spans="1:39">
      <c r="A66" s="375"/>
      <c r="B66" s="64"/>
      <c r="C66" s="375"/>
      <c r="D66" s="375"/>
      <c r="E66" s="375"/>
      <c r="O66" s="375"/>
      <c r="P66" s="375"/>
      <c r="Q66" s="375"/>
      <c r="R66" s="375"/>
      <c r="S66" s="375"/>
      <c r="U66" s="375"/>
      <c r="V66" s="377"/>
      <c r="W66" s="375"/>
      <c r="Y66" s="60" t="s">
        <v>89</v>
      </c>
      <c r="Z66" s="359">
        <v>0</v>
      </c>
      <c r="AA66" s="359">
        <v>0</v>
      </c>
      <c r="AB66" s="359">
        <v>0</v>
      </c>
      <c r="AC66" s="359">
        <v>0</v>
      </c>
      <c r="AD66" s="374">
        <v>0</v>
      </c>
      <c r="AE66" s="60">
        <f t="shared" si="22"/>
        <v>0</v>
      </c>
      <c r="AF66" s="376"/>
      <c r="AG66" s="364" t="s">
        <v>487</v>
      </c>
      <c r="AH66" s="364">
        <v>200</v>
      </c>
      <c r="AI66" s="421">
        <v>16.746700000000001</v>
      </c>
    </row>
    <row r="67" spans="1:39">
      <c r="A67" s="375"/>
      <c r="B67" s="64"/>
      <c r="C67" s="375"/>
      <c r="D67" s="375"/>
      <c r="E67" s="375"/>
      <c r="O67" s="375"/>
      <c r="P67" s="375"/>
      <c r="Q67" s="375"/>
      <c r="R67" s="375"/>
      <c r="S67" s="375"/>
      <c r="U67" s="375"/>
      <c r="V67" s="377"/>
      <c r="W67" s="375"/>
      <c r="Y67" s="60" t="s">
        <v>90</v>
      </c>
      <c r="Z67" s="359">
        <v>1</v>
      </c>
      <c r="AA67" s="359">
        <v>0</v>
      </c>
      <c r="AB67" s="359">
        <v>0</v>
      </c>
      <c r="AC67" s="359">
        <v>0</v>
      </c>
      <c r="AD67" s="374">
        <v>0</v>
      </c>
      <c r="AE67" s="60">
        <f t="shared" si="22"/>
        <v>1</v>
      </c>
      <c r="AF67" s="376"/>
      <c r="AG67" s="364" t="s">
        <v>488</v>
      </c>
      <c r="AH67" s="364">
        <v>250</v>
      </c>
      <c r="AI67" s="421">
        <v>16.886600000000001</v>
      </c>
    </row>
    <row r="68" spans="1:39">
      <c r="A68" s="375"/>
      <c r="B68" s="64"/>
      <c r="C68" s="375"/>
      <c r="D68" s="375"/>
      <c r="E68" s="375"/>
      <c r="F68" s="64"/>
      <c r="G68" s="64"/>
      <c r="H68" s="64"/>
      <c r="I68" s="64"/>
      <c r="J68" s="64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7"/>
      <c r="W68" s="375"/>
      <c r="Y68" s="60" t="s">
        <v>91</v>
      </c>
      <c r="Z68" s="359">
        <v>0</v>
      </c>
      <c r="AA68" s="359">
        <v>0</v>
      </c>
      <c r="AB68" s="374">
        <v>0</v>
      </c>
      <c r="AC68" s="374">
        <v>0</v>
      </c>
      <c r="AD68" s="374">
        <v>0</v>
      </c>
      <c r="AE68" s="60">
        <f t="shared" si="22"/>
        <v>0</v>
      </c>
      <c r="AF68" s="377"/>
      <c r="AG68" s="365" t="s">
        <v>525</v>
      </c>
      <c r="AH68" s="365">
        <v>300</v>
      </c>
      <c r="AI68" s="422">
        <v>17</v>
      </c>
    </row>
    <row r="69" spans="1:39">
      <c r="B69" s="64"/>
      <c r="C69" s="375"/>
      <c r="D69" s="375"/>
      <c r="E69" s="375"/>
      <c r="F69" s="64"/>
      <c r="G69" s="64"/>
      <c r="H69" s="64"/>
      <c r="I69" s="64"/>
      <c r="J69" s="64"/>
      <c r="K69" s="375"/>
      <c r="L69" s="375"/>
      <c r="M69" s="375"/>
      <c r="N69" s="375"/>
      <c r="O69" s="375"/>
      <c r="P69" s="375"/>
      <c r="Q69" s="375"/>
      <c r="R69" s="375"/>
      <c r="S69" s="375"/>
      <c r="T69" s="375"/>
      <c r="U69" s="375"/>
      <c r="V69" s="377"/>
      <c r="W69" s="375"/>
      <c r="Y69" s="60" t="s">
        <v>92</v>
      </c>
      <c r="Z69" s="374">
        <v>0</v>
      </c>
      <c r="AA69" s="374">
        <v>0</v>
      </c>
      <c r="AB69" s="374">
        <v>0</v>
      </c>
      <c r="AC69" s="374">
        <v>0</v>
      </c>
      <c r="AD69" s="374">
        <v>0</v>
      </c>
      <c r="AE69" s="60">
        <f t="shared" si="22"/>
        <v>0</v>
      </c>
      <c r="AF69" s="377"/>
      <c r="AG69" s="377"/>
      <c r="AH69" s="377"/>
    </row>
    <row r="70" spans="1:39">
      <c r="B70" s="64"/>
      <c r="C70" s="375"/>
      <c r="D70" s="375"/>
      <c r="E70" s="375"/>
      <c r="F70" s="64"/>
      <c r="G70" s="64"/>
      <c r="H70" s="64"/>
      <c r="I70" s="64"/>
      <c r="J70" s="64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7"/>
      <c r="W70" s="375"/>
      <c r="Y70" s="60" t="s">
        <v>93</v>
      </c>
      <c r="Z70" s="374">
        <v>1</v>
      </c>
      <c r="AA70" s="359">
        <v>0</v>
      </c>
      <c r="AB70" s="374">
        <v>0</v>
      </c>
      <c r="AC70" s="374">
        <v>0</v>
      </c>
      <c r="AD70" s="374">
        <v>0</v>
      </c>
      <c r="AE70" s="60">
        <f t="shared" si="22"/>
        <v>1</v>
      </c>
      <c r="AF70" s="377"/>
      <c r="AG70" s="377"/>
      <c r="AH70" s="377"/>
    </row>
    <row r="71" spans="1:39">
      <c r="B71" s="64"/>
      <c r="C71" s="375"/>
      <c r="D71" s="375"/>
      <c r="E71" s="375"/>
      <c r="F71" s="64"/>
      <c r="G71" s="64"/>
      <c r="H71" s="64"/>
      <c r="I71" s="64"/>
      <c r="J71" s="64"/>
      <c r="K71" s="375"/>
      <c r="L71" s="375"/>
      <c r="M71" s="375"/>
      <c r="N71" s="375"/>
      <c r="O71" s="375"/>
      <c r="P71" s="375"/>
      <c r="Q71" s="375"/>
      <c r="R71" s="375"/>
      <c r="S71" s="375"/>
      <c r="T71" s="375"/>
      <c r="U71" s="375"/>
      <c r="V71" s="377"/>
      <c r="W71" s="375"/>
      <c r="Y71" s="60" t="s">
        <v>94</v>
      </c>
      <c r="Z71" s="374">
        <v>1</v>
      </c>
      <c r="AA71" s="359">
        <v>0</v>
      </c>
      <c r="AB71" s="374">
        <v>0</v>
      </c>
      <c r="AC71" s="374">
        <v>0</v>
      </c>
      <c r="AD71" s="374">
        <v>0</v>
      </c>
      <c r="AE71" s="60">
        <f t="shared" si="22"/>
        <v>1</v>
      </c>
      <c r="AF71" s="18"/>
      <c r="AG71" s="18"/>
      <c r="AH71" s="377"/>
    </row>
    <row r="72" spans="1:39">
      <c r="B72" s="64"/>
      <c r="C72" s="375"/>
      <c r="D72" s="375"/>
      <c r="E72" s="375"/>
      <c r="F72" s="64"/>
      <c r="G72" s="64"/>
      <c r="H72" s="64"/>
      <c r="I72" s="64"/>
      <c r="J72" s="64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7"/>
      <c r="W72" s="375"/>
      <c r="Y72" s="366" t="s">
        <v>482</v>
      </c>
      <c r="Z72" s="367">
        <v>0</v>
      </c>
      <c r="AA72" s="367">
        <v>0</v>
      </c>
      <c r="AB72" s="367">
        <v>0</v>
      </c>
      <c r="AC72" s="367">
        <v>0</v>
      </c>
      <c r="AD72" s="367">
        <v>0</v>
      </c>
      <c r="AE72" s="366">
        <f t="shared" si="22"/>
        <v>0</v>
      </c>
      <c r="AF72" s="377"/>
      <c r="AG72" s="497" t="s">
        <v>566</v>
      </c>
      <c r="AH72" s="498"/>
      <c r="AI72" s="498"/>
      <c r="AJ72" s="498"/>
      <c r="AK72" s="498"/>
      <c r="AL72" s="499"/>
      <c r="AM72" s="155"/>
    </row>
    <row r="73" spans="1:39">
      <c r="B73" s="64"/>
      <c r="C73" s="375"/>
      <c r="D73" s="375"/>
      <c r="E73" s="375"/>
      <c r="F73" s="64"/>
      <c r="G73" s="64"/>
      <c r="H73" s="64"/>
      <c r="I73" s="64"/>
      <c r="J73" s="64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7"/>
      <c r="W73" s="375"/>
      <c r="Y73" s="270" t="s">
        <v>493</v>
      </c>
      <c r="Z73" s="368">
        <f t="shared" ref="Z73:AE73" si="23">SUM(Z61:Z72)</f>
        <v>5</v>
      </c>
      <c r="AA73" s="368">
        <f t="shared" si="23"/>
        <v>0</v>
      </c>
      <c r="AB73" s="368">
        <f t="shared" si="23"/>
        <v>0</v>
      </c>
      <c r="AC73" s="368">
        <f t="shared" si="23"/>
        <v>0</v>
      </c>
      <c r="AD73" s="368">
        <f t="shared" si="23"/>
        <v>0</v>
      </c>
      <c r="AE73" s="369">
        <f t="shared" si="23"/>
        <v>5</v>
      </c>
      <c r="AF73" s="377"/>
      <c r="AG73" s="355" t="s">
        <v>484</v>
      </c>
      <c r="AH73" s="357" t="s">
        <v>485</v>
      </c>
      <c r="AI73" s="357" t="s">
        <v>486</v>
      </c>
      <c r="AJ73" s="357" t="s">
        <v>487</v>
      </c>
      <c r="AK73" s="357" t="s">
        <v>488</v>
      </c>
      <c r="AL73" s="358" t="s">
        <v>525</v>
      </c>
      <c r="AM73" s="270" t="s">
        <v>416</v>
      </c>
    </row>
    <row r="74" spans="1:39">
      <c r="B74" s="64"/>
      <c r="C74" s="375"/>
      <c r="D74" s="375"/>
      <c r="E74" s="375"/>
      <c r="F74" s="64"/>
      <c r="G74" s="64"/>
      <c r="H74" s="64"/>
      <c r="I74" s="64"/>
      <c r="J74" s="64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7"/>
      <c r="W74" s="375"/>
      <c r="Y74" s="270" t="s">
        <v>492</v>
      </c>
      <c r="Z74" s="370">
        <f>PRODUCT(Z73*AI64)</f>
        <v>75</v>
      </c>
      <c r="AA74" s="370">
        <f>PRODUCT(AA73*AI65)</f>
        <v>0</v>
      </c>
      <c r="AB74" s="370">
        <f>PRODUCT(AB73*AI66)</f>
        <v>0</v>
      </c>
      <c r="AC74" s="370">
        <f>PRODUCT(AC73*AI67)</f>
        <v>0</v>
      </c>
      <c r="AD74" s="370">
        <f>PRODUCT(AD73*AI68)</f>
        <v>0</v>
      </c>
      <c r="AE74" s="270">
        <f>SUM(Z74:AD74)</f>
        <v>75</v>
      </c>
      <c r="AF74" s="377"/>
      <c r="AG74" s="60" t="s">
        <v>84</v>
      </c>
      <c r="AH74" s="470">
        <f>Z61+Z81</f>
        <v>0</v>
      </c>
      <c r="AI74" s="470">
        <f t="shared" ref="AI74:AL85" si="24">AA61+AA81</f>
        <v>4</v>
      </c>
      <c r="AJ74" s="470">
        <f t="shared" si="24"/>
        <v>2</v>
      </c>
      <c r="AK74" s="470">
        <f t="shared" si="24"/>
        <v>1</v>
      </c>
      <c r="AL74" s="470">
        <f t="shared" si="24"/>
        <v>0</v>
      </c>
      <c r="AM74" s="361">
        <f>SUM(AH74:AL74)</f>
        <v>7</v>
      </c>
    </row>
    <row r="75" spans="1:39">
      <c r="B75" s="64"/>
      <c r="C75" s="375"/>
      <c r="D75" s="375"/>
      <c r="E75" s="375"/>
      <c r="F75" s="64"/>
      <c r="G75" s="64"/>
      <c r="H75" s="64"/>
      <c r="I75" s="64"/>
      <c r="J75" s="64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7"/>
      <c r="W75" s="375"/>
      <c r="Y75" s="270" t="s">
        <v>491</v>
      </c>
      <c r="Z75" s="370">
        <f>Z73*AH64</f>
        <v>500</v>
      </c>
      <c r="AA75" s="370">
        <f>AA73*AH65</f>
        <v>0</v>
      </c>
      <c r="AB75" s="370">
        <f>AB73*AH66</f>
        <v>0</v>
      </c>
      <c r="AC75" s="370">
        <f>AC73*AH67</f>
        <v>0</v>
      </c>
      <c r="AD75" s="370">
        <f>AD73*AH68</f>
        <v>0</v>
      </c>
      <c r="AE75" s="270">
        <f>SUM(Z75:AD75)</f>
        <v>500</v>
      </c>
      <c r="AF75" s="377"/>
      <c r="AG75" s="60" t="s">
        <v>85</v>
      </c>
      <c r="AH75" s="470">
        <f t="shared" ref="AH75:AH85" si="25">Z62+Z82</f>
        <v>0</v>
      </c>
      <c r="AI75" s="470">
        <f t="shared" si="24"/>
        <v>7</v>
      </c>
      <c r="AJ75" s="470">
        <f t="shared" si="24"/>
        <v>3</v>
      </c>
      <c r="AK75" s="470">
        <f t="shared" si="24"/>
        <v>0</v>
      </c>
      <c r="AL75" s="470">
        <f t="shared" si="24"/>
        <v>2</v>
      </c>
      <c r="AM75" s="60">
        <f t="shared" ref="AM75:AM85" si="26">SUM(AH75:AL75)</f>
        <v>12</v>
      </c>
    </row>
    <row r="76" spans="1:39">
      <c r="B76" s="64"/>
      <c r="C76" s="375"/>
      <c r="D76" s="375"/>
      <c r="E76" s="375"/>
      <c r="F76" s="64"/>
      <c r="G76" s="64"/>
      <c r="H76" s="64"/>
      <c r="I76" s="64"/>
      <c r="J76" s="64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7"/>
      <c r="W76" s="375"/>
      <c r="AG76" s="60" t="s">
        <v>86</v>
      </c>
      <c r="AH76" s="470">
        <f t="shared" si="25"/>
        <v>0</v>
      </c>
      <c r="AI76" s="470">
        <f t="shared" si="24"/>
        <v>0</v>
      </c>
      <c r="AJ76" s="470">
        <f t="shared" si="24"/>
        <v>3</v>
      </c>
      <c r="AK76" s="470">
        <f t="shared" si="24"/>
        <v>0</v>
      </c>
      <c r="AL76" s="470">
        <f t="shared" si="24"/>
        <v>1</v>
      </c>
      <c r="AM76" s="60">
        <f t="shared" si="26"/>
        <v>4</v>
      </c>
    </row>
    <row r="77" spans="1:39">
      <c r="B77" s="64"/>
      <c r="C77" s="375"/>
      <c r="D77" s="375"/>
      <c r="E77" s="375"/>
      <c r="F77" s="64"/>
      <c r="G77" s="64"/>
      <c r="H77" s="64"/>
      <c r="I77" s="64"/>
      <c r="J77" s="64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75"/>
      <c r="V77" s="377"/>
      <c r="W77" s="375"/>
      <c r="AG77" s="60" t="s">
        <v>87</v>
      </c>
      <c r="AH77" s="470">
        <f t="shared" si="25"/>
        <v>1</v>
      </c>
      <c r="AI77" s="470">
        <f t="shared" si="24"/>
        <v>10</v>
      </c>
      <c r="AJ77" s="470">
        <f t="shared" si="24"/>
        <v>15</v>
      </c>
      <c r="AK77" s="470">
        <f t="shared" si="24"/>
        <v>8</v>
      </c>
      <c r="AL77" s="470">
        <f t="shared" si="24"/>
        <v>0</v>
      </c>
      <c r="AM77" s="60">
        <f t="shared" si="26"/>
        <v>34</v>
      </c>
    </row>
    <row r="78" spans="1:39">
      <c r="B78" s="64"/>
      <c r="C78" s="375"/>
      <c r="D78" s="375"/>
      <c r="E78" s="375"/>
      <c r="F78" s="64"/>
      <c r="G78" s="64"/>
      <c r="H78" s="64"/>
      <c r="I78" s="64"/>
      <c r="J78" s="64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7"/>
      <c r="W78" s="375"/>
      <c r="AG78" s="60" t="s">
        <v>88</v>
      </c>
      <c r="AH78" s="470">
        <f t="shared" si="25"/>
        <v>1</v>
      </c>
      <c r="AI78" s="470">
        <f t="shared" si="24"/>
        <v>0</v>
      </c>
      <c r="AJ78" s="470">
        <f t="shared" si="24"/>
        <v>8</v>
      </c>
      <c r="AK78" s="470">
        <f t="shared" si="24"/>
        <v>1</v>
      </c>
      <c r="AL78" s="470">
        <f t="shared" si="24"/>
        <v>0</v>
      </c>
      <c r="AM78" s="60">
        <f t="shared" si="26"/>
        <v>10</v>
      </c>
    </row>
    <row r="79" spans="1:39">
      <c r="B79" s="64"/>
      <c r="C79" s="375"/>
      <c r="D79" s="375"/>
      <c r="E79" s="375"/>
      <c r="F79" s="64"/>
      <c r="G79" s="64"/>
      <c r="H79" s="64"/>
      <c r="I79" s="64"/>
      <c r="J79" s="64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7"/>
      <c r="W79" s="375"/>
      <c r="Y79" s="497" t="s">
        <v>565</v>
      </c>
      <c r="Z79" s="498"/>
      <c r="AA79" s="498"/>
      <c r="AB79" s="498"/>
      <c r="AC79" s="498"/>
      <c r="AD79" s="499"/>
      <c r="AE79" s="155"/>
      <c r="AG79" s="60" t="s">
        <v>89</v>
      </c>
      <c r="AH79" s="470">
        <f t="shared" si="25"/>
        <v>0</v>
      </c>
      <c r="AI79" s="470">
        <f t="shared" si="24"/>
        <v>7</v>
      </c>
      <c r="AJ79" s="470">
        <f t="shared" si="24"/>
        <v>1</v>
      </c>
      <c r="AK79" s="470">
        <f t="shared" si="24"/>
        <v>1</v>
      </c>
      <c r="AL79" s="470">
        <f t="shared" si="24"/>
        <v>0</v>
      </c>
      <c r="AM79" s="60">
        <f t="shared" si="26"/>
        <v>9</v>
      </c>
    </row>
    <row r="80" spans="1:39">
      <c r="B80" s="64"/>
      <c r="C80" s="375"/>
      <c r="D80" s="375"/>
      <c r="E80" s="375"/>
      <c r="F80" s="64"/>
      <c r="G80" s="64"/>
      <c r="H80" s="64"/>
      <c r="I80" s="64"/>
      <c r="J80" s="64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7"/>
      <c r="W80" s="375"/>
      <c r="Y80" s="355" t="s">
        <v>484</v>
      </c>
      <c r="Z80" s="357" t="s">
        <v>485</v>
      </c>
      <c r="AA80" s="357" t="s">
        <v>486</v>
      </c>
      <c r="AB80" s="357" t="s">
        <v>487</v>
      </c>
      <c r="AC80" s="357" t="s">
        <v>488</v>
      </c>
      <c r="AD80" s="358" t="s">
        <v>525</v>
      </c>
      <c r="AE80" s="270" t="s">
        <v>416</v>
      </c>
      <c r="AG80" s="60" t="s">
        <v>90</v>
      </c>
      <c r="AH80" s="470">
        <f t="shared" si="25"/>
        <v>1</v>
      </c>
      <c r="AI80" s="470">
        <f t="shared" si="24"/>
        <v>0</v>
      </c>
      <c r="AJ80" s="470">
        <f t="shared" si="24"/>
        <v>1</v>
      </c>
      <c r="AK80" s="470">
        <f t="shared" si="24"/>
        <v>1</v>
      </c>
      <c r="AL80" s="470">
        <f t="shared" si="24"/>
        <v>1</v>
      </c>
      <c r="AM80" s="60">
        <f t="shared" si="26"/>
        <v>4</v>
      </c>
    </row>
    <row r="81" spans="2:39">
      <c r="B81" s="64"/>
      <c r="C81" s="375"/>
      <c r="D81" s="375"/>
      <c r="E81" s="375"/>
      <c r="F81" s="64"/>
      <c r="G81" s="64"/>
      <c r="H81" s="64"/>
      <c r="I81" s="64"/>
      <c r="J81" s="64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7"/>
      <c r="W81" s="375"/>
      <c r="Y81" s="60" t="s">
        <v>84</v>
      </c>
      <c r="Z81" s="470">
        <v>0</v>
      </c>
      <c r="AA81" s="470">
        <f>4</f>
        <v>4</v>
      </c>
      <c r="AB81" s="416">
        <f>1+1</f>
        <v>2</v>
      </c>
      <c r="AC81" s="416">
        <f>1</f>
        <v>1</v>
      </c>
      <c r="AD81" s="470">
        <v>0</v>
      </c>
      <c r="AE81" s="361">
        <f>SUM(Z81:AD81)</f>
        <v>7</v>
      </c>
      <c r="AG81" s="60" t="s">
        <v>91</v>
      </c>
      <c r="AH81" s="470">
        <f t="shared" si="25"/>
        <v>0</v>
      </c>
      <c r="AI81" s="470">
        <f t="shared" si="24"/>
        <v>10</v>
      </c>
      <c r="AJ81" s="470">
        <f t="shared" si="24"/>
        <v>2</v>
      </c>
      <c r="AK81" s="470">
        <f t="shared" si="24"/>
        <v>1</v>
      </c>
      <c r="AL81" s="470">
        <f t="shared" si="24"/>
        <v>0</v>
      </c>
      <c r="AM81" s="60">
        <f t="shared" si="26"/>
        <v>13</v>
      </c>
    </row>
    <row r="82" spans="2:39">
      <c r="B82" s="64"/>
      <c r="C82" s="375"/>
      <c r="D82" s="375"/>
      <c r="E82" s="375"/>
      <c r="F82" s="64"/>
      <c r="G82" s="64"/>
      <c r="H82" s="64"/>
      <c r="I82" s="64"/>
      <c r="J82" s="64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7"/>
      <c r="W82" s="375"/>
      <c r="Y82" s="60" t="s">
        <v>85</v>
      </c>
      <c r="Z82" s="470">
        <v>0</v>
      </c>
      <c r="AA82" s="470">
        <f>3+2+2</f>
        <v>7</v>
      </c>
      <c r="AB82" s="470">
        <f>2+1</f>
        <v>3</v>
      </c>
      <c r="AC82" s="470">
        <v>0</v>
      </c>
      <c r="AD82" s="470">
        <f>1+1</f>
        <v>2</v>
      </c>
      <c r="AE82" s="60">
        <f t="shared" ref="AE82:AE92" si="27">SUM(Z82:AD82)</f>
        <v>12</v>
      </c>
      <c r="AG82" s="60" t="s">
        <v>92</v>
      </c>
      <c r="AH82" s="470">
        <f t="shared" si="25"/>
        <v>0</v>
      </c>
      <c r="AI82" s="470">
        <f t="shared" si="24"/>
        <v>4</v>
      </c>
      <c r="AJ82" s="470">
        <f t="shared" si="24"/>
        <v>7</v>
      </c>
      <c r="AK82" s="470">
        <f t="shared" si="24"/>
        <v>0</v>
      </c>
      <c r="AL82" s="470">
        <f t="shared" si="24"/>
        <v>0</v>
      </c>
      <c r="AM82" s="60">
        <f t="shared" si="26"/>
        <v>11</v>
      </c>
    </row>
    <row r="83" spans="2:39">
      <c r="B83" s="64"/>
      <c r="C83" s="375"/>
      <c r="D83" s="375"/>
      <c r="E83" s="375"/>
      <c r="F83" s="64"/>
      <c r="G83" s="64"/>
      <c r="H83" s="64"/>
      <c r="I83" s="64"/>
      <c r="J83" s="64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7"/>
      <c r="W83" s="375"/>
      <c r="Y83" s="60" t="s">
        <v>86</v>
      </c>
      <c r="Z83" s="470">
        <v>0</v>
      </c>
      <c r="AA83" s="470">
        <v>0</v>
      </c>
      <c r="AB83" s="359">
        <f>2+1</f>
        <v>3</v>
      </c>
      <c r="AC83" s="470">
        <v>0</v>
      </c>
      <c r="AD83" s="470">
        <f>1</f>
        <v>1</v>
      </c>
      <c r="AE83" s="60">
        <f t="shared" si="27"/>
        <v>4</v>
      </c>
      <c r="AG83" s="60" t="s">
        <v>93</v>
      </c>
      <c r="AH83" s="470">
        <f t="shared" si="25"/>
        <v>1</v>
      </c>
      <c r="AI83" s="470">
        <f t="shared" si="24"/>
        <v>0</v>
      </c>
      <c r="AJ83" s="470">
        <f t="shared" si="24"/>
        <v>2</v>
      </c>
      <c r="AK83" s="470">
        <f t="shared" si="24"/>
        <v>3</v>
      </c>
      <c r="AL83" s="470">
        <f t="shared" si="24"/>
        <v>0</v>
      </c>
      <c r="AM83" s="60">
        <f t="shared" si="26"/>
        <v>6</v>
      </c>
    </row>
    <row r="84" spans="2:39">
      <c r="B84" s="64"/>
      <c r="C84" s="375"/>
      <c r="D84" s="375"/>
      <c r="E84" s="375"/>
      <c r="F84" s="64"/>
      <c r="G84" s="64"/>
      <c r="H84" s="64"/>
      <c r="I84" s="64"/>
      <c r="J84" s="64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7"/>
      <c r="W84" s="375"/>
      <c r="Y84" s="60" t="s">
        <v>87</v>
      </c>
      <c r="Z84" s="470">
        <v>0</v>
      </c>
      <c r="AA84" s="417">
        <f>4+3+3</f>
        <v>10</v>
      </c>
      <c r="AB84" s="470">
        <f>2+2+3+6+2</f>
        <v>15</v>
      </c>
      <c r="AC84" s="470">
        <f>1+3+4</f>
        <v>8</v>
      </c>
      <c r="AD84" s="470">
        <v>0</v>
      </c>
      <c r="AE84" s="60">
        <f t="shared" si="27"/>
        <v>33</v>
      </c>
      <c r="AG84" s="60" t="s">
        <v>94</v>
      </c>
      <c r="AH84" s="470">
        <f t="shared" si="25"/>
        <v>1</v>
      </c>
      <c r="AI84" s="470">
        <f t="shared" si="24"/>
        <v>1</v>
      </c>
      <c r="AJ84" s="470">
        <f t="shared" si="24"/>
        <v>2</v>
      </c>
      <c r="AK84" s="470">
        <f t="shared" si="24"/>
        <v>4</v>
      </c>
      <c r="AL84" s="470">
        <f t="shared" si="24"/>
        <v>0</v>
      </c>
      <c r="AM84" s="60">
        <f t="shared" si="26"/>
        <v>8</v>
      </c>
    </row>
    <row r="85" spans="2:39">
      <c r="B85" s="64"/>
      <c r="C85" s="375"/>
      <c r="D85" s="375"/>
      <c r="E85" s="375"/>
      <c r="F85" s="64"/>
      <c r="G85" s="64"/>
      <c r="H85" s="64"/>
      <c r="I85" s="64"/>
      <c r="J85" s="64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7"/>
      <c r="W85" s="375"/>
      <c r="Y85" s="60" t="s">
        <v>88</v>
      </c>
      <c r="Z85" s="470">
        <v>0</v>
      </c>
      <c r="AA85" s="470">
        <v>0</v>
      </c>
      <c r="AB85" s="470">
        <f>1+1+1+3+1+1</f>
        <v>8</v>
      </c>
      <c r="AC85" s="470">
        <f>1</f>
        <v>1</v>
      </c>
      <c r="AD85" s="470">
        <v>0</v>
      </c>
      <c r="AE85" s="60">
        <f t="shared" si="27"/>
        <v>9</v>
      </c>
      <c r="AG85" s="366" t="s">
        <v>482</v>
      </c>
      <c r="AH85" s="470">
        <f t="shared" si="25"/>
        <v>0</v>
      </c>
      <c r="AI85" s="470">
        <f t="shared" si="24"/>
        <v>1</v>
      </c>
      <c r="AJ85" s="470">
        <f t="shared" si="24"/>
        <v>2</v>
      </c>
      <c r="AK85" s="470">
        <f t="shared" si="24"/>
        <v>0</v>
      </c>
      <c r="AL85" s="470">
        <f t="shared" si="24"/>
        <v>0</v>
      </c>
      <c r="AM85" s="366">
        <f t="shared" si="26"/>
        <v>3</v>
      </c>
    </row>
    <row r="86" spans="2:39">
      <c r="B86" s="64"/>
      <c r="C86" s="375"/>
      <c r="D86" s="375"/>
      <c r="E86" s="375"/>
      <c r="F86" s="64"/>
      <c r="G86" s="64"/>
      <c r="H86" s="64"/>
      <c r="I86" s="64"/>
      <c r="J86" s="64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7"/>
      <c r="W86" s="375"/>
      <c r="Y86" s="60" t="s">
        <v>89</v>
      </c>
      <c r="Z86" s="470">
        <v>0</v>
      </c>
      <c r="AA86" s="470">
        <f>3+3+1</f>
        <v>7</v>
      </c>
      <c r="AB86" s="470">
        <f>1</f>
        <v>1</v>
      </c>
      <c r="AC86" s="470">
        <f>1</f>
        <v>1</v>
      </c>
      <c r="AD86" s="470">
        <v>0</v>
      </c>
      <c r="AE86" s="60">
        <f t="shared" si="27"/>
        <v>9</v>
      </c>
      <c r="AG86" s="270" t="s">
        <v>493</v>
      </c>
      <c r="AH86" s="368">
        <f t="shared" ref="AH86:AM86" si="28">SUM(AH74:AH85)</f>
        <v>5</v>
      </c>
      <c r="AI86" s="368">
        <f t="shared" si="28"/>
        <v>44</v>
      </c>
      <c r="AJ86" s="368">
        <f t="shared" si="28"/>
        <v>48</v>
      </c>
      <c r="AK86" s="368">
        <f t="shared" si="28"/>
        <v>20</v>
      </c>
      <c r="AL86" s="368">
        <f t="shared" si="28"/>
        <v>4</v>
      </c>
      <c r="AM86" s="369">
        <f t="shared" si="28"/>
        <v>121</v>
      </c>
    </row>
    <row r="87" spans="2:39">
      <c r="B87" s="64"/>
      <c r="C87" s="375"/>
      <c r="D87" s="375"/>
      <c r="E87" s="375"/>
      <c r="F87" s="64"/>
      <c r="G87" s="64"/>
      <c r="H87" s="64"/>
      <c r="I87" s="64"/>
      <c r="J87" s="64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7"/>
      <c r="W87" s="375"/>
      <c r="Y87" s="60" t="s">
        <v>90</v>
      </c>
      <c r="Z87" s="470">
        <v>0</v>
      </c>
      <c r="AA87" s="359">
        <v>0</v>
      </c>
      <c r="AB87" s="359">
        <f>1</f>
        <v>1</v>
      </c>
      <c r="AC87" s="470">
        <f>1</f>
        <v>1</v>
      </c>
      <c r="AD87" s="470">
        <f>1</f>
        <v>1</v>
      </c>
      <c r="AE87" s="60">
        <f t="shared" si="27"/>
        <v>3</v>
      </c>
      <c r="AG87" s="270" t="s">
        <v>492</v>
      </c>
      <c r="AH87" s="370">
        <f>PRODUCT(AH86*AI64)</f>
        <v>75</v>
      </c>
      <c r="AI87" s="418">
        <f>PRODUCT(AI86*AI65)</f>
        <v>720.23159999999996</v>
      </c>
      <c r="AJ87" s="418">
        <f>PRODUCT(AJ86*AI66)</f>
        <v>803.84159999999997</v>
      </c>
      <c r="AK87" s="418">
        <f>PRODUCT(AK86*AI67)</f>
        <v>337.73200000000003</v>
      </c>
      <c r="AL87" s="418">
        <f>PRODUCT(AL86*AI68)</f>
        <v>68</v>
      </c>
      <c r="AM87" s="419">
        <f>SUM(AH87:AL87)</f>
        <v>2004.8051999999998</v>
      </c>
    </row>
    <row r="88" spans="2:39">
      <c r="B88" s="64"/>
      <c r="C88" s="375"/>
      <c r="D88" s="375"/>
      <c r="E88" s="375"/>
      <c r="F88" s="64"/>
      <c r="G88" s="64"/>
      <c r="H88" s="64"/>
      <c r="I88" s="64"/>
      <c r="J88" s="64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7"/>
      <c r="W88" s="375"/>
      <c r="Y88" s="60" t="s">
        <v>91</v>
      </c>
      <c r="Z88" s="470">
        <v>0</v>
      </c>
      <c r="AA88" s="359">
        <f>2+3+1+2+1+1</f>
        <v>10</v>
      </c>
      <c r="AB88" s="470">
        <f>1+1</f>
        <v>2</v>
      </c>
      <c r="AC88" s="470">
        <f>1</f>
        <v>1</v>
      </c>
      <c r="AD88" s="470">
        <v>0</v>
      </c>
      <c r="AE88" s="60">
        <f t="shared" si="27"/>
        <v>13</v>
      </c>
      <c r="AG88" s="270" t="s">
        <v>526</v>
      </c>
      <c r="AH88" s="370">
        <f>AH86*AH64</f>
        <v>500</v>
      </c>
      <c r="AI88" s="370">
        <f>AI86*AH65</f>
        <v>6600</v>
      </c>
      <c r="AJ88" s="370">
        <f>AJ86*AH66</f>
        <v>9600</v>
      </c>
      <c r="AK88" s="370">
        <f>AK86*AH67</f>
        <v>5000</v>
      </c>
      <c r="AL88" s="370">
        <f>AL86*AH68</f>
        <v>1200</v>
      </c>
      <c r="AM88" s="270">
        <f>SUM(AH88:AL88)</f>
        <v>22900</v>
      </c>
    </row>
    <row r="89" spans="2:39">
      <c r="B89" s="64"/>
      <c r="C89" s="375"/>
      <c r="D89" s="375"/>
      <c r="E89" s="375"/>
      <c r="F89" s="64"/>
      <c r="G89" s="64"/>
      <c r="H89" s="64"/>
      <c r="I89" s="64"/>
      <c r="J89" s="64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7"/>
      <c r="W89" s="375"/>
      <c r="Y89" s="60" t="s">
        <v>92</v>
      </c>
      <c r="Z89" s="470">
        <v>0</v>
      </c>
      <c r="AA89" s="359">
        <f>2+2</f>
        <v>4</v>
      </c>
      <c r="AB89" s="470">
        <f>6+1</f>
        <v>7</v>
      </c>
      <c r="AC89" s="470">
        <v>0</v>
      </c>
      <c r="AD89" s="470">
        <v>0</v>
      </c>
      <c r="AE89" s="60">
        <f t="shared" si="27"/>
        <v>11</v>
      </c>
    </row>
    <row r="90" spans="2:39">
      <c r="B90" s="64"/>
      <c r="C90" s="375"/>
      <c r="D90" s="375"/>
      <c r="E90" s="375"/>
      <c r="F90" s="64"/>
      <c r="G90" s="64"/>
      <c r="H90" s="64"/>
      <c r="I90" s="64"/>
      <c r="J90" s="64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7"/>
      <c r="W90" s="375"/>
      <c r="Y90" s="60" t="s">
        <v>93</v>
      </c>
      <c r="Z90" s="470">
        <v>0</v>
      </c>
      <c r="AA90" s="359">
        <v>0</v>
      </c>
      <c r="AB90" s="470">
        <f>1+1</f>
        <v>2</v>
      </c>
      <c r="AC90" s="470">
        <f>3</f>
        <v>3</v>
      </c>
      <c r="AD90" s="470">
        <v>0</v>
      </c>
      <c r="AE90" s="60">
        <f t="shared" si="27"/>
        <v>5</v>
      </c>
    </row>
    <row r="91" spans="2:39">
      <c r="B91" s="64"/>
      <c r="C91" s="375"/>
      <c r="D91" s="375"/>
      <c r="E91" s="375"/>
      <c r="F91" s="64"/>
      <c r="G91" s="64"/>
      <c r="H91" s="64"/>
      <c r="I91" s="64"/>
      <c r="J91" s="64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7"/>
      <c r="W91" s="375"/>
      <c r="Y91" s="60" t="s">
        <v>94</v>
      </c>
      <c r="Z91" s="470">
        <v>0</v>
      </c>
      <c r="AA91" s="417">
        <f>1</f>
        <v>1</v>
      </c>
      <c r="AB91" s="470">
        <f>1+1</f>
        <v>2</v>
      </c>
      <c r="AC91" s="470">
        <f>4</f>
        <v>4</v>
      </c>
      <c r="AD91" s="470">
        <v>0</v>
      </c>
      <c r="AE91" s="60">
        <f t="shared" si="27"/>
        <v>7</v>
      </c>
    </row>
    <row r="92" spans="2:39">
      <c r="B92" s="64"/>
      <c r="C92" s="375"/>
      <c r="D92" s="375"/>
      <c r="E92" s="375"/>
      <c r="F92" s="64"/>
      <c r="G92" s="64"/>
      <c r="H92" s="64"/>
      <c r="I92" s="64"/>
      <c r="J92" s="64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7"/>
      <c r="W92" s="375"/>
      <c r="Y92" s="366" t="s">
        <v>482</v>
      </c>
      <c r="Z92" s="367">
        <v>0</v>
      </c>
      <c r="AA92" s="367">
        <f>1</f>
        <v>1</v>
      </c>
      <c r="AB92" s="367">
        <f>2</f>
        <v>2</v>
      </c>
      <c r="AC92" s="367">
        <v>0</v>
      </c>
      <c r="AD92" s="367">
        <v>0</v>
      </c>
      <c r="AE92" s="366">
        <f t="shared" si="27"/>
        <v>3</v>
      </c>
    </row>
    <row r="93" spans="2:39">
      <c r="B93" s="64"/>
      <c r="C93" s="375"/>
      <c r="D93" s="375"/>
      <c r="E93" s="375"/>
      <c r="F93" s="64"/>
      <c r="G93" s="64"/>
      <c r="H93" s="64"/>
      <c r="I93" s="64"/>
      <c r="J93" s="64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7"/>
      <c r="W93" s="375"/>
      <c r="Y93" s="270" t="s">
        <v>493</v>
      </c>
      <c r="Z93" s="368">
        <f t="shared" ref="Z93:AE93" si="29">SUM(Z81:Z92)</f>
        <v>0</v>
      </c>
      <c r="AA93" s="368">
        <f t="shared" si="29"/>
        <v>44</v>
      </c>
      <c r="AB93" s="368">
        <f t="shared" si="29"/>
        <v>48</v>
      </c>
      <c r="AC93" s="368">
        <f t="shared" si="29"/>
        <v>20</v>
      </c>
      <c r="AD93" s="368">
        <f t="shared" si="29"/>
        <v>4</v>
      </c>
      <c r="AE93" s="369">
        <f t="shared" si="29"/>
        <v>116</v>
      </c>
    </row>
    <row r="94" spans="2:39">
      <c r="B94" s="64"/>
      <c r="C94" s="375"/>
      <c r="D94" s="375"/>
      <c r="E94" s="375"/>
      <c r="F94" s="64"/>
      <c r="G94" s="64"/>
      <c r="H94" s="64"/>
      <c r="I94" s="64"/>
      <c r="J94" s="64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7"/>
      <c r="W94" s="375"/>
      <c r="Y94" s="270" t="s">
        <v>492</v>
      </c>
      <c r="Z94" s="418">
        <f>PRODUCT(Z93*AI64)</f>
        <v>0</v>
      </c>
      <c r="AA94" s="418">
        <f>PRODUCT(AA93*AI65)</f>
        <v>720.23159999999996</v>
      </c>
      <c r="AB94" s="418">
        <f>PRODUCT(AB93*AI66)</f>
        <v>803.84159999999997</v>
      </c>
      <c r="AC94" s="418">
        <f>PRODUCT(AC93*AI67)</f>
        <v>337.73200000000003</v>
      </c>
      <c r="AD94" s="418">
        <f>PRODUCT(AD93*AI68)</f>
        <v>68</v>
      </c>
      <c r="AE94" s="419">
        <f>SUM(Z94:AD94)</f>
        <v>1929.8051999999998</v>
      </c>
    </row>
    <row r="95" spans="2:39">
      <c r="B95" s="64"/>
      <c r="C95" s="375"/>
      <c r="D95" s="375"/>
      <c r="E95" s="375"/>
      <c r="F95" s="64"/>
      <c r="G95" s="64"/>
      <c r="H95" s="64"/>
      <c r="I95" s="64"/>
      <c r="J95" s="64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7"/>
      <c r="W95" s="375"/>
      <c r="Y95" s="270" t="s">
        <v>526</v>
      </c>
      <c r="Z95" s="370">
        <f>Z93*AH64</f>
        <v>0</v>
      </c>
      <c r="AA95" s="370">
        <f>AA93*AH65</f>
        <v>6600</v>
      </c>
      <c r="AB95" s="370">
        <f>AB93*AH66</f>
        <v>9600</v>
      </c>
      <c r="AC95" s="370">
        <f>AC93*AH67</f>
        <v>5000</v>
      </c>
      <c r="AD95" s="370">
        <f>AD93*AH68</f>
        <v>1200</v>
      </c>
      <c r="AE95" s="270">
        <f>SUM(Z95:AD95)</f>
        <v>22400</v>
      </c>
    </row>
    <row r="96" spans="2:39">
      <c r="B96" s="64"/>
      <c r="C96" s="375"/>
      <c r="D96" s="375"/>
      <c r="E96" s="375"/>
      <c r="F96" s="64"/>
      <c r="G96" s="64"/>
      <c r="H96" s="64"/>
      <c r="I96" s="64"/>
      <c r="J96" s="64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7"/>
      <c r="W96" s="375"/>
    </row>
    <row r="97" spans="2:23">
      <c r="B97" s="64"/>
      <c r="C97" s="375"/>
      <c r="D97" s="375"/>
      <c r="E97" s="375"/>
      <c r="F97" s="64"/>
      <c r="G97" s="64"/>
      <c r="H97" s="64"/>
      <c r="I97" s="64"/>
      <c r="J97" s="64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7"/>
      <c r="W97" s="375"/>
    </row>
    <row r="98" spans="2:23">
      <c r="B98" s="64"/>
      <c r="C98" s="375"/>
      <c r="D98" s="375"/>
      <c r="E98" s="375"/>
      <c r="F98" s="64"/>
      <c r="G98" s="64"/>
      <c r="H98" s="64"/>
      <c r="I98" s="64"/>
      <c r="J98" s="64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7"/>
      <c r="W98" s="375"/>
    </row>
    <row r="99" spans="2:23">
      <c r="B99" s="64"/>
      <c r="C99" s="375"/>
      <c r="D99" s="375"/>
      <c r="E99" s="375"/>
      <c r="F99" s="64"/>
      <c r="G99" s="64"/>
      <c r="H99" s="64"/>
      <c r="I99" s="64"/>
      <c r="J99" s="64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7"/>
      <c r="W99" s="375"/>
    </row>
    <row r="100" spans="2:23">
      <c r="B100" s="64"/>
      <c r="C100" s="375"/>
      <c r="D100" s="375"/>
      <c r="E100" s="375"/>
      <c r="F100" s="64"/>
      <c r="G100" s="64"/>
      <c r="H100" s="64"/>
      <c r="I100" s="64"/>
      <c r="J100" s="64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7"/>
      <c r="W100" s="375"/>
    </row>
    <row r="101" spans="2:23">
      <c r="B101" s="64"/>
      <c r="C101" s="375"/>
      <c r="D101" s="375"/>
      <c r="E101" s="375"/>
      <c r="F101" s="64"/>
      <c r="G101" s="64"/>
      <c r="H101" s="64"/>
      <c r="I101" s="64"/>
      <c r="J101" s="64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7"/>
      <c r="W101" s="375"/>
    </row>
    <row r="102" spans="2:23">
      <c r="B102" s="64"/>
      <c r="C102" s="375"/>
      <c r="D102" s="375"/>
      <c r="E102" s="375"/>
      <c r="F102" s="64"/>
      <c r="G102" s="64"/>
      <c r="H102" s="64"/>
      <c r="I102" s="64"/>
      <c r="J102" s="64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7"/>
      <c r="W102" s="375"/>
    </row>
    <row r="103" spans="2:23">
      <c r="B103" s="64"/>
      <c r="C103" s="375"/>
      <c r="D103" s="375"/>
      <c r="E103" s="375"/>
      <c r="F103" s="64"/>
      <c r="G103" s="64"/>
      <c r="H103" s="64"/>
      <c r="I103" s="64"/>
      <c r="J103" s="64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7"/>
      <c r="W103" s="375"/>
    </row>
    <row r="104" spans="2:23">
      <c r="B104" s="64"/>
      <c r="C104" s="375"/>
      <c r="D104" s="375"/>
      <c r="E104" s="375"/>
      <c r="F104" s="64"/>
      <c r="G104" s="64"/>
      <c r="H104" s="64"/>
      <c r="I104" s="64"/>
      <c r="J104" s="64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7"/>
      <c r="W104" s="375"/>
    </row>
    <row r="105" spans="2:23">
      <c r="B105" s="64"/>
      <c r="C105" s="375"/>
      <c r="D105" s="375"/>
      <c r="E105" s="375"/>
      <c r="F105" s="64"/>
      <c r="G105" s="64"/>
      <c r="H105" s="64"/>
      <c r="I105" s="64"/>
      <c r="J105" s="64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7"/>
      <c r="W105" s="375"/>
    </row>
    <row r="106" spans="2:23">
      <c r="B106" s="64"/>
      <c r="C106" s="375"/>
      <c r="D106" s="375"/>
      <c r="E106" s="375"/>
      <c r="F106" s="64"/>
      <c r="G106" s="64"/>
      <c r="H106" s="64"/>
      <c r="I106" s="64"/>
      <c r="J106" s="64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7"/>
      <c r="W106" s="375"/>
    </row>
    <row r="107" spans="2:23">
      <c r="B107" s="64"/>
      <c r="C107" s="375"/>
      <c r="D107" s="375"/>
      <c r="E107" s="375"/>
      <c r="F107" s="64"/>
      <c r="G107" s="64"/>
      <c r="H107" s="64"/>
      <c r="I107" s="64"/>
      <c r="J107" s="64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7"/>
      <c r="W107" s="375"/>
    </row>
    <row r="108" spans="2:23">
      <c r="B108" s="64"/>
      <c r="C108" s="375"/>
      <c r="D108" s="375"/>
      <c r="E108" s="375"/>
      <c r="F108" s="64"/>
      <c r="G108" s="64"/>
      <c r="H108" s="64"/>
      <c r="I108" s="64"/>
      <c r="J108" s="64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7"/>
      <c r="W108" s="375"/>
    </row>
    <row r="109" spans="2:23">
      <c r="B109" s="64"/>
      <c r="C109" s="375"/>
      <c r="D109" s="375"/>
      <c r="E109" s="375"/>
      <c r="F109" s="64"/>
      <c r="G109" s="64"/>
      <c r="H109" s="64"/>
      <c r="I109" s="64"/>
      <c r="J109" s="64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7"/>
      <c r="W109" s="375"/>
    </row>
    <row r="110" spans="2:23">
      <c r="B110" s="64"/>
      <c r="C110" s="375"/>
      <c r="D110" s="375"/>
      <c r="E110" s="375"/>
      <c r="F110" s="64"/>
      <c r="G110" s="64"/>
      <c r="H110" s="64"/>
      <c r="I110" s="64"/>
      <c r="J110" s="64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7"/>
      <c r="W110" s="375"/>
    </row>
    <row r="111" spans="2:23">
      <c r="B111" s="64"/>
      <c r="C111" s="375"/>
      <c r="D111" s="375"/>
      <c r="E111" s="375"/>
      <c r="F111" s="64"/>
      <c r="G111" s="64"/>
      <c r="H111" s="64"/>
      <c r="I111" s="64"/>
      <c r="J111" s="64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7"/>
      <c r="W111" s="375"/>
    </row>
    <row r="112" spans="2:23">
      <c r="B112" s="64"/>
      <c r="C112" s="375"/>
      <c r="D112" s="375"/>
      <c r="E112" s="375"/>
      <c r="F112" s="64"/>
      <c r="G112" s="64"/>
      <c r="H112" s="64"/>
      <c r="I112" s="64"/>
      <c r="J112" s="64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7"/>
      <c r="W112" s="375"/>
    </row>
    <row r="113" spans="1:23">
      <c r="B113" s="64"/>
      <c r="C113" s="375"/>
      <c r="D113" s="375"/>
      <c r="E113" s="375"/>
      <c r="F113" s="64"/>
      <c r="G113" s="64"/>
      <c r="H113" s="64"/>
      <c r="I113" s="64"/>
      <c r="J113" s="64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7"/>
      <c r="W113" s="375"/>
    </row>
    <row r="114" spans="1:23">
      <c r="B114" s="64"/>
      <c r="C114" s="375"/>
      <c r="D114" s="375"/>
      <c r="E114" s="375"/>
      <c r="F114" s="64"/>
      <c r="G114" s="64"/>
      <c r="H114" s="64"/>
      <c r="I114" s="64"/>
      <c r="J114" s="64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7"/>
      <c r="W114" s="375"/>
    </row>
    <row r="115" spans="1:23">
      <c r="B115" s="64"/>
      <c r="C115" s="375"/>
      <c r="D115" s="375"/>
      <c r="E115" s="375"/>
      <c r="F115" s="64"/>
      <c r="G115" s="64"/>
      <c r="H115" s="64"/>
      <c r="I115" s="64"/>
      <c r="J115" s="64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7"/>
      <c r="W115" s="375"/>
    </row>
    <row r="116" spans="1:23">
      <c r="B116" s="64"/>
      <c r="C116" s="375"/>
      <c r="D116" s="375"/>
      <c r="E116" s="375"/>
      <c r="F116" s="64"/>
      <c r="G116" s="64"/>
      <c r="H116" s="64"/>
      <c r="I116" s="64"/>
      <c r="J116" s="64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7"/>
      <c r="W116" s="375"/>
    </row>
    <row r="117" spans="1:23">
      <c r="B117" s="64"/>
      <c r="C117" s="375"/>
      <c r="D117" s="375"/>
      <c r="E117" s="375"/>
      <c r="F117" s="64"/>
      <c r="G117" s="64"/>
      <c r="H117" s="64"/>
      <c r="I117" s="64"/>
      <c r="J117" s="64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7"/>
      <c r="W117" s="375"/>
    </row>
    <row r="118" spans="1:23">
      <c r="B118" s="64"/>
      <c r="C118" s="375"/>
      <c r="D118" s="375"/>
      <c r="E118" s="375"/>
      <c r="F118" s="64"/>
      <c r="G118" s="64"/>
      <c r="H118" s="64"/>
      <c r="I118" s="64"/>
      <c r="J118" s="64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7"/>
      <c r="W118" s="375"/>
    </row>
    <row r="119" spans="1:23">
      <c r="B119" s="64"/>
      <c r="C119" s="375"/>
      <c r="D119" s="375"/>
      <c r="E119" s="375"/>
      <c r="F119" s="64"/>
      <c r="G119" s="64"/>
      <c r="H119" s="64"/>
      <c r="I119" s="64"/>
      <c r="J119" s="64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7"/>
      <c r="W119" s="375"/>
    </row>
    <row r="120" spans="1:23">
      <c r="B120" s="64"/>
      <c r="C120" s="375"/>
      <c r="D120" s="375"/>
      <c r="E120" s="375"/>
      <c r="F120" s="64"/>
      <c r="G120" s="64"/>
      <c r="H120" s="64"/>
      <c r="I120" s="64"/>
      <c r="J120" s="64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7"/>
      <c r="W120" s="375"/>
    </row>
    <row r="121" spans="1:23">
      <c r="B121" s="64"/>
      <c r="C121" s="375"/>
      <c r="D121" s="375"/>
      <c r="E121" s="375"/>
      <c r="F121" s="64"/>
      <c r="G121" s="64"/>
      <c r="H121" s="64"/>
      <c r="I121" s="64"/>
      <c r="J121" s="64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7"/>
      <c r="W121" s="375"/>
    </row>
    <row r="122" spans="1:23">
      <c r="B122" s="64"/>
      <c r="C122" s="375"/>
      <c r="D122" s="375"/>
      <c r="E122" s="375"/>
      <c r="F122" s="64"/>
      <c r="G122" s="64"/>
      <c r="H122" s="64"/>
      <c r="I122" s="64"/>
      <c r="J122" s="64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7"/>
      <c r="W122" s="375"/>
    </row>
    <row r="123" spans="1:23">
      <c r="B123" s="64"/>
      <c r="C123" s="375"/>
      <c r="D123" s="375"/>
      <c r="E123" s="375"/>
      <c r="F123" s="64"/>
      <c r="G123" s="64"/>
      <c r="H123" s="64"/>
      <c r="I123" s="64"/>
      <c r="J123" s="64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7"/>
      <c r="W123" s="375"/>
    </row>
    <row r="124" spans="1:23">
      <c r="A124" s="375"/>
      <c r="B124" s="64"/>
      <c r="C124" s="375"/>
      <c r="D124" s="375"/>
      <c r="E124" s="375"/>
      <c r="F124" s="64"/>
      <c r="G124" s="64"/>
      <c r="H124" s="64"/>
      <c r="I124" s="64"/>
      <c r="J124" s="64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7"/>
      <c r="W124" s="375"/>
    </row>
    <row r="125" spans="1:23">
      <c r="A125" s="375"/>
      <c r="B125" s="64"/>
      <c r="C125" s="375"/>
      <c r="D125" s="375"/>
      <c r="E125" s="375"/>
      <c r="F125" s="64"/>
      <c r="G125" s="64"/>
      <c r="H125" s="64"/>
      <c r="I125" s="64"/>
      <c r="J125" s="64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7"/>
      <c r="W125" s="375"/>
    </row>
    <row r="126" spans="1:23">
      <c r="A126" s="375"/>
      <c r="B126" s="64"/>
      <c r="C126" s="375"/>
      <c r="D126" s="375"/>
      <c r="E126" s="375"/>
      <c r="F126" s="64"/>
      <c r="G126" s="64"/>
      <c r="H126" s="64"/>
      <c r="I126" s="64"/>
      <c r="J126" s="64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7"/>
      <c r="W126" s="375"/>
    </row>
    <row r="127" spans="1:23">
      <c r="A127" s="375"/>
      <c r="B127" s="64"/>
      <c r="C127" s="375"/>
      <c r="D127" s="375"/>
      <c r="E127" s="375"/>
      <c r="F127" s="64"/>
      <c r="G127" s="64"/>
      <c r="H127" s="64"/>
      <c r="I127" s="64"/>
      <c r="J127" s="64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7"/>
      <c r="W127" s="375"/>
    </row>
    <row r="128" spans="1:23">
      <c r="A128" s="375"/>
      <c r="B128" s="64"/>
      <c r="C128" s="375"/>
      <c r="D128" s="375"/>
      <c r="E128" s="375"/>
      <c r="F128" s="64"/>
      <c r="G128" s="64"/>
      <c r="H128" s="64"/>
      <c r="I128" s="64"/>
      <c r="J128" s="64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7"/>
      <c r="W128" s="375"/>
    </row>
    <row r="129" spans="1:23">
      <c r="A129" s="375"/>
      <c r="B129" s="64"/>
      <c r="C129" s="375"/>
      <c r="D129" s="375"/>
      <c r="E129" s="375"/>
      <c r="F129" s="64"/>
      <c r="G129" s="64"/>
      <c r="H129" s="64"/>
      <c r="I129" s="64"/>
      <c r="J129" s="64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7"/>
      <c r="W129" s="375"/>
    </row>
    <row r="130" spans="1:23">
      <c r="A130" s="375"/>
      <c r="B130" s="64"/>
      <c r="C130" s="375"/>
      <c r="D130" s="375"/>
      <c r="E130" s="375"/>
      <c r="F130" s="64"/>
      <c r="G130" s="64"/>
      <c r="H130" s="64"/>
      <c r="I130" s="64"/>
      <c r="J130" s="64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7"/>
      <c r="W130" s="375"/>
    </row>
    <row r="131" spans="1:23">
      <c r="A131" s="375"/>
      <c r="B131" s="64"/>
      <c r="C131" s="375"/>
      <c r="D131" s="375"/>
      <c r="E131" s="375"/>
      <c r="F131" s="64"/>
      <c r="G131" s="64"/>
      <c r="H131" s="64"/>
      <c r="I131" s="64"/>
      <c r="J131" s="64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7"/>
      <c r="W131" s="375"/>
    </row>
    <row r="132" spans="1:23">
      <c r="A132" s="375"/>
      <c r="B132" s="64"/>
      <c r="C132" s="375"/>
      <c r="D132" s="375"/>
      <c r="E132" s="375"/>
      <c r="F132" s="64"/>
      <c r="G132" s="64"/>
      <c r="H132" s="64"/>
      <c r="I132" s="64"/>
      <c r="J132" s="64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7"/>
      <c r="W132" s="375"/>
    </row>
    <row r="133" spans="1:23">
      <c r="A133" s="375"/>
      <c r="B133" s="64"/>
      <c r="C133" s="375"/>
      <c r="D133" s="375"/>
      <c r="E133" s="375"/>
      <c r="F133" s="64"/>
      <c r="G133" s="64"/>
      <c r="H133" s="64"/>
      <c r="I133" s="64"/>
      <c r="J133" s="64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7"/>
      <c r="W133" s="375"/>
    </row>
    <row r="134" spans="1:23">
      <c r="A134" s="375"/>
      <c r="B134" s="64"/>
      <c r="C134" s="375"/>
      <c r="D134" s="375"/>
      <c r="E134" s="375"/>
      <c r="F134" s="64"/>
      <c r="G134" s="64"/>
      <c r="H134" s="64"/>
      <c r="I134" s="64"/>
      <c r="J134" s="64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7"/>
      <c r="W134" s="375"/>
    </row>
    <row r="135" spans="1:23">
      <c r="A135" s="375"/>
      <c r="B135" s="64"/>
      <c r="C135" s="375"/>
      <c r="D135" s="375"/>
      <c r="E135" s="375"/>
      <c r="F135" s="64"/>
      <c r="G135" s="64"/>
      <c r="H135" s="64"/>
      <c r="I135" s="64"/>
      <c r="J135" s="64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7"/>
      <c r="W135" s="375"/>
    </row>
    <row r="136" spans="1:23">
      <c r="A136" s="375"/>
      <c r="B136" s="64"/>
      <c r="C136" s="375"/>
      <c r="D136" s="375"/>
      <c r="E136" s="375"/>
      <c r="F136" s="64"/>
      <c r="G136" s="64"/>
      <c r="H136" s="64"/>
      <c r="I136" s="64"/>
      <c r="J136" s="64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7"/>
      <c r="W136" s="375"/>
    </row>
    <row r="137" spans="1:23">
      <c r="A137" s="375"/>
      <c r="B137" s="64"/>
      <c r="C137" s="375"/>
      <c r="D137" s="375"/>
      <c r="E137" s="375"/>
      <c r="F137" s="64"/>
      <c r="G137" s="64"/>
      <c r="H137" s="64"/>
      <c r="I137" s="64"/>
      <c r="J137" s="64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7"/>
      <c r="W137" s="375"/>
    </row>
    <row r="138" spans="1:23">
      <c r="A138" s="375"/>
      <c r="B138" s="64"/>
      <c r="C138" s="375"/>
      <c r="D138" s="375"/>
      <c r="E138" s="375"/>
      <c r="F138" s="64"/>
      <c r="G138" s="64"/>
      <c r="H138" s="64"/>
      <c r="I138" s="64"/>
      <c r="J138" s="64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7"/>
      <c r="W138" s="375"/>
    </row>
    <row r="139" spans="1:23">
      <c r="A139" s="375"/>
      <c r="B139" s="64"/>
      <c r="C139" s="375"/>
      <c r="D139" s="375"/>
      <c r="E139" s="375"/>
      <c r="F139" s="64"/>
      <c r="G139" s="64"/>
      <c r="H139" s="64"/>
      <c r="I139" s="64"/>
      <c r="J139" s="64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7"/>
      <c r="W139" s="375"/>
    </row>
    <row r="140" spans="1:23">
      <c r="A140" s="375"/>
      <c r="B140" s="64"/>
      <c r="C140" s="375"/>
      <c r="D140" s="375"/>
      <c r="E140" s="375"/>
      <c r="F140" s="64"/>
      <c r="G140" s="64"/>
      <c r="H140" s="64"/>
      <c r="I140" s="64"/>
      <c r="J140" s="64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7"/>
      <c r="W140" s="375"/>
    </row>
    <row r="141" spans="1:23">
      <c r="A141" s="375"/>
      <c r="B141" s="64"/>
      <c r="C141" s="375"/>
      <c r="D141" s="375"/>
      <c r="E141" s="375"/>
      <c r="F141" s="64"/>
      <c r="G141" s="64"/>
      <c r="H141" s="64"/>
      <c r="I141" s="64"/>
      <c r="J141" s="64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7"/>
      <c r="W141" s="375"/>
    </row>
    <row r="142" spans="1:23">
      <c r="A142" s="375"/>
      <c r="B142" s="64"/>
      <c r="C142" s="375"/>
      <c r="D142" s="375"/>
      <c r="E142" s="375"/>
      <c r="F142" s="64"/>
      <c r="G142" s="64"/>
      <c r="H142" s="64"/>
      <c r="I142" s="64"/>
      <c r="J142" s="64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7"/>
      <c r="W142" s="375"/>
    </row>
    <row r="143" spans="1:23">
      <c r="A143" s="375"/>
      <c r="B143" s="64"/>
      <c r="C143" s="375"/>
      <c r="D143" s="375"/>
      <c r="E143" s="375"/>
      <c r="F143" s="64"/>
      <c r="G143" s="64"/>
      <c r="H143" s="64"/>
      <c r="I143" s="64"/>
      <c r="J143" s="64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7"/>
      <c r="W143" s="375"/>
    </row>
    <row r="144" spans="1:23">
      <c r="A144" s="375"/>
      <c r="B144" s="64"/>
      <c r="C144" s="375"/>
      <c r="D144" s="375"/>
      <c r="E144" s="375"/>
      <c r="F144" s="64"/>
      <c r="G144" s="64"/>
      <c r="H144" s="64"/>
      <c r="I144" s="64"/>
      <c r="J144" s="64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7"/>
      <c r="W144" s="375"/>
    </row>
    <row r="145" spans="1:23">
      <c r="A145" s="375"/>
      <c r="B145" s="64"/>
      <c r="C145" s="375"/>
      <c r="D145" s="375"/>
      <c r="E145" s="375"/>
      <c r="F145" s="64"/>
      <c r="G145" s="64"/>
      <c r="H145" s="64"/>
      <c r="I145" s="64"/>
      <c r="J145" s="64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7"/>
      <c r="W145" s="375"/>
    </row>
    <row r="146" spans="1:23">
      <c r="A146" s="375"/>
      <c r="B146" s="64"/>
      <c r="C146" s="375"/>
      <c r="D146" s="375"/>
      <c r="E146" s="375"/>
      <c r="F146" s="64"/>
      <c r="G146" s="64"/>
      <c r="H146" s="64"/>
      <c r="I146" s="64"/>
      <c r="J146" s="64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7"/>
      <c r="W146" s="375"/>
    </row>
    <row r="147" spans="1:23">
      <c r="A147" s="375"/>
      <c r="B147" s="64"/>
      <c r="C147" s="375"/>
      <c r="D147" s="375"/>
      <c r="E147" s="375"/>
      <c r="F147" s="64"/>
      <c r="G147" s="64"/>
      <c r="H147" s="64"/>
      <c r="I147" s="64"/>
      <c r="J147" s="64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7"/>
      <c r="W147" s="375"/>
    </row>
    <row r="148" spans="1:23">
      <c r="A148" s="375"/>
      <c r="B148" s="64"/>
      <c r="C148" s="375"/>
      <c r="D148" s="375"/>
      <c r="E148" s="375"/>
      <c r="F148" s="64"/>
      <c r="G148" s="64"/>
      <c r="H148" s="64"/>
      <c r="I148" s="64"/>
      <c r="J148" s="64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7"/>
      <c r="W148" s="375"/>
    </row>
    <row r="149" spans="1:23">
      <c r="A149" s="375"/>
      <c r="B149" s="64"/>
      <c r="C149" s="375"/>
      <c r="D149" s="375"/>
      <c r="E149" s="375"/>
      <c r="F149" s="64"/>
      <c r="G149" s="64"/>
      <c r="H149" s="64"/>
      <c r="I149" s="64"/>
      <c r="J149" s="64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7"/>
      <c r="W149" s="375"/>
    </row>
    <row r="150" spans="1:23">
      <c r="A150" s="375"/>
      <c r="B150" s="64"/>
      <c r="C150" s="375"/>
      <c r="D150" s="375"/>
      <c r="E150" s="375"/>
      <c r="F150" s="64"/>
      <c r="G150" s="64"/>
      <c r="H150" s="64"/>
      <c r="I150" s="64"/>
      <c r="J150" s="64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7"/>
      <c r="W150" s="375"/>
    </row>
    <row r="151" spans="1:23">
      <c r="A151" s="375"/>
      <c r="B151" s="64"/>
      <c r="C151" s="375"/>
      <c r="D151" s="375"/>
      <c r="E151" s="375"/>
      <c r="F151" s="64"/>
      <c r="G151" s="64"/>
      <c r="H151" s="64"/>
      <c r="I151" s="64"/>
      <c r="J151" s="64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7"/>
      <c r="W151" s="375"/>
    </row>
    <row r="152" spans="1:23">
      <c r="A152" s="375"/>
      <c r="B152" s="64"/>
      <c r="C152" s="375"/>
      <c r="D152" s="375"/>
      <c r="E152" s="375"/>
      <c r="F152" s="64"/>
      <c r="G152" s="64"/>
      <c r="H152" s="64"/>
      <c r="I152" s="64"/>
      <c r="J152" s="64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7"/>
      <c r="W152" s="375"/>
    </row>
    <row r="153" spans="1:23">
      <c r="A153" s="375"/>
      <c r="B153" s="64"/>
      <c r="C153" s="375"/>
      <c r="D153" s="375"/>
      <c r="E153" s="375"/>
      <c r="F153" s="64"/>
      <c r="G153" s="64"/>
      <c r="H153" s="64"/>
      <c r="I153" s="64"/>
      <c r="J153" s="64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7"/>
      <c r="W153" s="375"/>
    </row>
    <row r="154" spans="1:23">
      <c r="A154" s="375"/>
      <c r="B154" s="64"/>
      <c r="C154" s="375"/>
      <c r="D154" s="375"/>
      <c r="E154" s="375"/>
      <c r="F154" s="64"/>
      <c r="G154" s="64"/>
      <c r="H154" s="64"/>
      <c r="I154" s="64"/>
      <c r="J154" s="64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7"/>
      <c r="W154" s="375"/>
    </row>
    <row r="155" spans="1:23">
      <c r="A155" s="375"/>
      <c r="B155" s="64"/>
      <c r="C155" s="375"/>
      <c r="D155" s="375"/>
      <c r="E155" s="375"/>
      <c r="F155" s="64"/>
      <c r="G155" s="64"/>
      <c r="H155" s="64"/>
      <c r="I155" s="64"/>
      <c r="J155" s="64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7"/>
      <c r="W155" s="375"/>
    </row>
    <row r="156" spans="1:23">
      <c r="A156" s="375"/>
      <c r="B156" s="64"/>
      <c r="C156" s="375"/>
      <c r="D156" s="375"/>
      <c r="E156" s="375"/>
      <c r="F156" s="64"/>
      <c r="G156" s="64"/>
      <c r="H156" s="64"/>
      <c r="I156" s="64"/>
      <c r="J156" s="64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7"/>
      <c r="W156" s="375"/>
    </row>
    <row r="157" spans="1:23">
      <c r="A157" s="375"/>
      <c r="B157" s="64"/>
      <c r="C157" s="375"/>
      <c r="D157" s="375"/>
      <c r="E157" s="375"/>
      <c r="F157" s="64"/>
      <c r="G157" s="64"/>
      <c r="H157" s="64"/>
      <c r="I157" s="64"/>
      <c r="J157" s="64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7"/>
      <c r="W157" s="375"/>
    </row>
    <row r="158" spans="1:23">
      <c r="A158" s="375"/>
      <c r="B158" s="64"/>
      <c r="C158" s="375"/>
      <c r="D158" s="375"/>
      <c r="E158" s="375"/>
      <c r="F158" s="64"/>
      <c r="G158" s="64"/>
      <c r="H158" s="64"/>
      <c r="I158" s="64"/>
      <c r="J158" s="64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7"/>
      <c r="W158" s="375"/>
    </row>
    <row r="159" spans="1:23">
      <c r="A159" s="375"/>
      <c r="B159" s="64"/>
      <c r="C159" s="375"/>
      <c r="D159" s="375"/>
      <c r="E159" s="375"/>
      <c r="F159" s="64"/>
      <c r="G159" s="64"/>
      <c r="H159" s="64"/>
      <c r="I159" s="64"/>
      <c r="J159" s="64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7"/>
      <c r="W159" s="375"/>
    </row>
    <row r="160" spans="1:23">
      <c r="A160" s="375"/>
      <c r="B160" s="64"/>
      <c r="C160" s="375"/>
      <c r="D160" s="375"/>
      <c r="E160" s="375"/>
      <c r="F160" s="64"/>
      <c r="G160" s="64"/>
      <c r="H160" s="64"/>
      <c r="I160" s="64"/>
      <c r="J160" s="64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7"/>
      <c r="W160" s="375"/>
    </row>
    <row r="161" spans="1:23">
      <c r="A161" s="375"/>
      <c r="B161" s="64"/>
      <c r="C161" s="375"/>
      <c r="D161" s="375"/>
      <c r="E161" s="375"/>
      <c r="F161" s="64"/>
      <c r="G161" s="64"/>
      <c r="H161" s="64"/>
      <c r="I161" s="64"/>
      <c r="J161" s="64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7"/>
      <c r="W161" s="375"/>
    </row>
    <row r="162" spans="1:23">
      <c r="A162" s="375"/>
      <c r="B162" s="64"/>
      <c r="C162" s="375"/>
      <c r="D162" s="375"/>
      <c r="E162" s="375"/>
      <c r="F162" s="64"/>
      <c r="G162" s="64"/>
      <c r="H162" s="64"/>
      <c r="I162" s="64"/>
      <c r="J162" s="64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7"/>
      <c r="W162" s="375"/>
    </row>
    <row r="163" spans="1:23">
      <c r="A163" s="375"/>
      <c r="B163" s="64"/>
      <c r="C163" s="375"/>
      <c r="D163" s="375"/>
      <c r="E163" s="375"/>
      <c r="F163" s="64"/>
      <c r="G163" s="64"/>
      <c r="H163" s="64"/>
      <c r="I163" s="64"/>
      <c r="J163" s="64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7"/>
      <c r="W163" s="375"/>
    </row>
    <row r="164" spans="1:23">
      <c r="A164" s="375"/>
      <c r="B164" s="64"/>
      <c r="C164" s="375"/>
      <c r="D164" s="375"/>
      <c r="E164" s="375"/>
      <c r="F164" s="64"/>
      <c r="G164" s="64"/>
      <c r="H164" s="64"/>
      <c r="I164" s="64"/>
      <c r="J164" s="64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7"/>
      <c r="W164" s="375"/>
    </row>
    <row r="165" spans="1:23">
      <c r="A165" s="375"/>
      <c r="B165" s="64"/>
      <c r="C165" s="375"/>
      <c r="D165" s="375"/>
      <c r="E165" s="375"/>
      <c r="F165" s="64"/>
      <c r="G165" s="64"/>
      <c r="H165" s="64"/>
      <c r="I165" s="64"/>
      <c r="J165" s="64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7"/>
      <c r="W165" s="375"/>
    </row>
    <row r="166" spans="1:23">
      <c r="A166" s="375"/>
      <c r="B166" s="64"/>
      <c r="C166" s="375"/>
      <c r="D166" s="375"/>
      <c r="E166" s="375"/>
      <c r="F166" s="64"/>
      <c r="G166" s="64"/>
      <c r="H166" s="64"/>
      <c r="I166" s="64"/>
      <c r="J166" s="64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7"/>
      <c r="W166" s="375"/>
    </row>
    <row r="167" spans="1:23">
      <c r="A167" s="375"/>
      <c r="B167" s="64"/>
      <c r="C167" s="375"/>
      <c r="D167" s="375"/>
      <c r="E167" s="375"/>
      <c r="F167" s="64"/>
      <c r="G167" s="64"/>
      <c r="H167" s="64"/>
      <c r="I167" s="64"/>
      <c r="J167" s="64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7"/>
      <c r="W167" s="375"/>
    </row>
    <row r="168" spans="1:23">
      <c r="A168" s="375"/>
      <c r="B168" s="64"/>
      <c r="C168" s="375"/>
      <c r="D168" s="375"/>
      <c r="E168" s="375"/>
      <c r="F168" s="64"/>
      <c r="G168" s="64"/>
      <c r="H168" s="64"/>
      <c r="I168" s="64"/>
      <c r="J168" s="64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7"/>
      <c r="W168" s="375"/>
    </row>
    <row r="169" spans="1:23">
      <c r="A169" s="375"/>
      <c r="B169" s="64"/>
      <c r="C169" s="375"/>
      <c r="D169" s="375"/>
      <c r="E169" s="375"/>
      <c r="F169" s="64"/>
      <c r="G169" s="64"/>
      <c r="H169" s="64"/>
      <c r="I169" s="64"/>
      <c r="J169" s="64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7"/>
      <c r="W169" s="375"/>
    </row>
    <row r="170" spans="1:23">
      <c r="A170" s="375"/>
      <c r="B170" s="64"/>
      <c r="C170" s="375"/>
      <c r="D170" s="375"/>
      <c r="E170" s="375"/>
      <c r="F170" s="64"/>
      <c r="G170" s="64"/>
      <c r="H170" s="64"/>
      <c r="I170" s="64"/>
      <c r="J170" s="64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7"/>
      <c r="W170" s="375"/>
    </row>
    <row r="171" spans="1:23">
      <c r="A171" s="375"/>
      <c r="B171" s="64"/>
      <c r="C171" s="375"/>
      <c r="D171" s="375"/>
      <c r="E171" s="375"/>
      <c r="F171" s="64"/>
      <c r="G171" s="64"/>
      <c r="H171" s="64"/>
      <c r="I171" s="64"/>
      <c r="J171" s="64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7"/>
      <c r="W171" s="375"/>
    </row>
    <row r="172" spans="1:23">
      <c r="A172" s="375"/>
      <c r="B172" s="64"/>
      <c r="C172" s="375"/>
      <c r="D172" s="375"/>
      <c r="E172" s="375"/>
      <c r="F172" s="64"/>
      <c r="G172" s="64"/>
      <c r="H172" s="64"/>
      <c r="I172" s="64"/>
      <c r="J172" s="64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7"/>
      <c r="W172" s="375"/>
    </row>
    <row r="173" spans="1:23">
      <c r="A173" s="375"/>
      <c r="B173" s="64"/>
      <c r="C173" s="375"/>
      <c r="D173" s="375"/>
      <c r="E173" s="375"/>
      <c r="F173" s="64"/>
      <c r="G173" s="64"/>
      <c r="H173" s="64"/>
      <c r="I173" s="64"/>
      <c r="J173" s="64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7"/>
      <c r="W173" s="375"/>
    </row>
    <row r="174" spans="1:23">
      <c r="A174" s="375"/>
      <c r="B174" s="64"/>
      <c r="C174" s="375"/>
      <c r="D174" s="375"/>
      <c r="E174" s="375"/>
      <c r="F174" s="64"/>
      <c r="G174" s="64"/>
      <c r="H174" s="64"/>
      <c r="I174" s="64"/>
      <c r="J174" s="64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7"/>
      <c r="W174" s="375"/>
    </row>
    <row r="175" spans="1:23">
      <c r="A175" s="375"/>
      <c r="B175" s="64"/>
      <c r="C175" s="375"/>
      <c r="D175" s="375"/>
      <c r="E175" s="375"/>
      <c r="F175" s="64"/>
      <c r="G175" s="64"/>
      <c r="H175" s="64"/>
      <c r="I175" s="64"/>
      <c r="J175" s="64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7"/>
      <c r="W175" s="375"/>
    </row>
    <row r="176" spans="1:23">
      <c r="A176" s="375"/>
      <c r="B176" s="64"/>
      <c r="C176" s="375"/>
      <c r="D176" s="375"/>
      <c r="E176" s="375"/>
      <c r="F176" s="64"/>
      <c r="G176" s="64"/>
      <c r="H176" s="64"/>
      <c r="I176" s="64"/>
      <c r="J176" s="64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7"/>
      <c r="W176" s="375"/>
    </row>
    <row r="177" spans="1:23">
      <c r="A177" s="375"/>
      <c r="B177" s="64"/>
      <c r="C177" s="375"/>
      <c r="D177" s="375"/>
      <c r="E177" s="375"/>
      <c r="F177" s="64"/>
      <c r="G177" s="64"/>
      <c r="H177" s="64"/>
      <c r="I177" s="64"/>
      <c r="J177" s="64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7"/>
      <c r="W177" s="375"/>
    </row>
    <row r="178" spans="1:23">
      <c r="A178" s="375"/>
      <c r="B178" s="64"/>
      <c r="C178" s="375"/>
      <c r="D178" s="375"/>
      <c r="E178" s="375"/>
      <c r="F178" s="64"/>
      <c r="G178" s="64"/>
      <c r="H178" s="64"/>
      <c r="I178" s="64"/>
      <c r="J178" s="64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7"/>
      <c r="W178" s="375"/>
    </row>
    <row r="179" spans="1:23">
      <c r="A179" s="375"/>
      <c r="B179" s="64"/>
      <c r="C179" s="375"/>
      <c r="D179" s="375"/>
      <c r="E179" s="375"/>
      <c r="F179" s="64"/>
      <c r="G179" s="64"/>
      <c r="H179" s="64"/>
      <c r="I179" s="64"/>
      <c r="J179" s="64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7"/>
      <c r="W179" s="375"/>
    </row>
  </sheetData>
  <dataConsolidate/>
  <mergeCells count="26">
    <mergeCell ref="Y79:AD79"/>
    <mergeCell ref="AG72:AL72"/>
    <mergeCell ref="A53:A54"/>
    <mergeCell ref="A55:A56"/>
    <mergeCell ref="Y59:AD59"/>
    <mergeCell ref="Y24:Z24"/>
    <mergeCell ref="A26:A27"/>
    <mergeCell ref="V26:V27"/>
    <mergeCell ref="W26:W27"/>
    <mergeCell ref="A33:A35"/>
    <mergeCell ref="A51:A52"/>
    <mergeCell ref="A28:A32"/>
    <mergeCell ref="V28:V32"/>
    <mergeCell ref="W28:W32"/>
    <mergeCell ref="A15:A20"/>
    <mergeCell ref="A21:A24"/>
    <mergeCell ref="A49:A50"/>
    <mergeCell ref="A36:A37"/>
    <mergeCell ref="A39:A40"/>
    <mergeCell ref="A41:A43"/>
    <mergeCell ref="A45:A48"/>
    <mergeCell ref="C1:K1"/>
    <mergeCell ref="M1:U1"/>
    <mergeCell ref="A4:A5"/>
    <mergeCell ref="A6:A8"/>
    <mergeCell ref="A9:A13"/>
  </mergeCells>
  <conditionalFormatting sqref="U3:U56">
    <cfRule type="containsText" dxfId="34" priority="7" operator="containsText" text="Yes">
      <formula>NOT(ISERROR(SEARCH("Yes",U3)))</formula>
    </cfRule>
  </conditionalFormatting>
  <conditionalFormatting sqref="T3:T56">
    <cfRule type="cellIs" dxfId="33" priority="5" operator="lessThan">
      <formula>0</formula>
    </cfRule>
  </conditionalFormatting>
  <conditionalFormatting sqref="Z61:AE72">
    <cfRule type="cellIs" dxfId="32" priority="4" operator="greaterThan">
      <formula>0</formula>
    </cfRule>
  </conditionalFormatting>
  <conditionalFormatting sqref="AA81:AE92">
    <cfRule type="cellIs" dxfId="31" priority="3" operator="greaterThan">
      <formula>0</formula>
    </cfRule>
  </conditionalFormatting>
  <conditionalFormatting sqref="Z81:Z92">
    <cfRule type="cellIs" dxfId="30" priority="2" operator="greaterThan">
      <formula>0</formula>
    </cfRule>
  </conditionalFormatting>
  <conditionalFormatting sqref="AH74:AM85">
    <cfRule type="cellIs" dxfId="29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W56" zoomScaleNormal="100" workbookViewId="0">
      <selection activeCell="Y60" sqref="Y60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6.5703125" style="59" customWidth="1"/>
    <col min="6" max="10" width="23.7109375" style="61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1.28515625" style="59" customWidth="1"/>
    <col min="20" max="20" width="23.28515625" style="59" customWidth="1"/>
    <col min="21" max="21" width="17.5703125" style="62" customWidth="1"/>
    <col min="22" max="22" width="33.8554687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23.7109375" style="5" customWidth="1"/>
    <col min="27" max="27" width="21.5703125" style="5" customWidth="1"/>
    <col min="28" max="32" width="9" style="5"/>
    <col min="33" max="33" width="16" style="5" customWidth="1"/>
    <col min="34" max="16384" width="9" style="5"/>
  </cols>
  <sheetData>
    <row r="1" spans="1:24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73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4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377"/>
      <c r="W2" s="375"/>
    </row>
    <row r="3" spans="1:24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377"/>
      <c r="W3" s="377"/>
    </row>
    <row r="4" spans="1:24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377"/>
      <c r="W4" s="377"/>
    </row>
    <row r="5" spans="1:24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376" t="s">
        <v>439</v>
      </c>
      <c r="W5" s="376" t="s">
        <v>454</v>
      </c>
    </row>
    <row r="6" spans="1:24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98"/>
      <c r="W6" s="197"/>
    </row>
    <row r="7" spans="1:24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221" t="s">
        <v>351</v>
      </c>
      <c r="W7" s="209" t="s">
        <v>351</v>
      </c>
    </row>
    <row r="8" spans="1:24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220"/>
      <c r="W8" s="209"/>
    </row>
    <row r="9" spans="1:24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07"/>
      <c r="W9" s="207"/>
      <c r="X9" s="213"/>
    </row>
    <row r="10" spans="1:24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377"/>
      <c r="W10" s="377"/>
      <c r="X10" s="213"/>
    </row>
    <row r="11" spans="1:24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377"/>
      <c r="W11" s="377"/>
      <c r="X11" s="213"/>
    </row>
    <row r="12" spans="1:24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377"/>
      <c r="W12" s="377"/>
      <c r="X12" s="213"/>
    </row>
    <row r="13" spans="1:24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377"/>
      <c r="W13" s="377"/>
      <c r="X13" s="213"/>
    </row>
    <row r="14" spans="1:24" ht="13.5" thickBot="1">
      <c r="A14" s="372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377"/>
      <c r="W14" s="377"/>
      <c r="X14" s="213"/>
    </row>
    <row r="15" spans="1:24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377"/>
      <c r="W15" s="377"/>
      <c r="X15" s="213"/>
    </row>
    <row r="16" spans="1:24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377"/>
      <c r="W16" s="377"/>
      <c r="X16" s="213"/>
    </row>
    <row r="17" spans="1:29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377"/>
      <c r="W17" s="377"/>
      <c r="X17" s="213"/>
    </row>
    <row r="18" spans="1:29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377"/>
      <c r="W18" s="377"/>
      <c r="X18" s="213"/>
    </row>
    <row r="19" spans="1:29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377"/>
      <c r="W19" s="377"/>
      <c r="X19" s="213"/>
    </row>
    <row r="20" spans="1:29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377"/>
      <c r="W20" s="377"/>
      <c r="X20" s="213"/>
    </row>
    <row r="21" spans="1:29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377"/>
      <c r="W21" s="377"/>
      <c r="X21" s="213"/>
    </row>
    <row r="22" spans="1:29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377"/>
      <c r="W22" s="377"/>
      <c r="X22" s="213"/>
    </row>
    <row r="23" spans="1:29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377"/>
      <c r="W23" s="377"/>
      <c r="X23" s="213"/>
      <c r="Y23" s="375"/>
      <c r="Z23" s="58"/>
    </row>
    <row r="24" spans="1:29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377"/>
      <c r="W24" s="377"/>
      <c r="Y24" s="533" t="s">
        <v>453</v>
      </c>
      <c r="Z24" s="534"/>
      <c r="AA24" s="378"/>
    </row>
    <row r="25" spans="1:29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376" t="s">
        <v>439</v>
      </c>
      <c r="W25" s="376" t="s">
        <v>454</v>
      </c>
      <c r="Y25" s="88"/>
      <c r="Z25" s="375"/>
      <c r="AA25" s="97"/>
    </row>
    <row r="26" spans="1:29" ht="15" customHeight="1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530" t="s">
        <v>351</v>
      </c>
      <c r="W26" s="528" t="s">
        <v>351</v>
      </c>
      <c r="Y26" s="243" t="s">
        <v>389</v>
      </c>
      <c r="Z26" s="350" t="s">
        <v>388</v>
      </c>
      <c r="AA26" s="244" t="s">
        <v>387</v>
      </c>
    </row>
    <row r="27" spans="1:29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531"/>
      <c r="W27" s="529"/>
      <c r="Y27" s="126"/>
      <c r="Z27" s="125"/>
      <c r="AA27" s="97">
        <f>(Z27/200)*100</f>
        <v>0</v>
      </c>
    </row>
    <row r="28" spans="1:29" ht="15" customHeight="1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530" t="s">
        <v>351</v>
      </c>
      <c r="W28" s="535" t="s">
        <v>351</v>
      </c>
      <c r="Y28" s="126"/>
      <c r="Z28" s="125"/>
      <c r="AA28" s="97">
        <f>(Z28/150)*100</f>
        <v>0</v>
      </c>
    </row>
    <row r="29" spans="1:29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532"/>
      <c r="W29" s="536"/>
      <c r="Y29" s="126"/>
      <c r="Z29" s="125"/>
      <c r="AA29" s="97"/>
    </row>
    <row r="30" spans="1:29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532"/>
      <c r="W30" s="536"/>
    </row>
    <row r="31" spans="1:29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532"/>
      <c r="W31" s="536"/>
      <c r="AB31" s="375"/>
      <c r="AC31" s="17"/>
    </row>
    <row r="32" spans="1:29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531"/>
      <c r="W32" s="537"/>
      <c r="Z32" s="5">
        <v>0</v>
      </c>
      <c r="AA32" s="375"/>
      <c r="AB32" s="375"/>
    </row>
    <row r="33" spans="1:28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207"/>
      <c r="W33" s="207"/>
      <c r="X33" s="213"/>
      <c r="Y33" s="154" t="s">
        <v>369</v>
      </c>
      <c r="Z33" s="218">
        <f>SUM(Z27:Z32)</f>
        <v>0</v>
      </c>
      <c r="AA33" s="375"/>
    </row>
    <row r="34" spans="1:28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377"/>
      <c r="W34" s="377"/>
      <c r="X34" s="213"/>
      <c r="Y34" s="217" t="s">
        <v>365</v>
      </c>
      <c r="Z34" s="216"/>
    </row>
    <row r="35" spans="1:28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377"/>
      <c r="W35" s="377"/>
      <c r="X35" s="213"/>
      <c r="AB35" s="375"/>
    </row>
    <row r="36" spans="1:28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377"/>
      <c r="W36" s="377"/>
      <c r="X36" s="213"/>
    </row>
    <row r="37" spans="1:28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215"/>
      <c r="W37" s="215"/>
      <c r="X37" s="213"/>
    </row>
    <row r="38" spans="1:28" ht="13.5" thickBot="1">
      <c r="A38" s="372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201" t="s">
        <v>351</v>
      </c>
      <c r="W38" s="200" t="s">
        <v>351</v>
      </c>
    </row>
    <row r="39" spans="1:28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98" t="s">
        <v>351</v>
      </c>
      <c r="W39" s="197" t="s">
        <v>351</v>
      </c>
    </row>
    <row r="40" spans="1:28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96"/>
      <c r="W40" s="195"/>
    </row>
    <row r="41" spans="1:28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V41" s="207"/>
      <c r="W41" s="207"/>
    </row>
    <row r="42" spans="1:28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V42" s="377"/>
      <c r="W42" s="377"/>
      <c r="X42" s="213"/>
    </row>
    <row r="43" spans="1:28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V43" s="377"/>
      <c r="W43" s="377"/>
      <c r="X43" s="213"/>
    </row>
    <row r="44" spans="1:28" ht="13.5" thickBot="1">
      <c r="A44" s="372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V44" s="377"/>
      <c r="W44" s="377"/>
      <c r="X44" s="213"/>
    </row>
    <row r="45" spans="1:28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V45" s="377"/>
      <c r="W45" s="377"/>
      <c r="X45" s="213"/>
    </row>
    <row r="46" spans="1:28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V46" s="377"/>
      <c r="W46" s="377"/>
      <c r="X46" s="213"/>
    </row>
    <row r="47" spans="1:28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V47" s="377"/>
      <c r="W47" s="377"/>
      <c r="X47" s="213"/>
    </row>
    <row r="48" spans="1:28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V48" s="377"/>
      <c r="W48" s="377"/>
      <c r="X48" s="213"/>
    </row>
    <row r="49" spans="1:35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V49" s="377"/>
      <c r="W49" s="377"/>
      <c r="X49" s="213"/>
    </row>
    <row r="50" spans="1:35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V50" s="377"/>
      <c r="W50" s="377"/>
      <c r="X50" s="213"/>
    </row>
    <row r="51" spans="1:35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V51" s="377"/>
      <c r="W51" s="377"/>
      <c r="X51" s="213"/>
    </row>
    <row r="52" spans="1:35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V52" s="377"/>
      <c r="W52" s="377"/>
      <c r="X52" s="213"/>
    </row>
    <row r="53" spans="1:35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V53" s="377"/>
      <c r="W53" s="377"/>
      <c r="X53" s="213"/>
    </row>
    <row r="54" spans="1:35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V54" s="377"/>
      <c r="W54" s="377"/>
      <c r="X54" s="213"/>
    </row>
    <row r="55" spans="1:35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V55" s="377"/>
      <c r="W55" s="377"/>
      <c r="X55" s="213"/>
    </row>
    <row r="56" spans="1:35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V56" s="377"/>
      <c r="W56" s="377"/>
      <c r="X56" s="213"/>
    </row>
    <row r="57" spans="1:35">
      <c r="A57" s="375"/>
      <c r="B57" s="64"/>
      <c r="C57" s="375"/>
      <c r="D57" s="375" t="s">
        <v>369</v>
      </c>
      <c r="E57" s="375"/>
      <c r="F57" s="64"/>
      <c r="G57" s="64"/>
      <c r="H57" s="64"/>
      <c r="I57" s="64"/>
      <c r="J57" s="64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7"/>
      <c r="W57" s="377"/>
    </row>
    <row r="58" spans="1:35">
      <c r="A58" s="375"/>
      <c r="B58" s="64"/>
      <c r="C58" s="375"/>
      <c r="D58" s="375"/>
      <c r="E58" s="375"/>
      <c r="F58" s="64"/>
      <c r="G58" s="64"/>
      <c r="H58" s="64"/>
      <c r="I58" s="64"/>
      <c r="J58" s="64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7"/>
      <c r="W58" s="377"/>
    </row>
    <row r="59" spans="1:35">
      <c r="A59" s="375"/>
      <c r="B59" s="64"/>
      <c r="C59" s="375"/>
      <c r="D59" s="375"/>
      <c r="E59" s="375"/>
      <c r="F59" s="64"/>
      <c r="G59" s="64"/>
      <c r="H59" s="64"/>
      <c r="I59" s="64"/>
      <c r="J59" s="64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7"/>
      <c r="W59" s="375"/>
      <c r="Y59" s="497" t="s">
        <v>569</v>
      </c>
      <c r="Z59" s="498"/>
      <c r="AA59" s="498"/>
      <c r="AB59" s="498"/>
      <c r="AC59" s="498"/>
      <c r="AD59" s="499"/>
      <c r="AE59" s="155"/>
    </row>
    <row r="60" spans="1:35">
      <c r="A60" s="375"/>
      <c r="B60" s="64"/>
      <c r="C60" s="375"/>
      <c r="D60" s="375"/>
      <c r="E60" s="375"/>
      <c r="F60" s="64"/>
      <c r="G60" s="64"/>
      <c r="H60" s="64"/>
      <c r="I60" s="64"/>
      <c r="J60" s="64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7"/>
      <c r="W60" s="375"/>
      <c r="Y60" s="355" t="s">
        <v>484</v>
      </c>
      <c r="Z60" s="357" t="s">
        <v>485</v>
      </c>
      <c r="AA60" s="357" t="s">
        <v>486</v>
      </c>
      <c r="AB60" s="357" t="s">
        <v>487</v>
      </c>
      <c r="AC60" s="357" t="s">
        <v>488</v>
      </c>
      <c r="AD60" s="358" t="s">
        <v>489</v>
      </c>
      <c r="AE60" s="270" t="s">
        <v>416</v>
      </c>
    </row>
    <row r="61" spans="1:35">
      <c r="A61" s="375"/>
      <c r="B61" s="64"/>
      <c r="C61" s="375"/>
      <c r="D61" s="375"/>
      <c r="E61" s="375"/>
      <c r="F61" s="64"/>
      <c r="G61" s="64"/>
      <c r="H61" s="64"/>
      <c r="I61" s="64"/>
      <c r="J61" s="64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7"/>
      <c r="W61" s="375"/>
      <c r="Y61" s="60" t="s">
        <v>84</v>
      </c>
      <c r="Z61" s="359">
        <v>0</v>
      </c>
      <c r="AA61" s="359">
        <v>0</v>
      </c>
      <c r="AB61" s="360">
        <v>0</v>
      </c>
      <c r="AC61" s="360">
        <v>0</v>
      </c>
      <c r="AD61" s="374">
        <v>0</v>
      </c>
      <c r="AE61" s="361">
        <f>SUM(Z61:AD61)</f>
        <v>0</v>
      </c>
    </row>
    <row r="62" spans="1:35">
      <c r="A62" s="375"/>
      <c r="B62" s="65"/>
      <c r="C62" s="375"/>
      <c r="D62" s="375"/>
      <c r="E62" s="375"/>
      <c r="F62" s="64"/>
      <c r="G62" s="64"/>
      <c r="H62" s="64"/>
      <c r="I62" s="64"/>
      <c r="J62" s="64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7"/>
      <c r="W62" s="375"/>
      <c r="Y62" s="60" t="s">
        <v>85</v>
      </c>
      <c r="Z62" s="359">
        <v>0</v>
      </c>
      <c r="AA62" s="359">
        <v>0</v>
      </c>
      <c r="AB62" s="359">
        <v>0</v>
      </c>
      <c r="AC62" s="359">
        <v>0</v>
      </c>
      <c r="AD62" s="374">
        <v>0</v>
      </c>
      <c r="AE62" s="60">
        <f t="shared" ref="AE62:AE72" si="22">SUM(Z62:AD62)</f>
        <v>0</v>
      </c>
    </row>
    <row r="63" spans="1:35">
      <c r="A63" s="375"/>
      <c r="B63" s="65"/>
      <c r="C63" s="375"/>
      <c r="D63" s="375"/>
      <c r="E63" s="375"/>
      <c r="F63" s="64"/>
      <c r="G63" s="64"/>
      <c r="H63" s="64"/>
      <c r="I63" s="64"/>
      <c r="J63" s="64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7"/>
      <c r="W63" s="375"/>
      <c r="Y63" s="60" t="s">
        <v>86</v>
      </c>
      <c r="Z63" s="359">
        <v>0</v>
      </c>
      <c r="AA63" s="359">
        <v>0</v>
      </c>
      <c r="AB63" s="359">
        <v>0</v>
      </c>
      <c r="AC63" s="359">
        <v>0</v>
      </c>
      <c r="AD63" s="374">
        <v>0</v>
      </c>
      <c r="AE63" s="60">
        <f t="shared" si="22"/>
        <v>0</v>
      </c>
      <c r="AG63" s="471" t="s">
        <v>490</v>
      </c>
      <c r="AH63" s="471" t="s">
        <v>491</v>
      </c>
      <c r="AI63" s="363" t="s">
        <v>492</v>
      </c>
    </row>
    <row r="64" spans="1:35">
      <c r="A64" s="375"/>
      <c r="B64" s="65"/>
      <c r="C64" s="375"/>
      <c r="D64" s="375"/>
      <c r="E64" s="375"/>
      <c r="F64" s="64"/>
      <c r="G64" s="64"/>
      <c r="H64" s="64"/>
      <c r="I64" s="64"/>
      <c r="J64" s="64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7"/>
      <c r="W64" s="375"/>
      <c r="Y64" s="60" t="s">
        <v>87</v>
      </c>
      <c r="Z64" s="359">
        <v>0</v>
      </c>
      <c r="AA64" s="359">
        <v>0</v>
      </c>
      <c r="AB64" s="359">
        <v>0</v>
      </c>
      <c r="AC64" s="359">
        <v>0</v>
      </c>
      <c r="AD64" s="374">
        <v>0</v>
      </c>
      <c r="AE64" s="60">
        <f t="shared" si="22"/>
        <v>0</v>
      </c>
      <c r="AG64" s="61" t="s">
        <v>485</v>
      </c>
      <c r="AH64" s="61">
        <v>100</v>
      </c>
      <c r="AI64" s="420">
        <v>15</v>
      </c>
    </row>
    <row r="65" spans="1:39">
      <c r="A65" s="375"/>
      <c r="B65" s="64"/>
      <c r="C65" s="375"/>
      <c r="D65" s="375"/>
      <c r="E65" s="375"/>
      <c r="O65" s="375"/>
      <c r="P65" s="375"/>
      <c r="Q65" s="375"/>
      <c r="R65" s="375"/>
      <c r="S65" s="375"/>
      <c r="U65" s="375"/>
      <c r="V65" s="377"/>
      <c r="W65" s="375"/>
      <c r="Y65" s="60" t="s">
        <v>88</v>
      </c>
      <c r="Z65" s="359">
        <v>0</v>
      </c>
      <c r="AA65" s="359">
        <v>0</v>
      </c>
      <c r="AB65" s="359">
        <v>0</v>
      </c>
      <c r="AC65" s="359">
        <v>0</v>
      </c>
      <c r="AD65" s="374">
        <v>0</v>
      </c>
      <c r="AE65" s="60">
        <f t="shared" si="22"/>
        <v>0</v>
      </c>
      <c r="AF65" s="377"/>
      <c r="AG65" s="364" t="s">
        <v>486</v>
      </c>
      <c r="AH65" s="364">
        <v>150</v>
      </c>
      <c r="AI65" s="421">
        <v>16.3689</v>
      </c>
    </row>
    <row r="66" spans="1:39">
      <c r="A66" s="375"/>
      <c r="B66" s="64"/>
      <c r="C66" s="375"/>
      <c r="D66" s="375"/>
      <c r="E66" s="375"/>
      <c r="O66" s="375"/>
      <c r="P66" s="375"/>
      <c r="Q66" s="375"/>
      <c r="R66" s="375"/>
      <c r="S66" s="375"/>
      <c r="U66" s="375"/>
      <c r="V66" s="377"/>
      <c r="W66" s="375"/>
      <c r="Y66" s="60" t="s">
        <v>89</v>
      </c>
      <c r="Z66" s="359">
        <v>0</v>
      </c>
      <c r="AA66" s="359">
        <v>0</v>
      </c>
      <c r="AB66" s="359">
        <v>0</v>
      </c>
      <c r="AC66" s="359">
        <v>0</v>
      </c>
      <c r="AD66" s="374">
        <v>0</v>
      </c>
      <c r="AE66" s="60">
        <f t="shared" si="22"/>
        <v>0</v>
      </c>
      <c r="AF66" s="376"/>
      <c r="AG66" s="364" t="s">
        <v>487</v>
      </c>
      <c r="AH66" s="364">
        <v>200</v>
      </c>
      <c r="AI66" s="421">
        <v>16.746700000000001</v>
      </c>
    </row>
    <row r="67" spans="1:39">
      <c r="A67" s="375"/>
      <c r="B67" s="64"/>
      <c r="C67" s="375"/>
      <c r="D67" s="375"/>
      <c r="E67" s="375"/>
      <c r="O67" s="375"/>
      <c r="P67" s="375"/>
      <c r="Q67" s="375"/>
      <c r="R67" s="375"/>
      <c r="S67" s="375"/>
      <c r="U67" s="375"/>
      <c r="V67" s="377"/>
      <c r="W67" s="375"/>
      <c r="Y67" s="60" t="s">
        <v>90</v>
      </c>
      <c r="Z67" s="359">
        <v>0</v>
      </c>
      <c r="AA67" s="359">
        <v>0</v>
      </c>
      <c r="AB67" s="359">
        <v>0</v>
      </c>
      <c r="AC67" s="359">
        <v>0</v>
      </c>
      <c r="AD67" s="374">
        <v>0</v>
      </c>
      <c r="AE67" s="60">
        <f t="shared" si="22"/>
        <v>0</v>
      </c>
      <c r="AF67" s="376"/>
      <c r="AG67" s="364" t="s">
        <v>488</v>
      </c>
      <c r="AH67" s="364">
        <v>250</v>
      </c>
      <c r="AI67" s="421">
        <v>16.886600000000001</v>
      </c>
    </row>
    <row r="68" spans="1:39">
      <c r="A68" s="375"/>
      <c r="B68" s="64"/>
      <c r="C68" s="375"/>
      <c r="D68" s="375"/>
      <c r="E68" s="375"/>
      <c r="F68" s="64"/>
      <c r="G68" s="64"/>
      <c r="H68" s="64"/>
      <c r="I68" s="64"/>
      <c r="J68" s="64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7"/>
      <c r="W68" s="375"/>
      <c r="Y68" s="60" t="s">
        <v>91</v>
      </c>
      <c r="Z68" s="359">
        <v>0</v>
      </c>
      <c r="AA68" s="359">
        <v>0</v>
      </c>
      <c r="AB68" s="374">
        <v>0</v>
      </c>
      <c r="AC68" s="374">
        <v>0</v>
      </c>
      <c r="AD68" s="374">
        <v>0</v>
      </c>
      <c r="AE68" s="60">
        <f t="shared" si="22"/>
        <v>0</v>
      </c>
      <c r="AF68" s="377"/>
      <c r="AG68" s="365" t="s">
        <v>525</v>
      </c>
      <c r="AH68" s="365">
        <v>300</v>
      </c>
      <c r="AI68" s="422">
        <v>17</v>
      </c>
    </row>
    <row r="69" spans="1:39">
      <c r="B69" s="64"/>
      <c r="C69" s="375"/>
      <c r="D69" s="375"/>
      <c r="E69" s="375"/>
      <c r="F69" s="64"/>
      <c r="G69" s="64"/>
      <c r="H69" s="64"/>
      <c r="I69" s="64"/>
      <c r="J69" s="64"/>
      <c r="K69" s="375"/>
      <c r="L69" s="375"/>
      <c r="M69" s="375"/>
      <c r="N69" s="375"/>
      <c r="O69" s="375"/>
      <c r="P69" s="375"/>
      <c r="Q69" s="375"/>
      <c r="R69" s="375"/>
      <c r="S69" s="375"/>
      <c r="T69" s="375"/>
      <c r="U69" s="375"/>
      <c r="V69" s="377"/>
      <c r="W69" s="375"/>
      <c r="Y69" s="60" t="s">
        <v>92</v>
      </c>
      <c r="Z69" s="374">
        <v>0</v>
      </c>
      <c r="AA69" s="374">
        <v>0</v>
      </c>
      <c r="AB69" s="374">
        <v>0</v>
      </c>
      <c r="AC69" s="374">
        <v>0</v>
      </c>
      <c r="AD69" s="374">
        <v>0</v>
      </c>
      <c r="AE69" s="60">
        <f t="shared" si="22"/>
        <v>0</v>
      </c>
      <c r="AF69" s="377"/>
      <c r="AG69" s="377"/>
      <c r="AH69" s="377"/>
    </row>
    <row r="70" spans="1:39">
      <c r="B70" s="64"/>
      <c r="C70" s="375"/>
      <c r="D70" s="375"/>
      <c r="E70" s="375"/>
      <c r="F70" s="64"/>
      <c r="G70" s="64"/>
      <c r="H70" s="64"/>
      <c r="I70" s="64"/>
      <c r="J70" s="64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7"/>
      <c r="W70" s="375"/>
      <c r="Y70" s="60" t="s">
        <v>93</v>
      </c>
      <c r="Z70" s="374">
        <v>0</v>
      </c>
      <c r="AA70" s="359">
        <v>0</v>
      </c>
      <c r="AB70" s="374">
        <v>0</v>
      </c>
      <c r="AC70" s="374">
        <v>0</v>
      </c>
      <c r="AD70" s="374">
        <v>0</v>
      </c>
      <c r="AE70" s="60">
        <f t="shared" si="22"/>
        <v>0</v>
      </c>
      <c r="AF70" s="377"/>
      <c r="AG70" s="377"/>
      <c r="AH70" s="377"/>
    </row>
    <row r="71" spans="1:39">
      <c r="B71" s="64"/>
      <c r="C71" s="375"/>
      <c r="D71" s="375"/>
      <c r="E71" s="375"/>
      <c r="F71" s="64"/>
      <c r="G71" s="64"/>
      <c r="H71" s="64"/>
      <c r="I71" s="64"/>
      <c r="J71" s="64"/>
      <c r="K71" s="375"/>
      <c r="L71" s="375"/>
      <c r="M71" s="375"/>
      <c r="N71" s="375"/>
      <c r="O71" s="375"/>
      <c r="P71" s="375"/>
      <c r="Q71" s="375"/>
      <c r="R71" s="375"/>
      <c r="S71" s="375"/>
      <c r="T71" s="375"/>
      <c r="U71" s="375"/>
      <c r="V71" s="377"/>
      <c r="W71" s="375"/>
      <c r="Y71" s="60" t="s">
        <v>94</v>
      </c>
      <c r="Z71" s="374">
        <v>0</v>
      </c>
      <c r="AA71" s="359">
        <v>0</v>
      </c>
      <c r="AB71" s="374">
        <v>0</v>
      </c>
      <c r="AC71" s="374">
        <v>0</v>
      </c>
      <c r="AD71" s="374">
        <v>0</v>
      </c>
      <c r="AE71" s="60">
        <f t="shared" si="22"/>
        <v>0</v>
      </c>
      <c r="AF71" s="18"/>
      <c r="AG71" s="18"/>
      <c r="AH71" s="377"/>
    </row>
    <row r="72" spans="1:39">
      <c r="B72" s="64"/>
      <c r="C72" s="375"/>
      <c r="D72" s="375"/>
      <c r="E72" s="375"/>
      <c r="F72" s="64"/>
      <c r="G72" s="64"/>
      <c r="H72" s="64"/>
      <c r="I72" s="64"/>
      <c r="J72" s="64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7"/>
      <c r="W72" s="375"/>
      <c r="Y72" s="366" t="s">
        <v>482</v>
      </c>
      <c r="Z72" s="367">
        <v>0</v>
      </c>
      <c r="AA72" s="367">
        <v>0</v>
      </c>
      <c r="AB72" s="367">
        <v>0</v>
      </c>
      <c r="AC72" s="367">
        <v>0</v>
      </c>
      <c r="AD72" s="367">
        <v>0</v>
      </c>
      <c r="AE72" s="366">
        <f t="shared" si="22"/>
        <v>0</v>
      </c>
      <c r="AF72" s="377"/>
      <c r="AG72" s="497" t="s">
        <v>568</v>
      </c>
      <c r="AH72" s="498"/>
      <c r="AI72" s="498"/>
      <c r="AJ72" s="498"/>
      <c r="AK72" s="498"/>
      <c r="AL72" s="499"/>
      <c r="AM72" s="155"/>
    </row>
    <row r="73" spans="1:39">
      <c r="B73" s="64"/>
      <c r="C73" s="375"/>
      <c r="D73" s="375"/>
      <c r="E73" s="375"/>
      <c r="F73" s="64"/>
      <c r="G73" s="64"/>
      <c r="H73" s="64"/>
      <c r="I73" s="64"/>
      <c r="J73" s="64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7"/>
      <c r="W73" s="375"/>
      <c r="Y73" s="270" t="s">
        <v>493</v>
      </c>
      <c r="Z73" s="368">
        <f t="shared" ref="Z73:AE73" si="23">SUM(Z61:Z72)</f>
        <v>0</v>
      </c>
      <c r="AA73" s="368">
        <f t="shared" si="23"/>
        <v>0</v>
      </c>
      <c r="AB73" s="368">
        <f t="shared" si="23"/>
        <v>0</v>
      </c>
      <c r="AC73" s="368">
        <f t="shared" si="23"/>
        <v>0</v>
      </c>
      <c r="AD73" s="368">
        <f t="shared" si="23"/>
        <v>0</v>
      </c>
      <c r="AE73" s="369">
        <f t="shared" si="23"/>
        <v>0</v>
      </c>
      <c r="AF73" s="377"/>
      <c r="AG73" s="355" t="s">
        <v>484</v>
      </c>
      <c r="AH73" s="357" t="s">
        <v>485</v>
      </c>
      <c r="AI73" s="357" t="s">
        <v>486</v>
      </c>
      <c r="AJ73" s="357" t="s">
        <v>487</v>
      </c>
      <c r="AK73" s="357" t="s">
        <v>488</v>
      </c>
      <c r="AL73" s="358" t="s">
        <v>525</v>
      </c>
      <c r="AM73" s="270" t="s">
        <v>416</v>
      </c>
    </row>
    <row r="74" spans="1:39">
      <c r="B74" s="64"/>
      <c r="C74" s="375"/>
      <c r="D74" s="375"/>
      <c r="E74" s="375"/>
      <c r="F74" s="64"/>
      <c r="G74" s="64"/>
      <c r="H74" s="64"/>
      <c r="I74" s="64"/>
      <c r="J74" s="64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7"/>
      <c r="W74" s="375"/>
      <c r="Y74" s="270" t="s">
        <v>492</v>
      </c>
      <c r="Z74" s="370">
        <f>PRODUCT(Z73*AI64)</f>
        <v>0</v>
      </c>
      <c r="AA74" s="370">
        <f>PRODUCT(AA73*AI65)</f>
        <v>0</v>
      </c>
      <c r="AB74" s="370">
        <f>PRODUCT(AB73*AI66)</f>
        <v>0</v>
      </c>
      <c r="AC74" s="370">
        <f>PRODUCT(AC73*AI67)</f>
        <v>0</v>
      </c>
      <c r="AD74" s="370">
        <f>PRODUCT(AD73*AI68)</f>
        <v>0</v>
      </c>
      <c r="AE74" s="270">
        <f>SUM(Z74:AD74)</f>
        <v>0</v>
      </c>
      <c r="AF74" s="377"/>
      <c r="AG74" s="60" t="s">
        <v>84</v>
      </c>
      <c r="AH74" s="470">
        <f>Z61+Z81</f>
        <v>0</v>
      </c>
      <c r="AI74" s="470">
        <f t="shared" ref="AI74:AL85" si="24">AA61+AA81</f>
        <v>4</v>
      </c>
      <c r="AJ74" s="470">
        <f t="shared" si="24"/>
        <v>2</v>
      </c>
      <c r="AK74" s="470">
        <f t="shared" si="24"/>
        <v>1</v>
      </c>
      <c r="AL74" s="470">
        <f t="shared" si="24"/>
        <v>0</v>
      </c>
      <c r="AM74" s="361">
        <f>SUM(AH74:AL74)</f>
        <v>7</v>
      </c>
    </row>
    <row r="75" spans="1:39">
      <c r="B75" s="64"/>
      <c r="C75" s="375"/>
      <c r="D75" s="375"/>
      <c r="E75" s="375"/>
      <c r="F75" s="64"/>
      <c r="G75" s="64"/>
      <c r="H75" s="64"/>
      <c r="I75" s="64"/>
      <c r="J75" s="64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7"/>
      <c r="W75" s="375"/>
      <c r="Y75" s="270" t="s">
        <v>491</v>
      </c>
      <c r="Z75" s="370">
        <f>Z73*AH64</f>
        <v>0</v>
      </c>
      <c r="AA75" s="370">
        <f>AA73*AH65</f>
        <v>0</v>
      </c>
      <c r="AB75" s="370">
        <f>AB73*AH66</f>
        <v>0</v>
      </c>
      <c r="AC75" s="370">
        <f>AC73*AH67</f>
        <v>0</v>
      </c>
      <c r="AD75" s="370">
        <f>AD73*AH68</f>
        <v>0</v>
      </c>
      <c r="AE75" s="270">
        <f>SUM(Z75:AD75)</f>
        <v>0</v>
      </c>
      <c r="AF75" s="377"/>
      <c r="AG75" s="60" t="s">
        <v>85</v>
      </c>
      <c r="AH75" s="470">
        <f t="shared" ref="AH75:AH85" si="25">Z62+Z82</f>
        <v>0</v>
      </c>
      <c r="AI75" s="470">
        <f t="shared" si="24"/>
        <v>7</v>
      </c>
      <c r="AJ75" s="470">
        <f t="shared" si="24"/>
        <v>3</v>
      </c>
      <c r="AK75" s="470">
        <f t="shared" si="24"/>
        <v>0</v>
      </c>
      <c r="AL75" s="470">
        <f t="shared" si="24"/>
        <v>2</v>
      </c>
      <c r="AM75" s="60">
        <f t="shared" ref="AM75:AM85" si="26">SUM(AH75:AL75)</f>
        <v>12</v>
      </c>
    </row>
    <row r="76" spans="1:39">
      <c r="B76" s="64"/>
      <c r="C76" s="375"/>
      <c r="D76" s="375"/>
      <c r="E76" s="375"/>
      <c r="F76" s="64"/>
      <c r="G76" s="64"/>
      <c r="H76" s="64"/>
      <c r="I76" s="64"/>
      <c r="J76" s="64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7"/>
      <c r="W76" s="375"/>
      <c r="AG76" s="60" t="s">
        <v>86</v>
      </c>
      <c r="AH76" s="470">
        <f t="shared" si="25"/>
        <v>0</v>
      </c>
      <c r="AI76" s="470">
        <f t="shared" si="24"/>
        <v>0</v>
      </c>
      <c r="AJ76" s="470">
        <f t="shared" si="24"/>
        <v>3</v>
      </c>
      <c r="AK76" s="470">
        <f t="shared" si="24"/>
        <v>0</v>
      </c>
      <c r="AL76" s="470">
        <f t="shared" si="24"/>
        <v>1</v>
      </c>
      <c r="AM76" s="60">
        <f t="shared" si="26"/>
        <v>4</v>
      </c>
    </row>
    <row r="77" spans="1:39">
      <c r="B77" s="64"/>
      <c r="C77" s="375"/>
      <c r="D77" s="375"/>
      <c r="E77" s="375"/>
      <c r="F77" s="64"/>
      <c r="G77" s="64"/>
      <c r="H77" s="64"/>
      <c r="I77" s="64"/>
      <c r="J77" s="64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75"/>
      <c r="V77" s="377"/>
      <c r="W77" s="375"/>
      <c r="AG77" s="60" t="s">
        <v>87</v>
      </c>
      <c r="AH77" s="470">
        <f t="shared" si="25"/>
        <v>0</v>
      </c>
      <c r="AI77" s="470">
        <f t="shared" si="24"/>
        <v>10</v>
      </c>
      <c r="AJ77" s="470">
        <f t="shared" si="24"/>
        <v>15</v>
      </c>
      <c r="AK77" s="470">
        <f t="shared" si="24"/>
        <v>8</v>
      </c>
      <c r="AL77" s="470">
        <f t="shared" si="24"/>
        <v>0</v>
      </c>
      <c r="AM77" s="60">
        <f t="shared" si="26"/>
        <v>33</v>
      </c>
    </row>
    <row r="78" spans="1:39">
      <c r="B78" s="64"/>
      <c r="C78" s="375"/>
      <c r="D78" s="375"/>
      <c r="E78" s="375"/>
      <c r="F78" s="64"/>
      <c r="G78" s="64"/>
      <c r="H78" s="64"/>
      <c r="I78" s="64"/>
      <c r="J78" s="64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7"/>
      <c r="W78" s="375"/>
      <c r="AG78" s="60" t="s">
        <v>88</v>
      </c>
      <c r="AH78" s="470">
        <f t="shared" si="25"/>
        <v>0</v>
      </c>
      <c r="AI78" s="470">
        <f t="shared" si="24"/>
        <v>0</v>
      </c>
      <c r="AJ78" s="470">
        <f t="shared" si="24"/>
        <v>8</v>
      </c>
      <c r="AK78" s="470">
        <f t="shared" si="24"/>
        <v>1</v>
      </c>
      <c r="AL78" s="470">
        <f t="shared" si="24"/>
        <v>0</v>
      </c>
      <c r="AM78" s="60">
        <f t="shared" si="26"/>
        <v>9</v>
      </c>
    </row>
    <row r="79" spans="1:39">
      <c r="B79" s="64"/>
      <c r="C79" s="375"/>
      <c r="D79" s="375"/>
      <c r="E79" s="375"/>
      <c r="F79" s="64"/>
      <c r="G79" s="64"/>
      <c r="H79" s="64"/>
      <c r="I79" s="64"/>
      <c r="J79" s="64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7"/>
      <c r="W79" s="375"/>
      <c r="Y79" s="497" t="s">
        <v>567</v>
      </c>
      <c r="Z79" s="498"/>
      <c r="AA79" s="498"/>
      <c r="AB79" s="498"/>
      <c r="AC79" s="498"/>
      <c r="AD79" s="499"/>
      <c r="AE79" s="155"/>
      <c r="AG79" s="60" t="s">
        <v>89</v>
      </c>
      <c r="AH79" s="470">
        <f t="shared" si="25"/>
        <v>0</v>
      </c>
      <c r="AI79" s="470">
        <f t="shared" si="24"/>
        <v>7</v>
      </c>
      <c r="AJ79" s="470">
        <f t="shared" si="24"/>
        <v>1</v>
      </c>
      <c r="AK79" s="470">
        <f t="shared" si="24"/>
        <v>1</v>
      </c>
      <c r="AL79" s="470">
        <f t="shared" si="24"/>
        <v>0</v>
      </c>
      <c r="AM79" s="60">
        <f t="shared" si="26"/>
        <v>9</v>
      </c>
    </row>
    <row r="80" spans="1:39">
      <c r="B80" s="64"/>
      <c r="C80" s="375"/>
      <c r="D80" s="375"/>
      <c r="E80" s="375"/>
      <c r="F80" s="64"/>
      <c r="G80" s="64"/>
      <c r="H80" s="64"/>
      <c r="I80" s="64"/>
      <c r="J80" s="64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7"/>
      <c r="W80" s="375"/>
      <c r="Y80" s="355" t="s">
        <v>484</v>
      </c>
      <c r="Z80" s="357" t="s">
        <v>485</v>
      </c>
      <c r="AA80" s="357" t="s">
        <v>486</v>
      </c>
      <c r="AB80" s="357" t="s">
        <v>487</v>
      </c>
      <c r="AC80" s="357" t="s">
        <v>488</v>
      </c>
      <c r="AD80" s="358" t="s">
        <v>525</v>
      </c>
      <c r="AE80" s="270" t="s">
        <v>416</v>
      </c>
      <c r="AG80" s="60" t="s">
        <v>90</v>
      </c>
      <c r="AH80" s="470">
        <f t="shared" si="25"/>
        <v>0</v>
      </c>
      <c r="AI80" s="470">
        <f t="shared" si="24"/>
        <v>0</v>
      </c>
      <c r="AJ80" s="470">
        <f t="shared" si="24"/>
        <v>1</v>
      </c>
      <c r="AK80" s="470">
        <f t="shared" si="24"/>
        <v>1</v>
      </c>
      <c r="AL80" s="470">
        <f t="shared" si="24"/>
        <v>1</v>
      </c>
      <c r="AM80" s="60">
        <f t="shared" si="26"/>
        <v>3</v>
      </c>
    </row>
    <row r="81" spans="2:39">
      <c r="B81" s="64"/>
      <c r="C81" s="375"/>
      <c r="D81" s="375"/>
      <c r="E81" s="375"/>
      <c r="F81" s="64"/>
      <c r="G81" s="64"/>
      <c r="H81" s="64"/>
      <c r="I81" s="64"/>
      <c r="J81" s="64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7"/>
      <c r="W81" s="375"/>
      <c r="Y81" s="60" t="s">
        <v>84</v>
      </c>
      <c r="Z81" s="470">
        <v>0</v>
      </c>
      <c r="AA81" s="470">
        <f>4</f>
        <v>4</v>
      </c>
      <c r="AB81" s="416">
        <f>1+1</f>
        <v>2</v>
      </c>
      <c r="AC81" s="416">
        <f>1</f>
        <v>1</v>
      </c>
      <c r="AD81" s="470">
        <v>0</v>
      </c>
      <c r="AE81" s="361">
        <f>SUM(Z81:AD81)</f>
        <v>7</v>
      </c>
      <c r="AG81" s="60" t="s">
        <v>91</v>
      </c>
      <c r="AH81" s="470">
        <f t="shared" si="25"/>
        <v>0</v>
      </c>
      <c r="AI81" s="470">
        <f t="shared" si="24"/>
        <v>10</v>
      </c>
      <c r="AJ81" s="470">
        <f t="shared" si="24"/>
        <v>2</v>
      </c>
      <c r="AK81" s="470">
        <f t="shared" si="24"/>
        <v>1</v>
      </c>
      <c r="AL81" s="470">
        <f t="shared" si="24"/>
        <v>0</v>
      </c>
      <c r="AM81" s="60">
        <f t="shared" si="26"/>
        <v>13</v>
      </c>
    </row>
    <row r="82" spans="2:39">
      <c r="B82" s="64"/>
      <c r="C82" s="375"/>
      <c r="D82" s="375"/>
      <c r="E82" s="375"/>
      <c r="F82" s="64"/>
      <c r="G82" s="64"/>
      <c r="H82" s="64"/>
      <c r="I82" s="64"/>
      <c r="J82" s="64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7"/>
      <c r="W82" s="375"/>
      <c r="Y82" s="60" t="s">
        <v>85</v>
      </c>
      <c r="Z82" s="470">
        <v>0</v>
      </c>
      <c r="AA82" s="470">
        <f>3+2+2</f>
        <v>7</v>
      </c>
      <c r="AB82" s="470">
        <f>2+1</f>
        <v>3</v>
      </c>
      <c r="AC82" s="470">
        <v>0</v>
      </c>
      <c r="AD82" s="470">
        <f>1+1</f>
        <v>2</v>
      </c>
      <c r="AE82" s="60">
        <f t="shared" ref="AE82:AE92" si="27">SUM(Z82:AD82)</f>
        <v>12</v>
      </c>
      <c r="AG82" s="60" t="s">
        <v>92</v>
      </c>
      <c r="AH82" s="470">
        <f t="shared" si="25"/>
        <v>0</v>
      </c>
      <c r="AI82" s="470">
        <f t="shared" si="24"/>
        <v>4</v>
      </c>
      <c r="AJ82" s="470">
        <f t="shared" si="24"/>
        <v>7</v>
      </c>
      <c r="AK82" s="470">
        <f t="shared" si="24"/>
        <v>0</v>
      </c>
      <c r="AL82" s="470">
        <f t="shared" si="24"/>
        <v>0</v>
      </c>
      <c r="AM82" s="60">
        <f t="shared" si="26"/>
        <v>11</v>
      </c>
    </row>
    <row r="83" spans="2:39">
      <c r="B83" s="64"/>
      <c r="C83" s="375"/>
      <c r="D83" s="375"/>
      <c r="E83" s="375"/>
      <c r="F83" s="64"/>
      <c r="G83" s="64"/>
      <c r="H83" s="64"/>
      <c r="I83" s="64"/>
      <c r="J83" s="64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7"/>
      <c r="W83" s="375"/>
      <c r="Y83" s="60" t="s">
        <v>86</v>
      </c>
      <c r="Z83" s="470">
        <v>0</v>
      </c>
      <c r="AA83" s="470">
        <v>0</v>
      </c>
      <c r="AB83" s="359">
        <f>2+1</f>
        <v>3</v>
      </c>
      <c r="AC83" s="470">
        <v>0</v>
      </c>
      <c r="AD83" s="470">
        <f>1</f>
        <v>1</v>
      </c>
      <c r="AE83" s="60">
        <f t="shared" si="27"/>
        <v>4</v>
      </c>
      <c r="AG83" s="60" t="s">
        <v>93</v>
      </c>
      <c r="AH83" s="470">
        <f t="shared" si="25"/>
        <v>0</v>
      </c>
      <c r="AI83" s="470">
        <f t="shared" si="24"/>
        <v>0</v>
      </c>
      <c r="AJ83" s="470">
        <f t="shared" si="24"/>
        <v>2</v>
      </c>
      <c r="AK83" s="470">
        <f t="shared" si="24"/>
        <v>3</v>
      </c>
      <c r="AL83" s="470">
        <f t="shared" si="24"/>
        <v>0</v>
      </c>
      <c r="AM83" s="60">
        <f t="shared" si="26"/>
        <v>5</v>
      </c>
    </row>
    <row r="84" spans="2:39">
      <c r="B84" s="64"/>
      <c r="C84" s="375"/>
      <c r="D84" s="375"/>
      <c r="E84" s="375"/>
      <c r="F84" s="64"/>
      <c r="G84" s="64"/>
      <c r="H84" s="64"/>
      <c r="I84" s="64"/>
      <c r="J84" s="64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7"/>
      <c r="W84" s="375"/>
      <c r="Y84" s="60" t="s">
        <v>87</v>
      </c>
      <c r="Z84" s="470">
        <v>0</v>
      </c>
      <c r="AA84" s="417">
        <f>4+3+3</f>
        <v>10</v>
      </c>
      <c r="AB84" s="470">
        <f>2+2+3+6+2</f>
        <v>15</v>
      </c>
      <c r="AC84" s="470">
        <f>1+3+4</f>
        <v>8</v>
      </c>
      <c r="AD84" s="470">
        <v>0</v>
      </c>
      <c r="AE84" s="60">
        <f t="shared" si="27"/>
        <v>33</v>
      </c>
      <c r="AG84" s="60" t="s">
        <v>94</v>
      </c>
      <c r="AH84" s="470">
        <f t="shared" si="25"/>
        <v>0</v>
      </c>
      <c r="AI84" s="470">
        <f t="shared" si="24"/>
        <v>1</v>
      </c>
      <c r="AJ84" s="470">
        <f t="shared" si="24"/>
        <v>2</v>
      </c>
      <c r="AK84" s="470">
        <f t="shared" si="24"/>
        <v>4</v>
      </c>
      <c r="AL84" s="470">
        <f t="shared" si="24"/>
        <v>0</v>
      </c>
      <c r="AM84" s="60">
        <f t="shared" si="26"/>
        <v>7</v>
      </c>
    </row>
    <row r="85" spans="2:39">
      <c r="B85" s="64"/>
      <c r="C85" s="375"/>
      <c r="D85" s="375"/>
      <c r="E85" s="375"/>
      <c r="F85" s="64"/>
      <c r="G85" s="64"/>
      <c r="H85" s="64"/>
      <c r="I85" s="64"/>
      <c r="J85" s="64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7"/>
      <c r="W85" s="375"/>
      <c r="Y85" s="60" t="s">
        <v>88</v>
      </c>
      <c r="Z85" s="470">
        <v>0</v>
      </c>
      <c r="AA85" s="470">
        <v>0</v>
      </c>
      <c r="AB85" s="470">
        <f>1+1+1+3+1+1</f>
        <v>8</v>
      </c>
      <c r="AC85" s="470">
        <f>1</f>
        <v>1</v>
      </c>
      <c r="AD85" s="470">
        <v>0</v>
      </c>
      <c r="AE85" s="60">
        <f t="shared" si="27"/>
        <v>9</v>
      </c>
      <c r="AG85" s="366" t="s">
        <v>482</v>
      </c>
      <c r="AH85" s="470">
        <f t="shared" si="25"/>
        <v>0</v>
      </c>
      <c r="AI85" s="470">
        <f t="shared" si="24"/>
        <v>1</v>
      </c>
      <c r="AJ85" s="470">
        <f t="shared" si="24"/>
        <v>2</v>
      </c>
      <c r="AK85" s="470">
        <f t="shared" si="24"/>
        <v>0</v>
      </c>
      <c r="AL85" s="470">
        <f t="shared" si="24"/>
        <v>0</v>
      </c>
      <c r="AM85" s="366">
        <f t="shared" si="26"/>
        <v>3</v>
      </c>
    </row>
    <row r="86" spans="2:39">
      <c r="B86" s="64"/>
      <c r="C86" s="375"/>
      <c r="D86" s="375"/>
      <c r="E86" s="375"/>
      <c r="F86" s="64"/>
      <c r="G86" s="64"/>
      <c r="H86" s="64"/>
      <c r="I86" s="64"/>
      <c r="J86" s="64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7"/>
      <c r="W86" s="375"/>
      <c r="Y86" s="60" t="s">
        <v>89</v>
      </c>
      <c r="Z86" s="470">
        <v>0</v>
      </c>
      <c r="AA86" s="470">
        <f>3+3+1</f>
        <v>7</v>
      </c>
      <c r="AB86" s="470">
        <f>1</f>
        <v>1</v>
      </c>
      <c r="AC86" s="470">
        <f>1</f>
        <v>1</v>
      </c>
      <c r="AD86" s="470">
        <v>0</v>
      </c>
      <c r="AE86" s="60">
        <f t="shared" si="27"/>
        <v>9</v>
      </c>
      <c r="AG86" s="270" t="s">
        <v>493</v>
      </c>
      <c r="AH86" s="368">
        <f t="shared" ref="AH86:AM86" si="28">SUM(AH74:AH85)</f>
        <v>0</v>
      </c>
      <c r="AI86" s="368">
        <f t="shared" si="28"/>
        <v>44</v>
      </c>
      <c r="AJ86" s="368">
        <f t="shared" si="28"/>
        <v>48</v>
      </c>
      <c r="AK86" s="368">
        <f t="shared" si="28"/>
        <v>20</v>
      </c>
      <c r="AL86" s="368">
        <f t="shared" si="28"/>
        <v>4</v>
      </c>
      <c r="AM86" s="369">
        <f t="shared" si="28"/>
        <v>116</v>
      </c>
    </row>
    <row r="87" spans="2:39">
      <c r="B87" s="64"/>
      <c r="C87" s="375"/>
      <c r="D87" s="375"/>
      <c r="E87" s="375"/>
      <c r="F87" s="64"/>
      <c r="G87" s="64"/>
      <c r="H87" s="64"/>
      <c r="I87" s="64"/>
      <c r="J87" s="64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7"/>
      <c r="W87" s="375"/>
      <c r="Y87" s="60" t="s">
        <v>90</v>
      </c>
      <c r="Z87" s="470">
        <v>0</v>
      </c>
      <c r="AA87" s="359">
        <v>0</v>
      </c>
      <c r="AB87" s="359">
        <f>1</f>
        <v>1</v>
      </c>
      <c r="AC87" s="470">
        <f>1</f>
        <v>1</v>
      </c>
      <c r="AD87" s="470">
        <f>1</f>
        <v>1</v>
      </c>
      <c r="AE87" s="60">
        <f t="shared" si="27"/>
        <v>3</v>
      </c>
      <c r="AG87" s="270" t="s">
        <v>492</v>
      </c>
      <c r="AH87" s="370">
        <f>PRODUCT(AH86*AI64)</f>
        <v>0</v>
      </c>
      <c r="AI87" s="418">
        <f>PRODUCT(AI86*AI65)</f>
        <v>720.23159999999996</v>
      </c>
      <c r="AJ87" s="418">
        <f>PRODUCT(AJ86*AI66)</f>
        <v>803.84159999999997</v>
      </c>
      <c r="AK87" s="418">
        <f>PRODUCT(AK86*AI67)</f>
        <v>337.73200000000003</v>
      </c>
      <c r="AL87" s="418">
        <f>PRODUCT(AL86*AI68)</f>
        <v>68</v>
      </c>
      <c r="AM87" s="419">
        <f>SUM(AH87:AL87)</f>
        <v>1929.8051999999998</v>
      </c>
    </row>
    <row r="88" spans="2:39">
      <c r="B88" s="64"/>
      <c r="C88" s="375"/>
      <c r="D88" s="375"/>
      <c r="E88" s="375"/>
      <c r="F88" s="64"/>
      <c r="G88" s="64"/>
      <c r="H88" s="64"/>
      <c r="I88" s="64"/>
      <c r="J88" s="64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7"/>
      <c r="W88" s="375"/>
      <c r="Y88" s="60" t="s">
        <v>91</v>
      </c>
      <c r="Z88" s="470">
        <v>0</v>
      </c>
      <c r="AA88" s="359">
        <f>2+3+1+2+1+1</f>
        <v>10</v>
      </c>
      <c r="AB88" s="470">
        <f>1+1</f>
        <v>2</v>
      </c>
      <c r="AC88" s="470">
        <f>1</f>
        <v>1</v>
      </c>
      <c r="AD88" s="470">
        <v>0</v>
      </c>
      <c r="AE88" s="60">
        <f t="shared" si="27"/>
        <v>13</v>
      </c>
      <c r="AG88" s="270" t="s">
        <v>526</v>
      </c>
      <c r="AH88" s="370">
        <f>AH86*AH64</f>
        <v>0</v>
      </c>
      <c r="AI88" s="370">
        <f>AI86*AH65</f>
        <v>6600</v>
      </c>
      <c r="AJ88" s="370">
        <f>AJ86*AH66</f>
        <v>9600</v>
      </c>
      <c r="AK88" s="370">
        <f>AK86*AH67</f>
        <v>5000</v>
      </c>
      <c r="AL88" s="370">
        <f>AL86*AH68</f>
        <v>1200</v>
      </c>
      <c r="AM88" s="270">
        <f>SUM(AH88:AL88)</f>
        <v>22400</v>
      </c>
    </row>
    <row r="89" spans="2:39">
      <c r="B89" s="64"/>
      <c r="C89" s="375"/>
      <c r="D89" s="375"/>
      <c r="E89" s="375"/>
      <c r="F89" s="64"/>
      <c r="G89" s="64"/>
      <c r="H89" s="64"/>
      <c r="I89" s="64"/>
      <c r="J89" s="64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7"/>
      <c r="W89" s="375"/>
      <c r="Y89" s="60" t="s">
        <v>92</v>
      </c>
      <c r="Z89" s="470">
        <v>0</v>
      </c>
      <c r="AA89" s="359">
        <f>2+2</f>
        <v>4</v>
      </c>
      <c r="AB89" s="470">
        <f>6+1</f>
        <v>7</v>
      </c>
      <c r="AC89" s="470">
        <v>0</v>
      </c>
      <c r="AD89" s="470">
        <v>0</v>
      </c>
      <c r="AE89" s="60">
        <f t="shared" si="27"/>
        <v>11</v>
      </c>
    </row>
    <row r="90" spans="2:39">
      <c r="B90" s="64"/>
      <c r="C90" s="375"/>
      <c r="D90" s="375"/>
      <c r="E90" s="375"/>
      <c r="F90" s="64"/>
      <c r="G90" s="64"/>
      <c r="H90" s="64"/>
      <c r="I90" s="64"/>
      <c r="J90" s="64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7"/>
      <c r="W90" s="375"/>
      <c r="Y90" s="60" t="s">
        <v>93</v>
      </c>
      <c r="Z90" s="470">
        <v>0</v>
      </c>
      <c r="AA90" s="359">
        <v>0</v>
      </c>
      <c r="AB90" s="470">
        <f>1+1</f>
        <v>2</v>
      </c>
      <c r="AC90" s="470">
        <f>3</f>
        <v>3</v>
      </c>
      <c r="AD90" s="470">
        <v>0</v>
      </c>
      <c r="AE90" s="60">
        <f t="shared" si="27"/>
        <v>5</v>
      </c>
    </row>
    <row r="91" spans="2:39">
      <c r="B91" s="64"/>
      <c r="C91" s="375"/>
      <c r="D91" s="375"/>
      <c r="E91" s="375"/>
      <c r="F91" s="64"/>
      <c r="G91" s="64"/>
      <c r="H91" s="64"/>
      <c r="I91" s="64"/>
      <c r="J91" s="64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7"/>
      <c r="W91" s="375"/>
      <c r="Y91" s="60" t="s">
        <v>94</v>
      </c>
      <c r="Z91" s="470">
        <v>0</v>
      </c>
      <c r="AA91" s="417">
        <f>1</f>
        <v>1</v>
      </c>
      <c r="AB91" s="470">
        <f>1+1</f>
        <v>2</v>
      </c>
      <c r="AC91" s="470">
        <f>4</f>
        <v>4</v>
      </c>
      <c r="AD91" s="470">
        <v>0</v>
      </c>
      <c r="AE91" s="60">
        <f t="shared" si="27"/>
        <v>7</v>
      </c>
    </row>
    <row r="92" spans="2:39">
      <c r="B92" s="64"/>
      <c r="C92" s="375"/>
      <c r="D92" s="375"/>
      <c r="E92" s="375"/>
      <c r="F92" s="64"/>
      <c r="G92" s="64"/>
      <c r="H92" s="64"/>
      <c r="I92" s="64"/>
      <c r="J92" s="64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7"/>
      <c r="W92" s="375"/>
      <c r="Y92" s="366" t="s">
        <v>482</v>
      </c>
      <c r="Z92" s="367">
        <v>0</v>
      </c>
      <c r="AA92" s="367">
        <f>1</f>
        <v>1</v>
      </c>
      <c r="AB92" s="367">
        <f>2</f>
        <v>2</v>
      </c>
      <c r="AC92" s="367">
        <v>0</v>
      </c>
      <c r="AD92" s="367">
        <v>0</v>
      </c>
      <c r="AE92" s="366">
        <f t="shared" si="27"/>
        <v>3</v>
      </c>
    </row>
    <row r="93" spans="2:39">
      <c r="B93" s="64"/>
      <c r="C93" s="375"/>
      <c r="D93" s="375"/>
      <c r="E93" s="375"/>
      <c r="F93" s="64"/>
      <c r="G93" s="64"/>
      <c r="H93" s="64"/>
      <c r="I93" s="64"/>
      <c r="J93" s="64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7"/>
      <c r="W93" s="375"/>
      <c r="Y93" s="270" t="s">
        <v>493</v>
      </c>
      <c r="Z93" s="368">
        <f t="shared" ref="Z93:AE93" si="29">SUM(Z81:Z92)</f>
        <v>0</v>
      </c>
      <c r="AA93" s="368">
        <f t="shared" si="29"/>
        <v>44</v>
      </c>
      <c r="AB93" s="368">
        <f t="shared" si="29"/>
        <v>48</v>
      </c>
      <c r="AC93" s="368">
        <f t="shared" si="29"/>
        <v>20</v>
      </c>
      <c r="AD93" s="368">
        <f t="shared" si="29"/>
        <v>4</v>
      </c>
      <c r="AE93" s="369">
        <f t="shared" si="29"/>
        <v>116</v>
      </c>
    </row>
    <row r="94" spans="2:39">
      <c r="B94" s="64"/>
      <c r="C94" s="375"/>
      <c r="D94" s="375"/>
      <c r="E94" s="375"/>
      <c r="F94" s="64"/>
      <c r="G94" s="64"/>
      <c r="H94" s="64"/>
      <c r="I94" s="64"/>
      <c r="J94" s="64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7"/>
      <c r="W94" s="375"/>
      <c r="Y94" s="270" t="s">
        <v>492</v>
      </c>
      <c r="Z94" s="418">
        <f>PRODUCT(Z93*AI64)</f>
        <v>0</v>
      </c>
      <c r="AA94" s="418">
        <f>PRODUCT(AA93*AI65)</f>
        <v>720.23159999999996</v>
      </c>
      <c r="AB94" s="418">
        <f>PRODUCT(AB93*AI66)</f>
        <v>803.84159999999997</v>
      </c>
      <c r="AC94" s="418">
        <f>PRODUCT(AC93*AI67)</f>
        <v>337.73200000000003</v>
      </c>
      <c r="AD94" s="418">
        <f>PRODUCT(AD93*AI68)</f>
        <v>68</v>
      </c>
      <c r="AE94" s="419">
        <f>SUM(Z94:AD94)</f>
        <v>1929.8051999999998</v>
      </c>
    </row>
    <row r="95" spans="2:39">
      <c r="B95" s="64"/>
      <c r="C95" s="375"/>
      <c r="D95" s="375"/>
      <c r="E95" s="375"/>
      <c r="F95" s="64"/>
      <c r="G95" s="64"/>
      <c r="H95" s="64"/>
      <c r="I95" s="64"/>
      <c r="J95" s="64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7"/>
      <c r="W95" s="375"/>
      <c r="Y95" s="270" t="s">
        <v>526</v>
      </c>
      <c r="Z95" s="370">
        <f>Z93*AH64</f>
        <v>0</v>
      </c>
      <c r="AA95" s="370">
        <f>AA93*AH65</f>
        <v>6600</v>
      </c>
      <c r="AB95" s="370">
        <f>AB93*AH66</f>
        <v>9600</v>
      </c>
      <c r="AC95" s="370">
        <f>AC93*AH67</f>
        <v>5000</v>
      </c>
      <c r="AD95" s="370">
        <f>AD93*AH68</f>
        <v>1200</v>
      </c>
      <c r="AE95" s="270">
        <f>SUM(Z95:AD95)</f>
        <v>22400</v>
      </c>
    </row>
    <row r="96" spans="2:39">
      <c r="B96" s="64"/>
      <c r="C96" s="375"/>
      <c r="D96" s="375"/>
      <c r="E96" s="375"/>
      <c r="F96" s="64"/>
      <c r="G96" s="64"/>
      <c r="H96" s="64"/>
      <c r="I96" s="64"/>
      <c r="J96" s="64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7"/>
      <c r="W96" s="375"/>
    </row>
    <row r="97" spans="2:23">
      <c r="B97" s="64"/>
      <c r="C97" s="375"/>
      <c r="D97" s="375"/>
      <c r="E97" s="375"/>
      <c r="F97" s="64"/>
      <c r="G97" s="64"/>
      <c r="H97" s="64"/>
      <c r="I97" s="64"/>
      <c r="J97" s="64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7"/>
      <c r="W97" s="375"/>
    </row>
    <row r="98" spans="2:23">
      <c r="B98" s="64"/>
      <c r="C98" s="375"/>
      <c r="D98" s="375"/>
      <c r="E98" s="375"/>
      <c r="F98" s="64"/>
      <c r="G98" s="64"/>
      <c r="H98" s="64"/>
      <c r="I98" s="64"/>
      <c r="J98" s="64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7"/>
      <c r="W98" s="375"/>
    </row>
    <row r="99" spans="2:23">
      <c r="B99" s="64"/>
      <c r="C99" s="375"/>
      <c r="D99" s="375"/>
      <c r="E99" s="375"/>
      <c r="F99" s="64"/>
      <c r="G99" s="64"/>
      <c r="H99" s="64"/>
      <c r="I99" s="64"/>
      <c r="J99" s="64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7"/>
      <c r="W99" s="375"/>
    </row>
    <row r="100" spans="2:23">
      <c r="B100" s="64"/>
      <c r="C100" s="375"/>
      <c r="D100" s="375"/>
      <c r="E100" s="375"/>
      <c r="F100" s="64"/>
      <c r="G100" s="64"/>
      <c r="H100" s="64"/>
      <c r="I100" s="64"/>
      <c r="J100" s="64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7"/>
      <c r="W100" s="375"/>
    </row>
    <row r="101" spans="2:23">
      <c r="B101" s="64"/>
      <c r="C101" s="375"/>
      <c r="D101" s="375"/>
      <c r="E101" s="375"/>
      <c r="F101" s="64"/>
      <c r="G101" s="64"/>
      <c r="H101" s="64"/>
      <c r="I101" s="64"/>
      <c r="J101" s="64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7"/>
      <c r="W101" s="375"/>
    </row>
    <row r="102" spans="2:23">
      <c r="B102" s="64"/>
      <c r="C102" s="375"/>
      <c r="D102" s="375"/>
      <c r="E102" s="375"/>
      <c r="F102" s="64"/>
      <c r="G102" s="64"/>
      <c r="H102" s="64"/>
      <c r="I102" s="64"/>
      <c r="J102" s="64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7"/>
      <c r="W102" s="375"/>
    </row>
    <row r="103" spans="2:23">
      <c r="B103" s="64"/>
      <c r="C103" s="375"/>
      <c r="D103" s="375"/>
      <c r="E103" s="375"/>
      <c r="F103" s="64"/>
      <c r="G103" s="64"/>
      <c r="H103" s="64"/>
      <c r="I103" s="64"/>
      <c r="J103" s="64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7"/>
      <c r="W103" s="375"/>
    </row>
    <row r="104" spans="2:23">
      <c r="B104" s="64"/>
      <c r="C104" s="375"/>
      <c r="D104" s="375"/>
      <c r="E104" s="375"/>
      <c r="F104" s="64"/>
      <c r="G104" s="64"/>
      <c r="H104" s="64"/>
      <c r="I104" s="64"/>
      <c r="J104" s="64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7"/>
      <c r="W104" s="375"/>
    </row>
    <row r="105" spans="2:23">
      <c r="B105" s="64"/>
      <c r="C105" s="375"/>
      <c r="D105" s="375"/>
      <c r="E105" s="375"/>
      <c r="F105" s="64"/>
      <c r="G105" s="64"/>
      <c r="H105" s="64"/>
      <c r="I105" s="64"/>
      <c r="J105" s="64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7"/>
      <c r="W105" s="375"/>
    </row>
    <row r="106" spans="2:23">
      <c r="B106" s="64"/>
      <c r="C106" s="375"/>
      <c r="D106" s="375"/>
      <c r="E106" s="375"/>
      <c r="F106" s="64"/>
      <c r="G106" s="64"/>
      <c r="H106" s="64"/>
      <c r="I106" s="64"/>
      <c r="J106" s="64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7"/>
      <c r="W106" s="375"/>
    </row>
    <row r="107" spans="2:23">
      <c r="B107" s="64"/>
      <c r="C107" s="375"/>
      <c r="D107" s="375"/>
      <c r="E107" s="375"/>
      <c r="F107" s="64"/>
      <c r="G107" s="64"/>
      <c r="H107" s="64"/>
      <c r="I107" s="64"/>
      <c r="J107" s="64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7"/>
      <c r="W107" s="375"/>
    </row>
    <row r="108" spans="2:23">
      <c r="B108" s="64"/>
      <c r="C108" s="375"/>
      <c r="D108" s="375"/>
      <c r="E108" s="375"/>
      <c r="F108" s="64"/>
      <c r="G108" s="64"/>
      <c r="H108" s="64"/>
      <c r="I108" s="64"/>
      <c r="J108" s="64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7"/>
      <c r="W108" s="375"/>
    </row>
    <row r="109" spans="2:23">
      <c r="B109" s="64"/>
      <c r="C109" s="375"/>
      <c r="D109" s="375"/>
      <c r="E109" s="375"/>
      <c r="F109" s="64"/>
      <c r="G109" s="64"/>
      <c r="H109" s="64"/>
      <c r="I109" s="64"/>
      <c r="J109" s="64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7"/>
      <c r="W109" s="375"/>
    </row>
    <row r="110" spans="2:23">
      <c r="B110" s="64"/>
      <c r="C110" s="375"/>
      <c r="D110" s="375"/>
      <c r="E110" s="375"/>
      <c r="F110" s="64"/>
      <c r="G110" s="64"/>
      <c r="H110" s="64"/>
      <c r="I110" s="64"/>
      <c r="J110" s="64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7"/>
      <c r="W110" s="375"/>
    </row>
    <row r="111" spans="2:23">
      <c r="B111" s="64"/>
      <c r="C111" s="375"/>
      <c r="D111" s="375"/>
      <c r="E111" s="375"/>
      <c r="F111" s="64"/>
      <c r="G111" s="64"/>
      <c r="H111" s="64"/>
      <c r="I111" s="64"/>
      <c r="J111" s="64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7"/>
      <c r="W111" s="375"/>
    </row>
    <row r="112" spans="2:23">
      <c r="B112" s="64"/>
      <c r="C112" s="375"/>
      <c r="D112" s="375"/>
      <c r="E112" s="375"/>
      <c r="F112" s="64"/>
      <c r="G112" s="64"/>
      <c r="H112" s="64"/>
      <c r="I112" s="64"/>
      <c r="J112" s="64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7"/>
      <c r="W112" s="375"/>
    </row>
    <row r="113" spans="1:23">
      <c r="B113" s="64"/>
      <c r="C113" s="375"/>
      <c r="D113" s="375"/>
      <c r="E113" s="375"/>
      <c r="F113" s="64"/>
      <c r="G113" s="64"/>
      <c r="H113" s="64"/>
      <c r="I113" s="64"/>
      <c r="J113" s="64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7"/>
      <c r="W113" s="375"/>
    </row>
    <row r="114" spans="1:23">
      <c r="B114" s="64"/>
      <c r="C114" s="375"/>
      <c r="D114" s="375"/>
      <c r="E114" s="375"/>
      <c r="F114" s="64"/>
      <c r="G114" s="64"/>
      <c r="H114" s="64"/>
      <c r="I114" s="64"/>
      <c r="J114" s="64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7"/>
      <c r="W114" s="375"/>
    </row>
    <row r="115" spans="1:23">
      <c r="B115" s="64"/>
      <c r="C115" s="375"/>
      <c r="D115" s="375"/>
      <c r="E115" s="375"/>
      <c r="F115" s="64"/>
      <c r="G115" s="64"/>
      <c r="H115" s="64"/>
      <c r="I115" s="64"/>
      <c r="J115" s="64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7"/>
      <c r="W115" s="375"/>
    </row>
    <row r="116" spans="1:23">
      <c r="B116" s="64"/>
      <c r="C116" s="375"/>
      <c r="D116" s="375"/>
      <c r="E116" s="375"/>
      <c r="F116" s="64"/>
      <c r="G116" s="64"/>
      <c r="H116" s="64"/>
      <c r="I116" s="64"/>
      <c r="J116" s="64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7"/>
      <c r="W116" s="375"/>
    </row>
    <row r="117" spans="1:23">
      <c r="B117" s="64"/>
      <c r="C117" s="375"/>
      <c r="D117" s="375"/>
      <c r="E117" s="375"/>
      <c r="F117" s="64"/>
      <c r="G117" s="64"/>
      <c r="H117" s="64"/>
      <c r="I117" s="64"/>
      <c r="J117" s="64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7"/>
      <c r="W117" s="375"/>
    </row>
    <row r="118" spans="1:23">
      <c r="B118" s="64"/>
      <c r="C118" s="375"/>
      <c r="D118" s="375"/>
      <c r="E118" s="375"/>
      <c r="F118" s="64"/>
      <c r="G118" s="64"/>
      <c r="H118" s="64"/>
      <c r="I118" s="64"/>
      <c r="J118" s="64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7"/>
      <c r="W118" s="375"/>
    </row>
    <row r="119" spans="1:23">
      <c r="B119" s="64"/>
      <c r="C119" s="375"/>
      <c r="D119" s="375"/>
      <c r="E119" s="375"/>
      <c r="F119" s="64"/>
      <c r="G119" s="64"/>
      <c r="H119" s="64"/>
      <c r="I119" s="64"/>
      <c r="J119" s="64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7"/>
      <c r="W119" s="375"/>
    </row>
    <row r="120" spans="1:23">
      <c r="B120" s="64"/>
      <c r="C120" s="375"/>
      <c r="D120" s="375"/>
      <c r="E120" s="375"/>
      <c r="F120" s="64"/>
      <c r="G120" s="64"/>
      <c r="H120" s="64"/>
      <c r="I120" s="64"/>
      <c r="J120" s="64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7"/>
      <c r="W120" s="375"/>
    </row>
    <row r="121" spans="1:23">
      <c r="B121" s="64"/>
      <c r="C121" s="375"/>
      <c r="D121" s="375"/>
      <c r="E121" s="375"/>
      <c r="F121" s="64"/>
      <c r="G121" s="64"/>
      <c r="H121" s="64"/>
      <c r="I121" s="64"/>
      <c r="J121" s="64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7"/>
      <c r="W121" s="375"/>
    </row>
    <row r="122" spans="1:23">
      <c r="B122" s="64"/>
      <c r="C122" s="375"/>
      <c r="D122" s="375"/>
      <c r="E122" s="375"/>
      <c r="F122" s="64"/>
      <c r="G122" s="64"/>
      <c r="H122" s="64"/>
      <c r="I122" s="64"/>
      <c r="J122" s="64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7"/>
      <c r="W122" s="375"/>
    </row>
    <row r="123" spans="1:23">
      <c r="B123" s="64"/>
      <c r="C123" s="375"/>
      <c r="D123" s="375"/>
      <c r="E123" s="375"/>
      <c r="F123" s="64"/>
      <c r="G123" s="64"/>
      <c r="H123" s="64"/>
      <c r="I123" s="64"/>
      <c r="J123" s="64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7"/>
      <c r="W123" s="375"/>
    </row>
    <row r="124" spans="1:23">
      <c r="A124" s="375"/>
      <c r="B124" s="64"/>
      <c r="C124" s="375"/>
      <c r="D124" s="375"/>
      <c r="E124" s="375"/>
      <c r="F124" s="64"/>
      <c r="G124" s="64"/>
      <c r="H124" s="64"/>
      <c r="I124" s="64"/>
      <c r="J124" s="64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7"/>
      <c r="W124" s="375"/>
    </row>
    <row r="125" spans="1:23">
      <c r="A125" s="375"/>
      <c r="B125" s="64"/>
      <c r="C125" s="375"/>
      <c r="D125" s="375"/>
      <c r="E125" s="375"/>
      <c r="F125" s="64"/>
      <c r="G125" s="64"/>
      <c r="H125" s="64"/>
      <c r="I125" s="64"/>
      <c r="J125" s="64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7"/>
      <c r="W125" s="375"/>
    </row>
    <row r="126" spans="1:23">
      <c r="A126" s="375"/>
      <c r="B126" s="64"/>
      <c r="C126" s="375"/>
      <c r="D126" s="375"/>
      <c r="E126" s="375"/>
      <c r="F126" s="64"/>
      <c r="G126" s="64"/>
      <c r="H126" s="64"/>
      <c r="I126" s="64"/>
      <c r="J126" s="64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7"/>
      <c r="W126" s="375"/>
    </row>
    <row r="127" spans="1:23">
      <c r="A127" s="375"/>
      <c r="B127" s="64"/>
      <c r="C127" s="375"/>
      <c r="D127" s="375"/>
      <c r="E127" s="375"/>
      <c r="F127" s="64"/>
      <c r="G127" s="64"/>
      <c r="H127" s="64"/>
      <c r="I127" s="64"/>
      <c r="J127" s="64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7"/>
      <c r="W127" s="375"/>
    </row>
    <row r="128" spans="1:23">
      <c r="A128" s="375"/>
      <c r="B128" s="64"/>
      <c r="C128" s="375"/>
      <c r="D128" s="375"/>
      <c r="E128" s="375"/>
      <c r="F128" s="64"/>
      <c r="G128" s="64"/>
      <c r="H128" s="64"/>
      <c r="I128" s="64"/>
      <c r="J128" s="64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7"/>
      <c r="W128" s="375"/>
    </row>
    <row r="129" spans="1:23">
      <c r="A129" s="375"/>
      <c r="B129" s="64"/>
      <c r="C129" s="375"/>
      <c r="D129" s="375"/>
      <c r="E129" s="375"/>
      <c r="F129" s="64"/>
      <c r="G129" s="64"/>
      <c r="H129" s="64"/>
      <c r="I129" s="64"/>
      <c r="J129" s="64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7"/>
      <c r="W129" s="375"/>
    </row>
    <row r="130" spans="1:23">
      <c r="A130" s="375"/>
      <c r="B130" s="64"/>
      <c r="C130" s="375"/>
      <c r="D130" s="375"/>
      <c r="E130" s="375"/>
      <c r="F130" s="64"/>
      <c r="G130" s="64"/>
      <c r="H130" s="64"/>
      <c r="I130" s="64"/>
      <c r="J130" s="64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7"/>
      <c r="W130" s="375"/>
    </row>
    <row r="131" spans="1:23">
      <c r="A131" s="375"/>
      <c r="B131" s="64"/>
      <c r="C131" s="375"/>
      <c r="D131" s="375"/>
      <c r="E131" s="375"/>
      <c r="F131" s="64"/>
      <c r="G131" s="64"/>
      <c r="H131" s="64"/>
      <c r="I131" s="64"/>
      <c r="J131" s="64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7"/>
      <c r="W131" s="375"/>
    </row>
    <row r="132" spans="1:23">
      <c r="A132" s="375"/>
      <c r="B132" s="64"/>
      <c r="C132" s="375"/>
      <c r="D132" s="375"/>
      <c r="E132" s="375"/>
      <c r="F132" s="64"/>
      <c r="G132" s="64"/>
      <c r="H132" s="64"/>
      <c r="I132" s="64"/>
      <c r="J132" s="64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7"/>
      <c r="W132" s="375"/>
    </row>
    <row r="133" spans="1:23">
      <c r="A133" s="375"/>
      <c r="B133" s="64"/>
      <c r="C133" s="375"/>
      <c r="D133" s="375"/>
      <c r="E133" s="375"/>
      <c r="F133" s="64"/>
      <c r="G133" s="64"/>
      <c r="H133" s="64"/>
      <c r="I133" s="64"/>
      <c r="J133" s="64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7"/>
      <c r="W133" s="375"/>
    </row>
    <row r="134" spans="1:23">
      <c r="A134" s="375"/>
      <c r="B134" s="64"/>
      <c r="C134" s="375"/>
      <c r="D134" s="375"/>
      <c r="E134" s="375"/>
      <c r="F134" s="64"/>
      <c r="G134" s="64"/>
      <c r="H134" s="64"/>
      <c r="I134" s="64"/>
      <c r="J134" s="64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7"/>
      <c r="W134" s="375"/>
    </row>
    <row r="135" spans="1:23">
      <c r="A135" s="375"/>
      <c r="B135" s="64"/>
      <c r="C135" s="375"/>
      <c r="D135" s="375"/>
      <c r="E135" s="375"/>
      <c r="F135" s="64"/>
      <c r="G135" s="64"/>
      <c r="H135" s="64"/>
      <c r="I135" s="64"/>
      <c r="J135" s="64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7"/>
      <c r="W135" s="375"/>
    </row>
    <row r="136" spans="1:23">
      <c r="A136" s="375"/>
      <c r="B136" s="64"/>
      <c r="C136" s="375"/>
      <c r="D136" s="375"/>
      <c r="E136" s="375"/>
      <c r="F136" s="64"/>
      <c r="G136" s="64"/>
      <c r="H136" s="64"/>
      <c r="I136" s="64"/>
      <c r="J136" s="64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7"/>
      <c r="W136" s="375"/>
    </row>
    <row r="137" spans="1:23">
      <c r="A137" s="375"/>
      <c r="B137" s="64"/>
      <c r="C137" s="375"/>
      <c r="D137" s="375"/>
      <c r="E137" s="375"/>
      <c r="F137" s="64"/>
      <c r="G137" s="64"/>
      <c r="H137" s="64"/>
      <c r="I137" s="64"/>
      <c r="J137" s="64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7"/>
      <c r="W137" s="375"/>
    </row>
    <row r="138" spans="1:23">
      <c r="A138" s="375"/>
      <c r="B138" s="64"/>
      <c r="C138" s="375"/>
      <c r="D138" s="375"/>
      <c r="E138" s="375"/>
      <c r="F138" s="64"/>
      <c r="G138" s="64"/>
      <c r="H138" s="64"/>
      <c r="I138" s="64"/>
      <c r="J138" s="64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7"/>
      <c r="W138" s="375"/>
    </row>
    <row r="139" spans="1:23">
      <c r="A139" s="375"/>
      <c r="B139" s="64"/>
      <c r="C139" s="375"/>
      <c r="D139" s="375"/>
      <c r="E139" s="375"/>
      <c r="F139" s="64"/>
      <c r="G139" s="64"/>
      <c r="H139" s="64"/>
      <c r="I139" s="64"/>
      <c r="J139" s="64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7"/>
      <c r="W139" s="375"/>
    </row>
    <row r="140" spans="1:23">
      <c r="A140" s="375"/>
      <c r="B140" s="64"/>
      <c r="C140" s="375"/>
      <c r="D140" s="375"/>
      <c r="E140" s="375"/>
      <c r="F140" s="64"/>
      <c r="G140" s="64"/>
      <c r="H140" s="64"/>
      <c r="I140" s="64"/>
      <c r="J140" s="64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7"/>
      <c r="W140" s="375"/>
    </row>
    <row r="141" spans="1:23">
      <c r="A141" s="375"/>
      <c r="B141" s="64"/>
      <c r="C141" s="375"/>
      <c r="D141" s="375"/>
      <c r="E141" s="375"/>
      <c r="F141" s="64"/>
      <c r="G141" s="64"/>
      <c r="H141" s="64"/>
      <c r="I141" s="64"/>
      <c r="J141" s="64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7"/>
      <c r="W141" s="375"/>
    </row>
    <row r="142" spans="1:23">
      <c r="A142" s="375"/>
      <c r="B142" s="64"/>
      <c r="C142" s="375"/>
      <c r="D142" s="375"/>
      <c r="E142" s="375"/>
      <c r="F142" s="64"/>
      <c r="G142" s="64"/>
      <c r="H142" s="64"/>
      <c r="I142" s="64"/>
      <c r="J142" s="64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7"/>
      <c r="W142" s="375"/>
    </row>
    <row r="143" spans="1:23">
      <c r="A143" s="375"/>
      <c r="B143" s="64"/>
      <c r="C143" s="375"/>
      <c r="D143" s="375"/>
      <c r="E143" s="375"/>
      <c r="F143" s="64"/>
      <c r="G143" s="64"/>
      <c r="H143" s="64"/>
      <c r="I143" s="64"/>
      <c r="J143" s="64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7"/>
      <c r="W143" s="375"/>
    </row>
    <row r="144" spans="1:23">
      <c r="A144" s="375"/>
      <c r="B144" s="64"/>
      <c r="C144" s="375"/>
      <c r="D144" s="375"/>
      <c r="E144" s="375"/>
      <c r="F144" s="64"/>
      <c r="G144" s="64"/>
      <c r="H144" s="64"/>
      <c r="I144" s="64"/>
      <c r="J144" s="64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7"/>
      <c r="W144" s="375"/>
    </row>
    <row r="145" spans="1:23">
      <c r="A145" s="375"/>
      <c r="B145" s="64"/>
      <c r="C145" s="375"/>
      <c r="D145" s="375"/>
      <c r="E145" s="375"/>
      <c r="F145" s="64"/>
      <c r="G145" s="64"/>
      <c r="H145" s="64"/>
      <c r="I145" s="64"/>
      <c r="J145" s="64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7"/>
      <c r="W145" s="375"/>
    </row>
    <row r="146" spans="1:23">
      <c r="A146" s="375"/>
      <c r="B146" s="64"/>
      <c r="C146" s="375"/>
      <c r="D146" s="375"/>
      <c r="E146" s="375"/>
      <c r="F146" s="64"/>
      <c r="G146" s="64"/>
      <c r="H146" s="64"/>
      <c r="I146" s="64"/>
      <c r="J146" s="64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7"/>
      <c r="W146" s="375"/>
    </row>
    <row r="147" spans="1:23">
      <c r="A147" s="375"/>
      <c r="B147" s="64"/>
      <c r="C147" s="375"/>
      <c r="D147" s="375"/>
      <c r="E147" s="375"/>
      <c r="F147" s="64"/>
      <c r="G147" s="64"/>
      <c r="H147" s="64"/>
      <c r="I147" s="64"/>
      <c r="J147" s="64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7"/>
      <c r="W147" s="375"/>
    </row>
    <row r="148" spans="1:23">
      <c r="A148" s="375"/>
      <c r="B148" s="64"/>
      <c r="C148" s="375"/>
      <c r="D148" s="375"/>
      <c r="E148" s="375"/>
      <c r="F148" s="64"/>
      <c r="G148" s="64"/>
      <c r="H148" s="64"/>
      <c r="I148" s="64"/>
      <c r="J148" s="64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7"/>
      <c r="W148" s="375"/>
    </row>
    <row r="149" spans="1:23">
      <c r="A149" s="375"/>
      <c r="B149" s="64"/>
      <c r="C149" s="375"/>
      <c r="D149" s="375"/>
      <c r="E149" s="375"/>
      <c r="F149" s="64"/>
      <c r="G149" s="64"/>
      <c r="H149" s="64"/>
      <c r="I149" s="64"/>
      <c r="J149" s="64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7"/>
      <c r="W149" s="375"/>
    </row>
    <row r="150" spans="1:23">
      <c r="A150" s="375"/>
      <c r="B150" s="64"/>
      <c r="C150" s="375"/>
      <c r="D150" s="375"/>
      <c r="E150" s="375"/>
      <c r="F150" s="64"/>
      <c r="G150" s="64"/>
      <c r="H150" s="64"/>
      <c r="I150" s="64"/>
      <c r="J150" s="64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7"/>
      <c r="W150" s="375"/>
    </row>
    <row r="151" spans="1:23">
      <c r="A151" s="375"/>
      <c r="B151" s="64"/>
      <c r="C151" s="375"/>
      <c r="D151" s="375"/>
      <c r="E151" s="375"/>
      <c r="F151" s="64"/>
      <c r="G151" s="64"/>
      <c r="H151" s="64"/>
      <c r="I151" s="64"/>
      <c r="J151" s="64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7"/>
      <c r="W151" s="375"/>
    </row>
    <row r="152" spans="1:23">
      <c r="A152" s="375"/>
      <c r="B152" s="64"/>
      <c r="C152" s="375"/>
      <c r="D152" s="375"/>
      <c r="E152" s="375"/>
      <c r="F152" s="64"/>
      <c r="G152" s="64"/>
      <c r="H152" s="64"/>
      <c r="I152" s="64"/>
      <c r="J152" s="64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7"/>
      <c r="W152" s="375"/>
    </row>
    <row r="153" spans="1:23">
      <c r="A153" s="375"/>
      <c r="B153" s="64"/>
      <c r="C153" s="375"/>
      <c r="D153" s="375"/>
      <c r="E153" s="375"/>
      <c r="F153" s="64"/>
      <c r="G153" s="64"/>
      <c r="H153" s="64"/>
      <c r="I153" s="64"/>
      <c r="J153" s="64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7"/>
      <c r="W153" s="375"/>
    </row>
    <row r="154" spans="1:23">
      <c r="A154" s="375"/>
      <c r="B154" s="64"/>
      <c r="C154" s="375"/>
      <c r="D154" s="375"/>
      <c r="E154" s="375"/>
      <c r="F154" s="64"/>
      <c r="G154" s="64"/>
      <c r="H154" s="64"/>
      <c r="I154" s="64"/>
      <c r="J154" s="64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7"/>
      <c r="W154" s="375"/>
    </row>
    <row r="155" spans="1:23">
      <c r="A155" s="375"/>
      <c r="B155" s="64"/>
      <c r="C155" s="375"/>
      <c r="D155" s="375"/>
      <c r="E155" s="375"/>
      <c r="F155" s="64"/>
      <c r="G155" s="64"/>
      <c r="H155" s="64"/>
      <c r="I155" s="64"/>
      <c r="J155" s="64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7"/>
      <c r="W155" s="375"/>
    </row>
    <row r="156" spans="1:23">
      <c r="A156" s="375"/>
      <c r="B156" s="64"/>
      <c r="C156" s="375"/>
      <c r="D156" s="375"/>
      <c r="E156" s="375"/>
      <c r="F156" s="64"/>
      <c r="G156" s="64"/>
      <c r="H156" s="64"/>
      <c r="I156" s="64"/>
      <c r="J156" s="64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7"/>
      <c r="W156" s="375"/>
    </row>
    <row r="157" spans="1:23">
      <c r="A157" s="375"/>
      <c r="B157" s="64"/>
      <c r="C157" s="375"/>
      <c r="D157" s="375"/>
      <c r="E157" s="375"/>
      <c r="F157" s="64"/>
      <c r="G157" s="64"/>
      <c r="H157" s="64"/>
      <c r="I157" s="64"/>
      <c r="J157" s="64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7"/>
      <c r="W157" s="375"/>
    </row>
    <row r="158" spans="1:23">
      <c r="A158" s="375"/>
      <c r="B158" s="64"/>
      <c r="C158" s="375"/>
      <c r="D158" s="375"/>
      <c r="E158" s="375"/>
      <c r="F158" s="64"/>
      <c r="G158" s="64"/>
      <c r="H158" s="64"/>
      <c r="I158" s="64"/>
      <c r="J158" s="64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7"/>
      <c r="W158" s="375"/>
    </row>
    <row r="159" spans="1:23">
      <c r="A159" s="375"/>
      <c r="B159" s="64"/>
      <c r="C159" s="375"/>
      <c r="D159" s="375"/>
      <c r="E159" s="375"/>
      <c r="F159" s="64"/>
      <c r="G159" s="64"/>
      <c r="H159" s="64"/>
      <c r="I159" s="64"/>
      <c r="J159" s="64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7"/>
      <c r="W159" s="375"/>
    </row>
    <row r="160" spans="1:23">
      <c r="A160" s="375"/>
      <c r="B160" s="64"/>
      <c r="C160" s="375"/>
      <c r="D160" s="375"/>
      <c r="E160" s="375"/>
      <c r="F160" s="64"/>
      <c r="G160" s="64"/>
      <c r="H160" s="64"/>
      <c r="I160" s="64"/>
      <c r="J160" s="64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7"/>
      <c r="W160" s="375"/>
    </row>
    <row r="161" spans="1:23">
      <c r="A161" s="375"/>
      <c r="B161" s="64"/>
      <c r="C161" s="375"/>
      <c r="D161" s="375"/>
      <c r="E161" s="375"/>
      <c r="F161" s="64"/>
      <c r="G161" s="64"/>
      <c r="H161" s="64"/>
      <c r="I161" s="64"/>
      <c r="J161" s="64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7"/>
      <c r="W161" s="375"/>
    </row>
    <row r="162" spans="1:23">
      <c r="A162" s="375"/>
      <c r="B162" s="64"/>
      <c r="C162" s="375"/>
      <c r="D162" s="375"/>
      <c r="E162" s="375"/>
      <c r="F162" s="64"/>
      <c r="G162" s="64"/>
      <c r="H162" s="64"/>
      <c r="I162" s="64"/>
      <c r="J162" s="64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7"/>
      <c r="W162" s="375"/>
    </row>
    <row r="163" spans="1:23">
      <c r="A163" s="375"/>
      <c r="B163" s="64"/>
      <c r="C163" s="375"/>
      <c r="D163" s="375"/>
      <c r="E163" s="375"/>
      <c r="F163" s="64"/>
      <c r="G163" s="64"/>
      <c r="H163" s="64"/>
      <c r="I163" s="64"/>
      <c r="J163" s="64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7"/>
      <c r="W163" s="375"/>
    </row>
    <row r="164" spans="1:23">
      <c r="A164" s="375"/>
      <c r="B164" s="64"/>
      <c r="C164" s="375"/>
      <c r="D164" s="375"/>
      <c r="E164" s="375"/>
      <c r="F164" s="64"/>
      <c r="G164" s="64"/>
      <c r="H164" s="64"/>
      <c r="I164" s="64"/>
      <c r="J164" s="64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7"/>
      <c r="W164" s="375"/>
    </row>
    <row r="165" spans="1:23">
      <c r="A165" s="375"/>
      <c r="B165" s="64"/>
      <c r="C165" s="375"/>
      <c r="D165" s="375"/>
      <c r="E165" s="375"/>
      <c r="F165" s="64"/>
      <c r="G165" s="64"/>
      <c r="H165" s="64"/>
      <c r="I165" s="64"/>
      <c r="J165" s="64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7"/>
      <c r="W165" s="375"/>
    </row>
    <row r="166" spans="1:23">
      <c r="A166" s="375"/>
      <c r="B166" s="64"/>
      <c r="C166" s="375"/>
      <c r="D166" s="375"/>
      <c r="E166" s="375"/>
      <c r="F166" s="64"/>
      <c r="G166" s="64"/>
      <c r="H166" s="64"/>
      <c r="I166" s="64"/>
      <c r="J166" s="64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7"/>
      <c r="W166" s="375"/>
    </row>
    <row r="167" spans="1:23">
      <c r="A167" s="375"/>
      <c r="B167" s="64"/>
      <c r="C167" s="375"/>
      <c r="D167" s="375"/>
      <c r="E167" s="375"/>
      <c r="F167" s="64"/>
      <c r="G167" s="64"/>
      <c r="H167" s="64"/>
      <c r="I167" s="64"/>
      <c r="J167" s="64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7"/>
      <c r="W167" s="375"/>
    </row>
    <row r="168" spans="1:23">
      <c r="A168" s="375"/>
      <c r="B168" s="64"/>
      <c r="C168" s="375"/>
      <c r="D168" s="375"/>
      <c r="E168" s="375"/>
      <c r="F168" s="64"/>
      <c r="G168" s="64"/>
      <c r="H168" s="64"/>
      <c r="I168" s="64"/>
      <c r="J168" s="64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7"/>
      <c r="W168" s="375"/>
    </row>
    <row r="169" spans="1:23">
      <c r="A169" s="375"/>
      <c r="B169" s="64"/>
      <c r="C169" s="375"/>
      <c r="D169" s="375"/>
      <c r="E169" s="375"/>
      <c r="F169" s="64"/>
      <c r="G169" s="64"/>
      <c r="H169" s="64"/>
      <c r="I169" s="64"/>
      <c r="J169" s="64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7"/>
      <c r="W169" s="375"/>
    </row>
    <row r="170" spans="1:23">
      <c r="A170" s="375"/>
      <c r="B170" s="64"/>
      <c r="C170" s="375"/>
      <c r="D170" s="375"/>
      <c r="E170" s="375"/>
      <c r="F170" s="64"/>
      <c r="G170" s="64"/>
      <c r="H170" s="64"/>
      <c r="I170" s="64"/>
      <c r="J170" s="64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7"/>
      <c r="W170" s="375"/>
    </row>
    <row r="171" spans="1:23">
      <c r="A171" s="375"/>
      <c r="B171" s="64"/>
      <c r="C171" s="375"/>
      <c r="D171" s="375"/>
      <c r="E171" s="375"/>
      <c r="F171" s="64"/>
      <c r="G171" s="64"/>
      <c r="H171" s="64"/>
      <c r="I171" s="64"/>
      <c r="J171" s="64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7"/>
      <c r="W171" s="375"/>
    </row>
    <row r="172" spans="1:23">
      <c r="A172" s="375"/>
      <c r="B172" s="64"/>
      <c r="C172" s="375"/>
      <c r="D172" s="375"/>
      <c r="E172" s="375"/>
      <c r="F172" s="64"/>
      <c r="G172" s="64"/>
      <c r="H172" s="64"/>
      <c r="I172" s="64"/>
      <c r="J172" s="64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7"/>
      <c r="W172" s="375"/>
    </row>
    <row r="173" spans="1:23">
      <c r="A173" s="375"/>
      <c r="B173" s="64"/>
      <c r="C173" s="375"/>
      <c r="D173" s="375"/>
      <c r="E173" s="375"/>
      <c r="F173" s="64"/>
      <c r="G173" s="64"/>
      <c r="H173" s="64"/>
      <c r="I173" s="64"/>
      <c r="J173" s="64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7"/>
      <c r="W173" s="375"/>
    </row>
    <row r="174" spans="1:23">
      <c r="A174" s="375"/>
      <c r="B174" s="64"/>
      <c r="C174" s="375"/>
      <c r="D174" s="375"/>
      <c r="E174" s="375"/>
      <c r="F174" s="64"/>
      <c r="G174" s="64"/>
      <c r="H174" s="64"/>
      <c r="I174" s="64"/>
      <c r="J174" s="64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7"/>
      <c r="W174" s="375"/>
    </row>
    <row r="175" spans="1:23">
      <c r="A175" s="375"/>
      <c r="B175" s="64"/>
      <c r="C175" s="375"/>
      <c r="D175" s="375"/>
      <c r="E175" s="375"/>
      <c r="F175" s="64"/>
      <c r="G175" s="64"/>
      <c r="H175" s="64"/>
      <c r="I175" s="64"/>
      <c r="J175" s="64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7"/>
      <c r="W175" s="375"/>
    </row>
    <row r="176" spans="1:23">
      <c r="A176" s="375"/>
      <c r="B176" s="64"/>
      <c r="C176" s="375"/>
      <c r="D176" s="375"/>
      <c r="E176" s="375"/>
      <c r="F176" s="64"/>
      <c r="G176" s="64"/>
      <c r="H176" s="64"/>
      <c r="I176" s="64"/>
      <c r="J176" s="64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7"/>
      <c r="W176" s="375"/>
    </row>
    <row r="177" spans="1:23">
      <c r="A177" s="375"/>
      <c r="B177" s="64"/>
      <c r="C177" s="375"/>
      <c r="D177" s="375"/>
      <c r="E177" s="375"/>
      <c r="F177" s="64"/>
      <c r="G177" s="64"/>
      <c r="H177" s="64"/>
      <c r="I177" s="64"/>
      <c r="J177" s="64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7"/>
      <c r="W177" s="375"/>
    </row>
    <row r="178" spans="1:23">
      <c r="A178" s="375"/>
      <c r="B178" s="64"/>
      <c r="C178" s="375"/>
      <c r="D178" s="375"/>
      <c r="E178" s="375"/>
      <c r="F178" s="64"/>
      <c r="G178" s="64"/>
      <c r="H178" s="64"/>
      <c r="I178" s="64"/>
      <c r="J178" s="64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7"/>
      <c r="W178" s="375"/>
    </row>
    <row r="179" spans="1:23">
      <c r="A179" s="375"/>
      <c r="B179" s="64"/>
      <c r="C179" s="375"/>
      <c r="D179" s="375"/>
      <c r="E179" s="375"/>
      <c r="F179" s="64"/>
      <c r="G179" s="64"/>
      <c r="H179" s="64"/>
      <c r="I179" s="64"/>
      <c r="J179" s="64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7"/>
      <c r="W179" s="375"/>
    </row>
  </sheetData>
  <dataConsolidate/>
  <mergeCells count="26">
    <mergeCell ref="Y79:AD79"/>
    <mergeCell ref="AG72:AL72"/>
    <mergeCell ref="A53:A54"/>
    <mergeCell ref="A55:A56"/>
    <mergeCell ref="Y59:AD59"/>
    <mergeCell ref="Y24:Z24"/>
    <mergeCell ref="A26:A27"/>
    <mergeCell ref="V26:V27"/>
    <mergeCell ref="W26:W27"/>
    <mergeCell ref="A33:A35"/>
    <mergeCell ref="A51:A52"/>
    <mergeCell ref="A28:A32"/>
    <mergeCell ref="V28:V32"/>
    <mergeCell ref="W28:W32"/>
    <mergeCell ref="A15:A20"/>
    <mergeCell ref="A21:A24"/>
    <mergeCell ref="A49:A50"/>
    <mergeCell ref="A36:A37"/>
    <mergeCell ref="A39:A40"/>
    <mergeCell ref="A41:A43"/>
    <mergeCell ref="A45:A48"/>
    <mergeCell ref="C1:K1"/>
    <mergeCell ref="M1:U1"/>
    <mergeCell ref="A4:A5"/>
    <mergeCell ref="A6:A8"/>
    <mergeCell ref="A9:A13"/>
  </mergeCells>
  <conditionalFormatting sqref="U3:U56">
    <cfRule type="containsText" dxfId="28" priority="7" operator="containsText" text="Yes">
      <formula>NOT(ISERROR(SEARCH("Yes",U3)))</formula>
    </cfRule>
  </conditionalFormatting>
  <conditionalFormatting sqref="T3:T56">
    <cfRule type="cellIs" dxfId="27" priority="5" operator="lessThan">
      <formula>0</formula>
    </cfRule>
  </conditionalFormatting>
  <conditionalFormatting sqref="Z61:AE72">
    <cfRule type="cellIs" dxfId="26" priority="4" operator="greaterThan">
      <formula>0</formula>
    </cfRule>
  </conditionalFormatting>
  <conditionalFormatting sqref="AA81:AE92">
    <cfRule type="cellIs" dxfId="25" priority="3" operator="greaterThan">
      <formula>0</formula>
    </cfRule>
  </conditionalFormatting>
  <conditionalFormatting sqref="Z81:Z92">
    <cfRule type="cellIs" dxfId="24" priority="2" operator="greaterThan">
      <formula>0</formula>
    </cfRule>
  </conditionalFormatting>
  <conditionalFormatting sqref="AH74:AM85">
    <cfRule type="cellIs" dxfId="2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W56" zoomScale="80" zoomScaleNormal="80" workbookViewId="0">
      <selection activeCell="AG73" sqref="AG7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6.5703125" style="59" customWidth="1"/>
    <col min="6" max="10" width="23.7109375" style="61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1.28515625" style="59" customWidth="1"/>
    <col min="20" max="20" width="23.28515625" style="59" customWidth="1"/>
    <col min="21" max="21" width="17.5703125" style="62" customWidth="1"/>
    <col min="22" max="22" width="33.8554687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23.7109375" style="5" customWidth="1"/>
    <col min="27" max="27" width="21.5703125" style="5" customWidth="1"/>
    <col min="28" max="32" width="9" style="5"/>
    <col min="33" max="33" width="15.140625" style="5" customWidth="1"/>
    <col min="34" max="16384" width="9" style="5"/>
  </cols>
  <sheetData>
    <row r="1" spans="1:24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73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4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377"/>
      <c r="W2" s="375"/>
    </row>
    <row r="3" spans="1:24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377"/>
      <c r="W3" s="377"/>
    </row>
    <row r="4" spans="1:24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377"/>
      <c r="W4" s="377"/>
    </row>
    <row r="5" spans="1:24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376" t="s">
        <v>439</v>
      </c>
      <c r="W5" s="376" t="s">
        <v>454</v>
      </c>
    </row>
    <row r="6" spans="1:24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98"/>
      <c r="W6" s="197"/>
    </row>
    <row r="7" spans="1:24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221" t="s">
        <v>351</v>
      </c>
      <c r="W7" s="209" t="s">
        <v>351</v>
      </c>
    </row>
    <row r="8" spans="1:24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220"/>
      <c r="W8" s="209"/>
    </row>
    <row r="9" spans="1:24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07"/>
      <c r="W9" s="207"/>
      <c r="X9" s="213"/>
    </row>
    <row r="10" spans="1:24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377"/>
      <c r="W10" s="377"/>
      <c r="X10" s="213"/>
    </row>
    <row r="11" spans="1:24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377"/>
      <c r="W11" s="377"/>
      <c r="X11" s="213"/>
    </row>
    <row r="12" spans="1:24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377"/>
      <c r="W12" s="377"/>
      <c r="X12" s="213"/>
    </row>
    <row r="13" spans="1:24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377"/>
      <c r="W13" s="377"/>
      <c r="X13" s="213"/>
    </row>
    <row r="14" spans="1:24" ht="13.5" thickBot="1">
      <c r="A14" s="372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377"/>
      <c r="W14" s="377"/>
      <c r="X14" s="213"/>
    </row>
    <row r="15" spans="1:24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377"/>
      <c r="W15" s="377"/>
      <c r="X15" s="213"/>
    </row>
    <row r="16" spans="1:24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377"/>
      <c r="W16" s="377"/>
      <c r="X16" s="213"/>
    </row>
    <row r="17" spans="1:29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377"/>
      <c r="W17" s="377"/>
      <c r="X17" s="213"/>
    </row>
    <row r="18" spans="1:29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377"/>
      <c r="W18" s="377"/>
      <c r="X18" s="213"/>
    </row>
    <row r="19" spans="1:29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377"/>
      <c r="W19" s="377"/>
      <c r="X19" s="213"/>
    </row>
    <row r="20" spans="1:29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377"/>
      <c r="W20" s="377"/>
      <c r="X20" s="213"/>
    </row>
    <row r="21" spans="1:29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377"/>
      <c r="W21" s="377"/>
      <c r="X21" s="213"/>
    </row>
    <row r="22" spans="1:29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377"/>
      <c r="W22" s="377"/>
      <c r="X22" s="213"/>
    </row>
    <row r="23" spans="1:29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377"/>
      <c r="W23" s="377"/>
      <c r="X23" s="213"/>
      <c r="Y23" s="375"/>
      <c r="Z23" s="58"/>
    </row>
    <row r="24" spans="1:29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377"/>
      <c r="W24" s="377"/>
      <c r="Y24" s="533" t="s">
        <v>453</v>
      </c>
      <c r="Z24" s="534"/>
      <c r="AA24" s="378"/>
    </row>
    <row r="25" spans="1:29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376" t="s">
        <v>439</v>
      </c>
      <c r="W25" s="376" t="s">
        <v>454</v>
      </c>
      <c r="Y25" s="88"/>
      <c r="Z25" s="375"/>
      <c r="AA25" s="97"/>
    </row>
    <row r="26" spans="1:29" ht="15" customHeight="1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530" t="s">
        <v>351</v>
      </c>
      <c r="W26" s="528" t="s">
        <v>351</v>
      </c>
      <c r="Y26" s="243" t="s">
        <v>389</v>
      </c>
      <c r="Z26" s="350" t="s">
        <v>388</v>
      </c>
      <c r="AA26" s="244" t="s">
        <v>387</v>
      </c>
    </row>
    <row r="27" spans="1:29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531"/>
      <c r="W27" s="529"/>
      <c r="Y27" s="126"/>
      <c r="Z27" s="125"/>
      <c r="AA27" s="97">
        <f>(Z27/200)*100</f>
        <v>0</v>
      </c>
    </row>
    <row r="28" spans="1:29" ht="15" customHeight="1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530" t="s">
        <v>351</v>
      </c>
      <c r="W28" s="535" t="s">
        <v>351</v>
      </c>
      <c r="Y28" s="126"/>
      <c r="Z28" s="125"/>
      <c r="AA28" s="97">
        <f>(Z28/150)*100</f>
        <v>0</v>
      </c>
    </row>
    <row r="29" spans="1:29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532"/>
      <c r="W29" s="536"/>
      <c r="Y29" s="126"/>
      <c r="Z29" s="125"/>
      <c r="AA29" s="97"/>
    </row>
    <row r="30" spans="1:29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532"/>
      <c r="W30" s="536"/>
    </row>
    <row r="31" spans="1:29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532"/>
      <c r="W31" s="536"/>
      <c r="AB31" s="375"/>
      <c r="AC31" s="17"/>
    </row>
    <row r="32" spans="1:29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531"/>
      <c r="W32" s="537"/>
      <c r="Z32" s="5">
        <v>0</v>
      </c>
      <c r="AA32" s="375"/>
      <c r="AB32" s="375"/>
    </row>
    <row r="33" spans="1:28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207"/>
      <c r="W33" s="207"/>
      <c r="X33" s="213"/>
      <c r="Y33" s="154" t="s">
        <v>369</v>
      </c>
      <c r="Z33" s="218">
        <f>SUM(Z27:Z32)</f>
        <v>0</v>
      </c>
      <c r="AA33" s="375"/>
    </row>
    <row r="34" spans="1:28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377"/>
      <c r="W34" s="377"/>
      <c r="X34" s="213"/>
      <c r="Y34" s="217" t="s">
        <v>365</v>
      </c>
      <c r="Z34" s="216"/>
    </row>
    <row r="35" spans="1:28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377"/>
      <c r="W35" s="377"/>
      <c r="X35" s="213"/>
      <c r="AB35" s="375"/>
    </row>
    <row r="36" spans="1:28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377"/>
      <c r="W36" s="377"/>
      <c r="X36" s="213"/>
    </row>
    <row r="37" spans="1:28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215"/>
      <c r="W37" s="215"/>
      <c r="X37" s="213"/>
    </row>
    <row r="38" spans="1:28" ht="13.5" thickBot="1">
      <c r="A38" s="372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201" t="s">
        <v>351</v>
      </c>
      <c r="W38" s="200" t="s">
        <v>351</v>
      </c>
    </row>
    <row r="39" spans="1:28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98" t="s">
        <v>351</v>
      </c>
      <c r="W39" s="197" t="s">
        <v>351</v>
      </c>
    </row>
    <row r="40" spans="1:28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96"/>
      <c r="W40" s="195"/>
    </row>
    <row r="41" spans="1:28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V41" s="207"/>
      <c r="W41" s="207"/>
    </row>
    <row r="42" spans="1:28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V42" s="377"/>
      <c r="W42" s="377"/>
      <c r="X42" s="213"/>
    </row>
    <row r="43" spans="1:28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V43" s="377"/>
      <c r="W43" s="377"/>
      <c r="X43" s="213"/>
    </row>
    <row r="44" spans="1:28" ht="13.5" thickBot="1">
      <c r="A44" s="372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V44" s="377"/>
      <c r="W44" s="377"/>
      <c r="X44" s="213"/>
    </row>
    <row r="45" spans="1:28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V45" s="377"/>
      <c r="W45" s="377"/>
      <c r="X45" s="213"/>
    </row>
    <row r="46" spans="1:28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V46" s="377"/>
      <c r="W46" s="377"/>
      <c r="X46" s="213"/>
    </row>
    <row r="47" spans="1:28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V47" s="377"/>
      <c r="W47" s="377"/>
      <c r="X47" s="213"/>
    </row>
    <row r="48" spans="1:28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V48" s="377"/>
      <c r="W48" s="377"/>
      <c r="X48" s="213"/>
    </row>
    <row r="49" spans="1:35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V49" s="377"/>
      <c r="W49" s="377"/>
      <c r="X49" s="213"/>
    </row>
    <row r="50" spans="1:35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V50" s="377"/>
      <c r="W50" s="377"/>
      <c r="X50" s="213"/>
    </row>
    <row r="51" spans="1:35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V51" s="377"/>
      <c r="W51" s="377"/>
      <c r="X51" s="213"/>
    </row>
    <row r="52" spans="1:35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V52" s="377"/>
      <c r="W52" s="377"/>
      <c r="X52" s="213"/>
    </row>
    <row r="53" spans="1:35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V53" s="377"/>
      <c r="W53" s="377"/>
      <c r="X53" s="213"/>
    </row>
    <row r="54" spans="1:35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V54" s="377"/>
      <c r="W54" s="377"/>
      <c r="X54" s="213"/>
    </row>
    <row r="55" spans="1:35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V55" s="377"/>
      <c r="W55" s="377"/>
      <c r="X55" s="213"/>
    </row>
    <row r="56" spans="1:35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V56" s="377"/>
      <c r="W56" s="377"/>
      <c r="X56" s="213"/>
    </row>
    <row r="57" spans="1:35">
      <c r="A57" s="375"/>
      <c r="B57" s="64"/>
      <c r="C57" s="375"/>
      <c r="D57" s="375" t="s">
        <v>369</v>
      </c>
      <c r="E57" s="375"/>
      <c r="F57" s="64"/>
      <c r="G57" s="64"/>
      <c r="H57" s="64"/>
      <c r="I57" s="64"/>
      <c r="J57" s="64"/>
      <c r="K57" s="375"/>
      <c r="L57" s="375"/>
      <c r="M57" s="375"/>
      <c r="N57" s="375"/>
      <c r="O57" s="375"/>
      <c r="P57" s="375"/>
      <c r="Q57" s="375"/>
      <c r="R57" s="375"/>
      <c r="S57" s="375"/>
      <c r="T57" s="375"/>
      <c r="U57" s="375"/>
      <c r="V57" s="377"/>
      <c r="W57" s="377"/>
    </row>
    <row r="58" spans="1:35">
      <c r="A58" s="375"/>
      <c r="B58" s="64"/>
      <c r="C58" s="375"/>
      <c r="D58" s="375"/>
      <c r="E58" s="375"/>
      <c r="F58" s="64"/>
      <c r="G58" s="64"/>
      <c r="H58" s="64"/>
      <c r="I58" s="64"/>
      <c r="J58" s="64"/>
      <c r="K58" s="375"/>
      <c r="L58" s="375"/>
      <c r="M58" s="375"/>
      <c r="N58" s="375"/>
      <c r="O58" s="375"/>
      <c r="P58" s="375"/>
      <c r="Q58" s="375"/>
      <c r="R58" s="375"/>
      <c r="S58" s="375"/>
      <c r="T58" s="375"/>
      <c r="U58" s="375"/>
      <c r="V58" s="377"/>
      <c r="W58" s="377"/>
    </row>
    <row r="59" spans="1:35">
      <c r="A59" s="375"/>
      <c r="B59" s="64"/>
      <c r="C59" s="375"/>
      <c r="D59" s="375"/>
      <c r="E59" s="375"/>
      <c r="F59" s="64"/>
      <c r="G59" s="64"/>
      <c r="H59" s="64"/>
      <c r="I59" s="64"/>
      <c r="J59" s="64"/>
      <c r="K59" s="375"/>
      <c r="L59" s="375"/>
      <c r="M59" s="375"/>
      <c r="N59" s="375"/>
      <c r="O59" s="375"/>
      <c r="P59" s="375"/>
      <c r="Q59" s="375"/>
      <c r="R59" s="375"/>
      <c r="S59" s="375"/>
      <c r="T59" s="375"/>
      <c r="U59" s="375"/>
      <c r="V59" s="377"/>
      <c r="W59" s="375"/>
      <c r="Y59" s="497" t="s">
        <v>570</v>
      </c>
      <c r="Z59" s="498"/>
      <c r="AA59" s="498"/>
      <c r="AB59" s="498"/>
      <c r="AC59" s="498"/>
      <c r="AD59" s="499"/>
      <c r="AE59" s="155"/>
    </row>
    <row r="60" spans="1:35">
      <c r="A60" s="375"/>
      <c r="B60" s="64"/>
      <c r="C60" s="375"/>
      <c r="D60" s="375"/>
      <c r="E60" s="375"/>
      <c r="F60" s="64"/>
      <c r="G60" s="64"/>
      <c r="H60" s="64"/>
      <c r="I60" s="64"/>
      <c r="J60" s="64"/>
      <c r="K60" s="375"/>
      <c r="L60" s="375"/>
      <c r="M60" s="375"/>
      <c r="N60" s="375"/>
      <c r="O60" s="375"/>
      <c r="P60" s="375"/>
      <c r="Q60" s="375"/>
      <c r="R60" s="375"/>
      <c r="S60" s="375"/>
      <c r="T60" s="375"/>
      <c r="U60" s="375"/>
      <c r="V60" s="377"/>
      <c r="W60" s="375"/>
      <c r="Y60" s="355" t="s">
        <v>484</v>
      </c>
      <c r="Z60" s="357" t="s">
        <v>485</v>
      </c>
      <c r="AA60" s="357" t="s">
        <v>486</v>
      </c>
      <c r="AB60" s="357" t="s">
        <v>487</v>
      </c>
      <c r="AC60" s="357" t="s">
        <v>488</v>
      </c>
      <c r="AD60" s="358" t="s">
        <v>489</v>
      </c>
      <c r="AE60" s="270" t="s">
        <v>416</v>
      </c>
    </row>
    <row r="61" spans="1:35">
      <c r="A61" s="375"/>
      <c r="B61" s="64"/>
      <c r="C61" s="375"/>
      <c r="D61" s="375"/>
      <c r="E61" s="375"/>
      <c r="F61" s="64"/>
      <c r="G61" s="64"/>
      <c r="H61" s="64"/>
      <c r="I61" s="64"/>
      <c r="J61" s="64"/>
      <c r="K61" s="375"/>
      <c r="L61" s="375"/>
      <c r="M61" s="375"/>
      <c r="N61" s="375"/>
      <c r="O61" s="375"/>
      <c r="P61" s="375"/>
      <c r="Q61" s="375"/>
      <c r="R61" s="375"/>
      <c r="S61" s="375"/>
      <c r="T61" s="375"/>
      <c r="U61" s="375"/>
      <c r="V61" s="377"/>
      <c r="W61" s="375"/>
      <c r="Y61" s="60" t="s">
        <v>84</v>
      </c>
      <c r="Z61" s="359">
        <v>0</v>
      </c>
      <c r="AA61" s="359">
        <v>0</v>
      </c>
      <c r="AB61" s="360">
        <v>0</v>
      </c>
      <c r="AC61" s="360">
        <v>0</v>
      </c>
      <c r="AD61" s="374">
        <v>0</v>
      </c>
      <c r="AE61" s="361">
        <f>SUM(Z61:AD61)</f>
        <v>0</v>
      </c>
    </row>
    <row r="62" spans="1:35">
      <c r="A62" s="375"/>
      <c r="B62" s="65"/>
      <c r="C62" s="375"/>
      <c r="D62" s="375"/>
      <c r="E62" s="375"/>
      <c r="F62" s="64"/>
      <c r="G62" s="64"/>
      <c r="H62" s="64"/>
      <c r="I62" s="64"/>
      <c r="J62" s="64"/>
      <c r="K62" s="375"/>
      <c r="L62" s="375"/>
      <c r="M62" s="375"/>
      <c r="N62" s="375"/>
      <c r="O62" s="375"/>
      <c r="P62" s="375"/>
      <c r="Q62" s="375"/>
      <c r="R62" s="375"/>
      <c r="S62" s="375"/>
      <c r="T62" s="375"/>
      <c r="U62" s="375"/>
      <c r="V62" s="377"/>
      <c r="W62" s="375"/>
      <c r="Y62" s="60" t="s">
        <v>85</v>
      </c>
      <c r="Z62" s="359">
        <v>0</v>
      </c>
      <c r="AA62" s="359">
        <v>0</v>
      </c>
      <c r="AB62" s="359">
        <v>0</v>
      </c>
      <c r="AC62" s="359">
        <v>0</v>
      </c>
      <c r="AD62" s="374">
        <v>0</v>
      </c>
      <c r="AE62" s="60">
        <f t="shared" ref="AE62:AE72" si="22">SUM(Z62:AD62)</f>
        <v>0</v>
      </c>
    </row>
    <row r="63" spans="1:35">
      <c r="A63" s="375"/>
      <c r="B63" s="65"/>
      <c r="C63" s="375"/>
      <c r="D63" s="375"/>
      <c r="E63" s="375"/>
      <c r="F63" s="64"/>
      <c r="G63" s="64"/>
      <c r="H63" s="64"/>
      <c r="I63" s="64"/>
      <c r="J63" s="64"/>
      <c r="K63" s="375"/>
      <c r="L63" s="375"/>
      <c r="M63" s="375"/>
      <c r="N63" s="375"/>
      <c r="O63" s="375"/>
      <c r="P63" s="375"/>
      <c r="Q63" s="375"/>
      <c r="R63" s="375"/>
      <c r="S63" s="375"/>
      <c r="T63" s="375"/>
      <c r="U63" s="375"/>
      <c r="V63" s="377"/>
      <c r="W63" s="375"/>
      <c r="Y63" s="60" t="s">
        <v>86</v>
      </c>
      <c r="Z63" s="359">
        <v>0</v>
      </c>
      <c r="AA63" s="359">
        <v>0</v>
      </c>
      <c r="AB63" s="359">
        <v>0</v>
      </c>
      <c r="AC63" s="359">
        <v>0</v>
      </c>
      <c r="AD63" s="374">
        <v>0</v>
      </c>
      <c r="AE63" s="60">
        <f t="shared" si="22"/>
        <v>0</v>
      </c>
      <c r="AG63" s="471" t="s">
        <v>490</v>
      </c>
      <c r="AH63" s="471" t="s">
        <v>491</v>
      </c>
      <c r="AI63" s="363" t="s">
        <v>492</v>
      </c>
    </row>
    <row r="64" spans="1:35">
      <c r="A64" s="375"/>
      <c r="B64" s="65"/>
      <c r="C64" s="375"/>
      <c r="D64" s="375"/>
      <c r="E64" s="375"/>
      <c r="F64" s="64"/>
      <c r="G64" s="64"/>
      <c r="H64" s="64"/>
      <c r="I64" s="64"/>
      <c r="J64" s="64"/>
      <c r="K64" s="375"/>
      <c r="L64" s="375"/>
      <c r="M64" s="375"/>
      <c r="N64" s="375"/>
      <c r="O64" s="375"/>
      <c r="P64" s="375"/>
      <c r="Q64" s="375"/>
      <c r="R64" s="375"/>
      <c r="S64" s="375"/>
      <c r="T64" s="375"/>
      <c r="U64" s="375"/>
      <c r="V64" s="377"/>
      <c r="W64" s="375"/>
      <c r="Y64" s="60" t="s">
        <v>87</v>
      </c>
      <c r="Z64" s="359">
        <v>0</v>
      </c>
      <c r="AA64" s="359">
        <v>0</v>
      </c>
      <c r="AB64" s="359">
        <v>0</v>
      </c>
      <c r="AC64" s="359">
        <v>0</v>
      </c>
      <c r="AD64" s="374">
        <v>0</v>
      </c>
      <c r="AE64" s="60">
        <f t="shared" si="22"/>
        <v>0</v>
      </c>
      <c r="AG64" s="61" t="s">
        <v>485</v>
      </c>
      <c r="AH64" s="61">
        <v>100</v>
      </c>
      <c r="AI64" s="420">
        <v>15</v>
      </c>
    </row>
    <row r="65" spans="1:39">
      <c r="A65" s="375"/>
      <c r="B65" s="64"/>
      <c r="C65" s="375"/>
      <c r="D65" s="375"/>
      <c r="E65" s="375"/>
      <c r="O65" s="375"/>
      <c r="P65" s="375"/>
      <c r="Q65" s="375"/>
      <c r="R65" s="375"/>
      <c r="S65" s="375"/>
      <c r="U65" s="375"/>
      <c r="V65" s="377"/>
      <c r="W65" s="375"/>
      <c r="Y65" s="60" t="s">
        <v>88</v>
      </c>
      <c r="Z65" s="359">
        <v>0</v>
      </c>
      <c r="AA65" s="359">
        <v>0</v>
      </c>
      <c r="AB65" s="359">
        <v>0</v>
      </c>
      <c r="AC65" s="359">
        <v>0</v>
      </c>
      <c r="AD65" s="374">
        <v>0</v>
      </c>
      <c r="AE65" s="60">
        <f t="shared" si="22"/>
        <v>0</v>
      </c>
      <c r="AF65" s="377"/>
      <c r="AG65" s="364" t="s">
        <v>486</v>
      </c>
      <c r="AH65" s="364">
        <v>150</v>
      </c>
      <c r="AI65" s="421">
        <v>16.3689</v>
      </c>
    </row>
    <row r="66" spans="1:39">
      <c r="A66" s="375"/>
      <c r="B66" s="64"/>
      <c r="C66" s="375"/>
      <c r="D66" s="375"/>
      <c r="E66" s="375"/>
      <c r="O66" s="375"/>
      <c r="P66" s="375"/>
      <c r="Q66" s="375"/>
      <c r="R66" s="375"/>
      <c r="S66" s="375"/>
      <c r="U66" s="375"/>
      <c r="V66" s="377"/>
      <c r="W66" s="375"/>
      <c r="Y66" s="60" t="s">
        <v>89</v>
      </c>
      <c r="Z66" s="359">
        <v>0</v>
      </c>
      <c r="AA66" s="359">
        <v>0</v>
      </c>
      <c r="AB66" s="359">
        <v>0</v>
      </c>
      <c r="AC66" s="359">
        <v>0</v>
      </c>
      <c r="AD66" s="374">
        <v>0</v>
      </c>
      <c r="AE66" s="60">
        <f t="shared" si="22"/>
        <v>0</v>
      </c>
      <c r="AF66" s="376"/>
      <c r="AG66" s="364" t="s">
        <v>487</v>
      </c>
      <c r="AH66" s="364">
        <v>200</v>
      </c>
      <c r="AI66" s="421">
        <v>16.746700000000001</v>
      </c>
    </row>
    <row r="67" spans="1:39">
      <c r="A67" s="375"/>
      <c r="B67" s="64"/>
      <c r="C67" s="375"/>
      <c r="D67" s="375"/>
      <c r="E67" s="375"/>
      <c r="O67" s="375"/>
      <c r="P67" s="375"/>
      <c r="Q67" s="375"/>
      <c r="R67" s="375"/>
      <c r="S67" s="375"/>
      <c r="U67" s="375"/>
      <c r="V67" s="377"/>
      <c r="W67" s="375"/>
      <c r="Y67" s="60" t="s">
        <v>90</v>
      </c>
      <c r="Z67" s="359">
        <v>0</v>
      </c>
      <c r="AA67" s="359">
        <v>0</v>
      </c>
      <c r="AB67" s="359">
        <v>0</v>
      </c>
      <c r="AC67" s="359">
        <v>0</v>
      </c>
      <c r="AD67" s="374">
        <v>0</v>
      </c>
      <c r="AE67" s="60">
        <f t="shared" si="22"/>
        <v>0</v>
      </c>
      <c r="AF67" s="376"/>
      <c r="AG67" s="364" t="s">
        <v>488</v>
      </c>
      <c r="AH67" s="364">
        <v>250</v>
      </c>
      <c r="AI67" s="421">
        <v>16.886600000000001</v>
      </c>
    </row>
    <row r="68" spans="1:39">
      <c r="A68" s="375"/>
      <c r="B68" s="64"/>
      <c r="C68" s="375"/>
      <c r="D68" s="375"/>
      <c r="E68" s="375"/>
      <c r="F68" s="64"/>
      <c r="G68" s="64"/>
      <c r="H68" s="64"/>
      <c r="I68" s="64"/>
      <c r="J68" s="64"/>
      <c r="K68" s="375"/>
      <c r="L68" s="375"/>
      <c r="M68" s="375"/>
      <c r="N68" s="375"/>
      <c r="O68" s="375"/>
      <c r="P68" s="375"/>
      <c r="Q68" s="375"/>
      <c r="R68" s="375"/>
      <c r="S68" s="375"/>
      <c r="T68" s="375"/>
      <c r="U68" s="375"/>
      <c r="V68" s="377"/>
      <c r="W68" s="375"/>
      <c r="Y68" s="60" t="s">
        <v>91</v>
      </c>
      <c r="Z68" s="359">
        <v>0</v>
      </c>
      <c r="AA68" s="359">
        <v>0</v>
      </c>
      <c r="AB68" s="374">
        <v>0</v>
      </c>
      <c r="AC68" s="374">
        <v>0</v>
      </c>
      <c r="AD68" s="374">
        <v>0</v>
      </c>
      <c r="AE68" s="60">
        <f t="shared" si="22"/>
        <v>0</v>
      </c>
      <c r="AF68" s="377"/>
      <c r="AG68" s="365" t="s">
        <v>525</v>
      </c>
      <c r="AH68" s="365">
        <v>300</v>
      </c>
      <c r="AI68" s="422">
        <v>17</v>
      </c>
    </row>
    <row r="69" spans="1:39">
      <c r="B69" s="64"/>
      <c r="C69" s="375"/>
      <c r="D69" s="375"/>
      <c r="E69" s="375"/>
      <c r="F69" s="64"/>
      <c r="G69" s="64"/>
      <c r="H69" s="64"/>
      <c r="I69" s="64"/>
      <c r="J69" s="64"/>
      <c r="K69" s="375"/>
      <c r="L69" s="375"/>
      <c r="M69" s="375"/>
      <c r="N69" s="375"/>
      <c r="O69" s="375"/>
      <c r="P69" s="375"/>
      <c r="Q69" s="375"/>
      <c r="R69" s="375"/>
      <c r="S69" s="375"/>
      <c r="T69" s="375"/>
      <c r="U69" s="375"/>
      <c r="V69" s="377"/>
      <c r="W69" s="375"/>
      <c r="Y69" s="60" t="s">
        <v>92</v>
      </c>
      <c r="Z69" s="374">
        <v>0</v>
      </c>
      <c r="AA69" s="374">
        <v>0</v>
      </c>
      <c r="AB69" s="374">
        <v>0</v>
      </c>
      <c r="AC69" s="374">
        <v>0</v>
      </c>
      <c r="AD69" s="374">
        <v>0</v>
      </c>
      <c r="AE69" s="60">
        <f t="shared" si="22"/>
        <v>0</v>
      </c>
      <c r="AF69" s="377"/>
      <c r="AG69" s="377"/>
      <c r="AH69" s="377"/>
    </row>
    <row r="70" spans="1:39">
      <c r="B70" s="64"/>
      <c r="C70" s="375"/>
      <c r="D70" s="375"/>
      <c r="E70" s="375"/>
      <c r="F70" s="64"/>
      <c r="G70" s="64"/>
      <c r="H70" s="64"/>
      <c r="I70" s="64"/>
      <c r="J70" s="64"/>
      <c r="K70" s="375"/>
      <c r="L70" s="375"/>
      <c r="M70" s="375"/>
      <c r="N70" s="375"/>
      <c r="O70" s="375"/>
      <c r="P70" s="375"/>
      <c r="Q70" s="375"/>
      <c r="R70" s="375"/>
      <c r="S70" s="375"/>
      <c r="T70" s="375"/>
      <c r="U70" s="375"/>
      <c r="V70" s="377"/>
      <c r="W70" s="375"/>
      <c r="Y70" s="60" t="s">
        <v>93</v>
      </c>
      <c r="Z70" s="374">
        <v>0</v>
      </c>
      <c r="AA70" s="359">
        <v>0</v>
      </c>
      <c r="AB70" s="374">
        <v>0</v>
      </c>
      <c r="AC70" s="374">
        <v>0</v>
      </c>
      <c r="AD70" s="374">
        <v>0</v>
      </c>
      <c r="AE70" s="60">
        <f t="shared" si="22"/>
        <v>0</v>
      </c>
      <c r="AF70" s="377"/>
      <c r="AG70" s="377"/>
      <c r="AH70" s="377"/>
    </row>
    <row r="71" spans="1:39">
      <c r="B71" s="64"/>
      <c r="C71" s="375"/>
      <c r="D71" s="375"/>
      <c r="E71" s="375"/>
      <c r="F71" s="64"/>
      <c r="G71" s="64"/>
      <c r="H71" s="64"/>
      <c r="I71" s="64"/>
      <c r="J71" s="64"/>
      <c r="K71" s="375"/>
      <c r="L71" s="375"/>
      <c r="M71" s="375"/>
      <c r="N71" s="375"/>
      <c r="O71" s="375"/>
      <c r="P71" s="375"/>
      <c r="Q71" s="375"/>
      <c r="R71" s="375"/>
      <c r="S71" s="375"/>
      <c r="T71" s="375"/>
      <c r="U71" s="375"/>
      <c r="V71" s="377"/>
      <c r="W71" s="375"/>
      <c r="Y71" s="60" t="s">
        <v>94</v>
      </c>
      <c r="Z71" s="374">
        <v>0</v>
      </c>
      <c r="AA71" s="359">
        <v>0</v>
      </c>
      <c r="AB71" s="374">
        <v>0</v>
      </c>
      <c r="AC71" s="374">
        <v>0</v>
      </c>
      <c r="AD71" s="374">
        <v>0</v>
      </c>
      <c r="AE71" s="60">
        <f t="shared" si="22"/>
        <v>0</v>
      </c>
      <c r="AF71" s="18"/>
      <c r="AG71" s="18"/>
      <c r="AH71" s="377"/>
    </row>
    <row r="72" spans="1:39">
      <c r="B72" s="64"/>
      <c r="C72" s="375"/>
      <c r="D72" s="375"/>
      <c r="E72" s="375"/>
      <c r="F72" s="64"/>
      <c r="G72" s="64"/>
      <c r="H72" s="64"/>
      <c r="I72" s="64"/>
      <c r="J72" s="64"/>
      <c r="K72" s="375"/>
      <c r="L72" s="375"/>
      <c r="M72" s="375"/>
      <c r="N72" s="375"/>
      <c r="O72" s="375"/>
      <c r="P72" s="375"/>
      <c r="Q72" s="375"/>
      <c r="R72" s="375"/>
      <c r="S72" s="375"/>
      <c r="T72" s="375"/>
      <c r="U72" s="375"/>
      <c r="V72" s="377"/>
      <c r="W72" s="375"/>
      <c r="Y72" s="366" t="s">
        <v>482</v>
      </c>
      <c r="Z72" s="367">
        <v>0</v>
      </c>
      <c r="AA72" s="367">
        <v>0</v>
      </c>
      <c r="AB72" s="367">
        <v>0</v>
      </c>
      <c r="AC72" s="367">
        <v>0</v>
      </c>
      <c r="AD72" s="367">
        <v>0</v>
      </c>
      <c r="AE72" s="366">
        <f t="shared" si="22"/>
        <v>0</v>
      </c>
      <c r="AF72" s="377"/>
      <c r="AG72" s="497" t="s">
        <v>572</v>
      </c>
      <c r="AH72" s="498"/>
      <c r="AI72" s="498"/>
      <c r="AJ72" s="498"/>
      <c r="AK72" s="498"/>
      <c r="AL72" s="499"/>
      <c r="AM72" s="155"/>
    </row>
    <row r="73" spans="1:39">
      <c r="B73" s="64"/>
      <c r="C73" s="375"/>
      <c r="D73" s="375"/>
      <c r="E73" s="375"/>
      <c r="F73" s="64"/>
      <c r="G73" s="64"/>
      <c r="H73" s="64"/>
      <c r="I73" s="64"/>
      <c r="J73" s="64"/>
      <c r="K73" s="375"/>
      <c r="L73" s="375"/>
      <c r="M73" s="375"/>
      <c r="N73" s="375"/>
      <c r="O73" s="375"/>
      <c r="P73" s="375"/>
      <c r="Q73" s="375"/>
      <c r="R73" s="375"/>
      <c r="S73" s="375"/>
      <c r="T73" s="375"/>
      <c r="U73" s="375"/>
      <c r="V73" s="377"/>
      <c r="W73" s="375"/>
      <c r="Y73" s="270" t="s">
        <v>493</v>
      </c>
      <c r="Z73" s="368">
        <f t="shared" ref="Z73:AE73" si="23">SUM(Z61:Z72)</f>
        <v>0</v>
      </c>
      <c r="AA73" s="368">
        <f t="shared" si="23"/>
        <v>0</v>
      </c>
      <c r="AB73" s="368">
        <f t="shared" si="23"/>
        <v>0</v>
      </c>
      <c r="AC73" s="368">
        <f t="shared" si="23"/>
        <v>0</v>
      </c>
      <c r="AD73" s="368">
        <f t="shared" si="23"/>
        <v>0</v>
      </c>
      <c r="AE73" s="369">
        <f t="shared" si="23"/>
        <v>0</v>
      </c>
      <c r="AF73" s="377"/>
      <c r="AG73" s="355" t="s">
        <v>484</v>
      </c>
      <c r="AH73" s="357" t="s">
        <v>485</v>
      </c>
      <c r="AI73" s="357" t="s">
        <v>486</v>
      </c>
      <c r="AJ73" s="357" t="s">
        <v>487</v>
      </c>
      <c r="AK73" s="357" t="s">
        <v>488</v>
      </c>
      <c r="AL73" s="358" t="s">
        <v>525</v>
      </c>
      <c r="AM73" s="270" t="s">
        <v>416</v>
      </c>
    </row>
    <row r="74" spans="1:39">
      <c r="B74" s="64"/>
      <c r="C74" s="375"/>
      <c r="D74" s="375"/>
      <c r="E74" s="375"/>
      <c r="F74" s="64"/>
      <c r="G74" s="64"/>
      <c r="H74" s="64"/>
      <c r="I74" s="64"/>
      <c r="J74" s="64"/>
      <c r="K74" s="375"/>
      <c r="L74" s="375"/>
      <c r="M74" s="375"/>
      <c r="N74" s="375"/>
      <c r="O74" s="375"/>
      <c r="P74" s="375"/>
      <c r="Q74" s="375"/>
      <c r="R74" s="375"/>
      <c r="S74" s="375"/>
      <c r="T74" s="375"/>
      <c r="U74" s="375"/>
      <c r="V74" s="377"/>
      <c r="W74" s="375"/>
      <c r="Y74" s="270" t="s">
        <v>492</v>
      </c>
      <c r="Z74" s="370">
        <f>PRODUCT(Z73*AI64)</f>
        <v>0</v>
      </c>
      <c r="AA74" s="370">
        <f>PRODUCT(AA73*AI65)</f>
        <v>0</v>
      </c>
      <c r="AB74" s="370">
        <f>PRODUCT(AB73*AI66)</f>
        <v>0</v>
      </c>
      <c r="AC74" s="370">
        <f>PRODUCT(AC73*AI67)</f>
        <v>0</v>
      </c>
      <c r="AD74" s="370">
        <f>PRODUCT(AD73*AI68)</f>
        <v>0</v>
      </c>
      <c r="AE74" s="270">
        <f>SUM(Z74:AD74)</f>
        <v>0</v>
      </c>
      <c r="AF74" s="377"/>
      <c r="AG74" s="60" t="s">
        <v>84</v>
      </c>
      <c r="AH74" s="470">
        <f>Z61+Z81</f>
        <v>0</v>
      </c>
      <c r="AI74" s="470">
        <f t="shared" ref="AI74:AL85" si="24">AA61+AA81</f>
        <v>4</v>
      </c>
      <c r="AJ74" s="470">
        <f t="shared" si="24"/>
        <v>2</v>
      </c>
      <c r="AK74" s="470">
        <f t="shared" si="24"/>
        <v>1</v>
      </c>
      <c r="AL74" s="470">
        <f t="shared" si="24"/>
        <v>0</v>
      </c>
      <c r="AM74" s="361">
        <f>SUM(AH74:AL74)</f>
        <v>7</v>
      </c>
    </row>
    <row r="75" spans="1:39">
      <c r="B75" s="64"/>
      <c r="C75" s="375"/>
      <c r="D75" s="375"/>
      <c r="E75" s="375"/>
      <c r="F75" s="64"/>
      <c r="G75" s="64"/>
      <c r="H75" s="64"/>
      <c r="I75" s="64"/>
      <c r="J75" s="64"/>
      <c r="K75" s="375"/>
      <c r="L75" s="375"/>
      <c r="M75" s="375"/>
      <c r="N75" s="375"/>
      <c r="O75" s="375"/>
      <c r="P75" s="375"/>
      <c r="Q75" s="375"/>
      <c r="R75" s="375"/>
      <c r="S75" s="375"/>
      <c r="T75" s="375"/>
      <c r="U75" s="375"/>
      <c r="V75" s="377"/>
      <c r="W75" s="375"/>
      <c r="Y75" s="270" t="s">
        <v>491</v>
      </c>
      <c r="Z75" s="370">
        <f>Z73*AH64</f>
        <v>0</v>
      </c>
      <c r="AA75" s="370">
        <f>AA73*AH65</f>
        <v>0</v>
      </c>
      <c r="AB75" s="370">
        <f>AB73*AH66</f>
        <v>0</v>
      </c>
      <c r="AC75" s="370">
        <f>AC73*AH67</f>
        <v>0</v>
      </c>
      <c r="AD75" s="370">
        <f>AD73*AH68</f>
        <v>0</v>
      </c>
      <c r="AE75" s="270">
        <f>SUM(Z75:AD75)</f>
        <v>0</v>
      </c>
      <c r="AF75" s="377"/>
      <c r="AG75" s="60" t="s">
        <v>85</v>
      </c>
      <c r="AH75" s="470">
        <f t="shared" ref="AH75:AH85" si="25">Z62+Z82</f>
        <v>0</v>
      </c>
      <c r="AI75" s="470">
        <f t="shared" si="24"/>
        <v>7</v>
      </c>
      <c r="AJ75" s="470">
        <f t="shared" si="24"/>
        <v>3</v>
      </c>
      <c r="AK75" s="470">
        <f t="shared" si="24"/>
        <v>0</v>
      </c>
      <c r="AL75" s="470">
        <f t="shared" si="24"/>
        <v>2</v>
      </c>
      <c r="AM75" s="60">
        <f t="shared" ref="AM75:AM85" si="26">SUM(AH75:AL75)</f>
        <v>12</v>
      </c>
    </row>
    <row r="76" spans="1:39">
      <c r="B76" s="64"/>
      <c r="C76" s="375"/>
      <c r="D76" s="375"/>
      <c r="E76" s="375"/>
      <c r="F76" s="64"/>
      <c r="G76" s="64"/>
      <c r="H76" s="64"/>
      <c r="I76" s="64"/>
      <c r="J76" s="64"/>
      <c r="K76" s="375"/>
      <c r="L76" s="375"/>
      <c r="M76" s="375"/>
      <c r="N76" s="375"/>
      <c r="O76" s="375"/>
      <c r="P76" s="375"/>
      <c r="Q76" s="375"/>
      <c r="R76" s="375"/>
      <c r="S76" s="375"/>
      <c r="T76" s="375"/>
      <c r="U76" s="375"/>
      <c r="V76" s="377"/>
      <c r="W76" s="375"/>
      <c r="AG76" s="60" t="s">
        <v>86</v>
      </c>
      <c r="AH76" s="470">
        <f t="shared" si="25"/>
        <v>0</v>
      </c>
      <c r="AI76" s="470">
        <f t="shared" si="24"/>
        <v>0</v>
      </c>
      <c r="AJ76" s="470">
        <f t="shared" si="24"/>
        <v>3</v>
      </c>
      <c r="AK76" s="470">
        <f t="shared" si="24"/>
        <v>0</v>
      </c>
      <c r="AL76" s="470">
        <f t="shared" si="24"/>
        <v>1</v>
      </c>
      <c r="AM76" s="60">
        <f t="shared" si="26"/>
        <v>4</v>
      </c>
    </row>
    <row r="77" spans="1:39">
      <c r="B77" s="64"/>
      <c r="C77" s="375"/>
      <c r="D77" s="375"/>
      <c r="E77" s="375"/>
      <c r="F77" s="64"/>
      <c r="G77" s="64"/>
      <c r="H77" s="64"/>
      <c r="I77" s="64"/>
      <c r="J77" s="64"/>
      <c r="K77" s="375"/>
      <c r="L77" s="375"/>
      <c r="M77" s="375"/>
      <c r="N77" s="375"/>
      <c r="O77" s="375"/>
      <c r="P77" s="375"/>
      <c r="Q77" s="375"/>
      <c r="R77" s="375"/>
      <c r="S77" s="375"/>
      <c r="T77" s="375"/>
      <c r="U77" s="375"/>
      <c r="V77" s="377"/>
      <c r="W77" s="375"/>
      <c r="AG77" s="60" t="s">
        <v>87</v>
      </c>
      <c r="AH77" s="470">
        <f t="shared" si="25"/>
        <v>0</v>
      </c>
      <c r="AI77" s="470">
        <f t="shared" si="24"/>
        <v>10</v>
      </c>
      <c r="AJ77" s="470">
        <f t="shared" si="24"/>
        <v>15</v>
      </c>
      <c r="AK77" s="470">
        <f t="shared" si="24"/>
        <v>8</v>
      </c>
      <c r="AL77" s="470">
        <f t="shared" si="24"/>
        <v>0</v>
      </c>
      <c r="AM77" s="60">
        <f t="shared" si="26"/>
        <v>33</v>
      </c>
    </row>
    <row r="78" spans="1:39">
      <c r="B78" s="64"/>
      <c r="C78" s="375"/>
      <c r="D78" s="375"/>
      <c r="E78" s="375"/>
      <c r="F78" s="64"/>
      <c r="G78" s="64"/>
      <c r="H78" s="64"/>
      <c r="I78" s="64"/>
      <c r="J78" s="64"/>
      <c r="K78" s="375"/>
      <c r="L78" s="375"/>
      <c r="M78" s="375"/>
      <c r="N78" s="375"/>
      <c r="O78" s="375"/>
      <c r="P78" s="375"/>
      <c r="Q78" s="375"/>
      <c r="R78" s="375"/>
      <c r="S78" s="375"/>
      <c r="T78" s="375"/>
      <c r="U78" s="375"/>
      <c r="V78" s="377"/>
      <c r="W78" s="375"/>
      <c r="AG78" s="60" t="s">
        <v>88</v>
      </c>
      <c r="AH78" s="470">
        <f t="shared" si="25"/>
        <v>0</v>
      </c>
      <c r="AI78" s="470">
        <f t="shared" si="24"/>
        <v>0</v>
      </c>
      <c r="AJ78" s="470">
        <f t="shared" si="24"/>
        <v>8</v>
      </c>
      <c r="AK78" s="470">
        <f t="shared" si="24"/>
        <v>1</v>
      </c>
      <c r="AL78" s="470">
        <f t="shared" si="24"/>
        <v>0</v>
      </c>
      <c r="AM78" s="60">
        <f t="shared" si="26"/>
        <v>9</v>
      </c>
    </row>
    <row r="79" spans="1:39">
      <c r="B79" s="64"/>
      <c r="C79" s="375"/>
      <c r="D79" s="375"/>
      <c r="E79" s="375"/>
      <c r="F79" s="64"/>
      <c r="G79" s="64"/>
      <c r="H79" s="64"/>
      <c r="I79" s="64"/>
      <c r="J79" s="64"/>
      <c r="K79" s="375"/>
      <c r="L79" s="375"/>
      <c r="M79" s="375"/>
      <c r="N79" s="375"/>
      <c r="O79" s="375"/>
      <c r="P79" s="375"/>
      <c r="Q79" s="375"/>
      <c r="R79" s="375"/>
      <c r="S79" s="375"/>
      <c r="T79" s="375"/>
      <c r="U79" s="375"/>
      <c r="V79" s="377"/>
      <c r="W79" s="375"/>
      <c r="Y79" s="497" t="s">
        <v>571</v>
      </c>
      <c r="Z79" s="498"/>
      <c r="AA79" s="498"/>
      <c r="AB79" s="498"/>
      <c r="AC79" s="498"/>
      <c r="AD79" s="499"/>
      <c r="AE79" s="155"/>
      <c r="AG79" s="60" t="s">
        <v>89</v>
      </c>
      <c r="AH79" s="470">
        <f t="shared" si="25"/>
        <v>0</v>
      </c>
      <c r="AI79" s="470">
        <f t="shared" si="24"/>
        <v>7</v>
      </c>
      <c r="AJ79" s="470">
        <f t="shared" si="24"/>
        <v>1</v>
      </c>
      <c r="AK79" s="470">
        <f t="shared" si="24"/>
        <v>1</v>
      </c>
      <c r="AL79" s="470">
        <f t="shared" si="24"/>
        <v>0</v>
      </c>
      <c r="AM79" s="60">
        <f t="shared" si="26"/>
        <v>9</v>
      </c>
    </row>
    <row r="80" spans="1:39">
      <c r="B80" s="64"/>
      <c r="C80" s="375"/>
      <c r="D80" s="375"/>
      <c r="E80" s="375"/>
      <c r="F80" s="64"/>
      <c r="G80" s="64"/>
      <c r="H80" s="64"/>
      <c r="I80" s="64"/>
      <c r="J80" s="64"/>
      <c r="K80" s="375"/>
      <c r="L80" s="375"/>
      <c r="M80" s="375"/>
      <c r="N80" s="375"/>
      <c r="O80" s="375"/>
      <c r="P80" s="375"/>
      <c r="Q80" s="375"/>
      <c r="R80" s="375"/>
      <c r="S80" s="375"/>
      <c r="T80" s="375"/>
      <c r="U80" s="375"/>
      <c r="V80" s="377"/>
      <c r="W80" s="375"/>
      <c r="Y80" s="355" t="s">
        <v>484</v>
      </c>
      <c r="Z80" s="357" t="s">
        <v>485</v>
      </c>
      <c r="AA80" s="357" t="s">
        <v>486</v>
      </c>
      <c r="AB80" s="357" t="s">
        <v>487</v>
      </c>
      <c r="AC80" s="357" t="s">
        <v>488</v>
      </c>
      <c r="AD80" s="358" t="s">
        <v>525</v>
      </c>
      <c r="AE80" s="270" t="s">
        <v>416</v>
      </c>
      <c r="AG80" s="60" t="s">
        <v>90</v>
      </c>
      <c r="AH80" s="470">
        <f t="shared" si="25"/>
        <v>0</v>
      </c>
      <c r="AI80" s="470">
        <f t="shared" si="24"/>
        <v>0</v>
      </c>
      <c r="AJ80" s="470">
        <f t="shared" si="24"/>
        <v>1</v>
      </c>
      <c r="AK80" s="470">
        <f t="shared" si="24"/>
        <v>1</v>
      </c>
      <c r="AL80" s="470">
        <f t="shared" si="24"/>
        <v>1</v>
      </c>
      <c r="AM80" s="60">
        <f t="shared" si="26"/>
        <v>3</v>
      </c>
    </row>
    <row r="81" spans="2:39">
      <c r="B81" s="64"/>
      <c r="C81" s="375"/>
      <c r="D81" s="375"/>
      <c r="E81" s="375"/>
      <c r="F81" s="64"/>
      <c r="G81" s="64"/>
      <c r="H81" s="64"/>
      <c r="I81" s="64"/>
      <c r="J81" s="64"/>
      <c r="K81" s="375"/>
      <c r="L81" s="375"/>
      <c r="M81" s="375"/>
      <c r="N81" s="375"/>
      <c r="O81" s="375"/>
      <c r="P81" s="375"/>
      <c r="Q81" s="375"/>
      <c r="R81" s="375"/>
      <c r="S81" s="375"/>
      <c r="T81" s="375"/>
      <c r="U81" s="375"/>
      <c r="V81" s="377"/>
      <c r="W81" s="375"/>
      <c r="Y81" s="60" t="s">
        <v>84</v>
      </c>
      <c r="Z81" s="470">
        <v>0</v>
      </c>
      <c r="AA81" s="470">
        <f>4</f>
        <v>4</v>
      </c>
      <c r="AB81" s="416">
        <f>1+1</f>
        <v>2</v>
      </c>
      <c r="AC81" s="416">
        <f>1</f>
        <v>1</v>
      </c>
      <c r="AD81" s="470">
        <v>0</v>
      </c>
      <c r="AE81" s="361">
        <f>SUM(Z81:AD81)</f>
        <v>7</v>
      </c>
      <c r="AG81" s="60" t="s">
        <v>91</v>
      </c>
      <c r="AH81" s="470">
        <f t="shared" si="25"/>
        <v>0</v>
      </c>
      <c r="AI81" s="470">
        <f t="shared" si="24"/>
        <v>10</v>
      </c>
      <c r="AJ81" s="470">
        <f t="shared" si="24"/>
        <v>2</v>
      </c>
      <c r="AK81" s="470">
        <f t="shared" si="24"/>
        <v>1</v>
      </c>
      <c r="AL81" s="470">
        <f t="shared" si="24"/>
        <v>0</v>
      </c>
      <c r="AM81" s="60">
        <f t="shared" si="26"/>
        <v>13</v>
      </c>
    </row>
    <row r="82" spans="2:39">
      <c r="B82" s="64"/>
      <c r="C82" s="375"/>
      <c r="D82" s="375"/>
      <c r="E82" s="375"/>
      <c r="F82" s="64"/>
      <c r="G82" s="64"/>
      <c r="H82" s="64"/>
      <c r="I82" s="64"/>
      <c r="J82" s="64"/>
      <c r="K82" s="375"/>
      <c r="L82" s="375"/>
      <c r="M82" s="375"/>
      <c r="N82" s="375"/>
      <c r="O82" s="375"/>
      <c r="P82" s="375"/>
      <c r="Q82" s="375"/>
      <c r="R82" s="375"/>
      <c r="S82" s="375"/>
      <c r="T82" s="375"/>
      <c r="U82" s="375"/>
      <c r="V82" s="377"/>
      <c r="W82" s="375"/>
      <c r="Y82" s="60" t="s">
        <v>85</v>
      </c>
      <c r="Z82" s="470">
        <v>0</v>
      </c>
      <c r="AA82" s="470">
        <f>3+2+2</f>
        <v>7</v>
      </c>
      <c r="AB82" s="470">
        <f>2+1</f>
        <v>3</v>
      </c>
      <c r="AC82" s="470">
        <v>0</v>
      </c>
      <c r="AD82" s="470">
        <f>1+1</f>
        <v>2</v>
      </c>
      <c r="AE82" s="60">
        <f t="shared" ref="AE82:AE92" si="27">SUM(Z82:AD82)</f>
        <v>12</v>
      </c>
      <c r="AG82" s="60" t="s">
        <v>92</v>
      </c>
      <c r="AH82" s="470">
        <f t="shared" si="25"/>
        <v>0</v>
      </c>
      <c r="AI82" s="470">
        <f t="shared" si="24"/>
        <v>4</v>
      </c>
      <c r="AJ82" s="470">
        <f t="shared" si="24"/>
        <v>7</v>
      </c>
      <c r="AK82" s="470">
        <f t="shared" si="24"/>
        <v>0</v>
      </c>
      <c r="AL82" s="470">
        <f t="shared" si="24"/>
        <v>0</v>
      </c>
      <c r="AM82" s="60">
        <f t="shared" si="26"/>
        <v>11</v>
      </c>
    </row>
    <row r="83" spans="2:39">
      <c r="B83" s="64"/>
      <c r="C83" s="375"/>
      <c r="D83" s="375"/>
      <c r="E83" s="375"/>
      <c r="F83" s="64"/>
      <c r="G83" s="64"/>
      <c r="H83" s="64"/>
      <c r="I83" s="64"/>
      <c r="J83" s="64"/>
      <c r="K83" s="375"/>
      <c r="L83" s="375"/>
      <c r="M83" s="375"/>
      <c r="N83" s="375"/>
      <c r="O83" s="375"/>
      <c r="P83" s="375"/>
      <c r="Q83" s="375"/>
      <c r="R83" s="375"/>
      <c r="S83" s="375"/>
      <c r="T83" s="375"/>
      <c r="U83" s="375"/>
      <c r="V83" s="377"/>
      <c r="W83" s="375"/>
      <c r="Y83" s="60" t="s">
        <v>86</v>
      </c>
      <c r="Z83" s="470">
        <v>0</v>
      </c>
      <c r="AA83" s="470">
        <v>0</v>
      </c>
      <c r="AB83" s="359">
        <f>2+1</f>
        <v>3</v>
      </c>
      <c r="AC83" s="470">
        <v>0</v>
      </c>
      <c r="AD83" s="470">
        <f>1</f>
        <v>1</v>
      </c>
      <c r="AE83" s="60">
        <f t="shared" si="27"/>
        <v>4</v>
      </c>
      <c r="AG83" s="60" t="s">
        <v>93</v>
      </c>
      <c r="AH83" s="470">
        <f t="shared" si="25"/>
        <v>0</v>
      </c>
      <c r="AI83" s="470">
        <f t="shared" si="24"/>
        <v>0</v>
      </c>
      <c r="AJ83" s="470">
        <f t="shared" si="24"/>
        <v>2</v>
      </c>
      <c r="AK83" s="470">
        <f t="shared" si="24"/>
        <v>3</v>
      </c>
      <c r="AL83" s="470">
        <f t="shared" si="24"/>
        <v>0</v>
      </c>
      <c r="AM83" s="60">
        <f t="shared" si="26"/>
        <v>5</v>
      </c>
    </row>
    <row r="84" spans="2:39">
      <c r="B84" s="64"/>
      <c r="C84" s="375"/>
      <c r="D84" s="375"/>
      <c r="E84" s="375"/>
      <c r="F84" s="64"/>
      <c r="G84" s="64"/>
      <c r="H84" s="64"/>
      <c r="I84" s="64"/>
      <c r="J84" s="64"/>
      <c r="K84" s="375"/>
      <c r="L84" s="375"/>
      <c r="M84" s="375"/>
      <c r="N84" s="375"/>
      <c r="O84" s="375"/>
      <c r="P84" s="375"/>
      <c r="Q84" s="375"/>
      <c r="R84" s="375"/>
      <c r="S84" s="375"/>
      <c r="T84" s="375"/>
      <c r="U84" s="375"/>
      <c r="V84" s="377"/>
      <c r="W84" s="375"/>
      <c r="Y84" s="60" t="s">
        <v>87</v>
      </c>
      <c r="Z84" s="470">
        <v>0</v>
      </c>
      <c r="AA84" s="417">
        <f>4+3+3</f>
        <v>10</v>
      </c>
      <c r="AB84" s="470">
        <f>2+2+3+6+2</f>
        <v>15</v>
      </c>
      <c r="AC84" s="470">
        <f>1+3+4</f>
        <v>8</v>
      </c>
      <c r="AD84" s="470">
        <v>0</v>
      </c>
      <c r="AE84" s="60">
        <f t="shared" si="27"/>
        <v>33</v>
      </c>
      <c r="AG84" s="60" t="s">
        <v>94</v>
      </c>
      <c r="AH84" s="470">
        <f t="shared" si="25"/>
        <v>0</v>
      </c>
      <c r="AI84" s="470">
        <f t="shared" si="24"/>
        <v>1</v>
      </c>
      <c r="AJ84" s="470">
        <f t="shared" si="24"/>
        <v>2</v>
      </c>
      <c r="AK84" s="470">
        <f t="shared" si="24"/>
        <v>4</v>
      </c>
      <c r="AL84" s="470">
        <f t="shared" si="24"/>
        <v>0</v>
      </c>
      <c r="AM84" s="60">
        <f t="shared" si="26"/>
        <v>7</v>
      </c>
    </row>
    <row r="85" spans="2:39">
      <c r="B85" s="64"/>
      <c r="C85" s="375"/>
      <c r="D85" s="375"/>
      <c r="E85" s="375"/>
      <c r="F85" s="64"/>
      <c r="G85" s="64"/>
      <c r="H85" s="64"/>
      <c r="I85" s="64"/>
      <c r="J85" s="64"/>
      <c r="K85" s="375"/>
      <c r="L85" s="375"/>
      <c r="M85" s="375"/>
      <c r="N85" s="375"/>
      <c r="O85" s="375"/>
      <c r="P85" s="375"/>
      <c r="Q85" s="375"/>
      <c r="R85" s="375"/>
      <c r="S85" s="375"/>
      <c r="T85" s="375"/>
      <c r="U85" s="375"/>
      <c r="V85" s="377"/>
      <c r="W85" s="375"/>
      <c r="Y85" s="60" t="s">
        <v>88</v>
      </c>
      <c r="Z85" s="470">
        <v>0</v>
      </c>
      <c r="AA85" s="470">
        <v>0</v>
      </c>
      <c r="AB85" s="470">
        <f>1+1+1+3+1+1</f>
        <v>8</v>
      </c>
      <c r="AC85" s="470">
        <f>1</f>
        <v>1</v>
      </c>
      <c r="AD85" s="470">
        <v>0</v>
      </c>
      <c r="AE85" s="60">
        <f t="shared" si="27"/>
        <v>9</v>
      </c>
      <c r="AG85" s="366" t="s">
        <v>482</v>
      </c>
      <c r="AH85" s="470">
        <f t="shared" si="25"/>
        <v>0</v>
      </c>
      <c r="AI85" s="470">
        <f t="shared" si="24"/>
        <v>1</v>
      </c>
      <c r="AJ85" s="470">
        <f t="shared" si="24"/>
        <v>2</v>
      </c>
      <c r="AK85" s="470">
        <f t="shared" si="24"/>
        <v>0</v>
      </c>
      <c r="AL85" s="470">
        <f t="shared" si="24"/>
        <v>0</v>
      </c>
      <c r="AM85" s="366">
        <f t="shared" si="26"/>
        <v>3</v>
      </c>
    </row>
    <row r="86" spans="2:39">
      <c r="B86" s="64"/>
      <c r="C86" s="375"/>
      <c r="D86" s="375"/>
      <c r="E86" s="375"/>
      <c r="F86" s="64"/>
      <c r="G86" s="64"/>
      <c r="H86" s="64"/>
      <c r="I86" s="64"/>
      <c r="J86" s="64"/>
      <c r="K86" s="375"/>
      <c r="L86" s="375"/>
      <c r="M86" s="375"/>
      <c r="N86" s="375"/>
      <c r="O86" s="375"/>
      <c r="P86" s="375"/>
      <c r="Q86" s="375"/>
      <c r="R86" s="375"/>
      <c r="S86" s="375"/>
      <c r="T86" s="375"/>
      <c r="U86" s="375"/>
      <c r="V86" s="377"/>
      <c r="W86" s="375"/>
      <c r="Y86" s="60" t="s">
        <v>89</v>
      </c>
      <c r="Z86" s="470">
        <v>0</v>
      </c>
      <c r="AA86" s="470">
        <f>3+3+1</f>
        <v>7</v>
      </c>
      <c r="AB86" s="470">
        <f>1</f>
        <v>1</v>
      </c>
      <c r="AC86" s="470">
        <f>1</f>
        <v>1</v>
      </c>
      <c r="AD86" s="470">
        <v>0</v>
      </c>
      <c r="AE86" s="60">
        <f t="shared" si="27"/>
        <v>9</v>
      </c>
      <c r="AG86" s="270" t="s">
        <v>493</v>
      </c>
      <c r="AH86" s="368">
        <f t="shared" ref="AH86:AM86" si="28">SUM(AH74:AH85)</f>
        <v>0</v>
      </c>
      <c r="AI86" s="368">
        <f t="shared" si="28"/>
        <v>44</v>
      </c>
      <c r="AJ86" s="368">
        <f t="shared" si="28"/>
        <v>48</v>
      </c>
      <c r="AK86" s="368">
        <f t="shared" si="28"/>
        <v>20</v>
      </c>
      <c r="AL86" s="368">
        <f t="shared" si="28"/>
        <v>4</v>
      </c>
      <c r="AM86" s="369">
        <f t="shared" si="28"/>
        <v>116</v>
      </c>
    </row>
    <row r="87" spans="2:39">
      <c r="B87" s="64"/>
      <c r="C87" s="375"/>
      <c r="D87" s="375"/>
      <c r="E87" s="375"/>
      <c r="F87" s="64"/>
      <c r="G87" s="64"/>
      <c r="H87" s="64"/>
      <c r="I87" s="64"/>
      <c r="J87" s="64"/>
      <c r="K87" s="375"/>
      <c r="L87" s="375"/>
      <c r="M87" s="375"/>
      <c r="N87" s="375"/>
      <c r="O87" s="375"/>
      <c r="P87" s="375"/>
      <c r="Q87" s="375"/>
      <c r="R87" s="375"/>
      <c r="S87" s="375"/>
      <c r="T87" s="375"/>
      <c r="U87" s="375"/>
      <c r="V87" s="377"/>
      <c r="W87" s="375"/>
      <c r="Y87" s="60" t="s">
        <v>90</v>
      </c>
      <c r="Z87" s="470">
        <v>0</v>
      </c>
      <c r="AA87" s="359">
        <v>0</v>
      </c>
      <c r="AB87" s="359">
        <f>1</f>
        <v>1</v>
      </c>
      <c r="AC87" s="470">
        <f>1</f>
        <v>1</v>
      </c>
      <c r="AD87" s="470">
        <f>1</f>
        <v>1</v>
      </c>
      <c r="AE87" s="60">
        <f t="shared" si="27"/>
        <v>3</v>
      </c>
      <c r="AG87" s="270" t="s">
        <v>492</v>
      </c>
      <c r="AH87" s="370">
        <f>PRODUCT(AH86*AI64)</f>
        <v>0</v>
      </c>
      <c r="AI87" s="418">
        <f>PRODUCT(AI86*AI65)</f>
        <v>720.23159999999996</v>
      </c>
      <c r="AJ87" s="418">
        <f>PRODUCT(AJ86*AI66)</f>
        <v>803.84159999999997</v>
      </c>
      <c r="AK87" s="418">
        <f>PRODUCT(AK86*AI67)</f>
        <v>337.73200000000003</v>
      </c>
      <c r="AL87" s="418">
        <f>PRODUCT(AL86*AI68)</f>
        <v>68</v>
      </c>
      <c r="AM87" s="419">
        <f>SUM(AH87:AL87)</f>
        <v>1929.8051999999998</v>
      </c>
    </row>
    <row r="88" spans="2:39">
      <c r="B88" s="64"/>
      <c r="C88" s="375"/>
      <c r="D88" s="375"/>
      <c r="E88" s="375"/>
      <c r="F88" s="64"/>
      <c r="G88" s="64"/>
      <c r="H88" s="64"/>
      <c r="I88" s="64"/>
      <c r="J88" s="64"/>
      <c r="K88" s="375"/>
      <c r="L88" s="375"/>
      <c r="M88" s="375"/>
      <c r="N88" s="375"/>
      <c r="O88" s="375"/>
      <c r="P88" s="375"/>
      <c r="Q88" s="375"/>
      <c r="R88" s="375"/>
      <c r="S88" s="375"/>
      <c r="T88" s="375"/>
      <c r="U88" s="375"/>
      <c r="V88" s="377"/>
      <c r="W88" s="375"/>
      <c r="Y88" s="60" t="s">
        <v>91</v>
      </c>
      <c r="Z88" s="470">
        <v>0</v>
      </c>
      <c r="AA88" s="359">
        <f>2+3+1+2+1+1</f>
        <v>10</v>
      </c>
      <c r="AB88" s="470">
        <f>1+1</f>
        <v>2</v>
      </c>
      <c r="AC88" s="470">
        <f>1</f>
        <v>1</v>
      </c>
      <c r="AD88" s="470">
        <v>0</v>
      </c>
      <c r="AE88" s="60">
        <f t="shared" si="27"/>
        <v>13</v>
      </c>
      <c r="AG88" s="270" t="s">
        <v>526</v>
      </c>
      <c r="AH88" s="370">
        <f>AH86*AH64</f>
        <v>0</v>
      </c>
      <c r="AI88" s="370">
        <f>AI86*AH65</f>
        <v>6600</v>
      </c>
      <c r="AJ88" s="370">
        <f>AJ86*AH66</f>
        <v>9600</v>
      </c>
      <c r="AK88" s="370">
        <f>AK86*AH67</f>
        <v>5000</v>
      </c>
      <c r="AL88" s="370">
        <f>AL86*AH68</f>
        <v>1200</v>
      </c>
      <c r="AM88" s="270">
        <f>SUM(AH88:AL88)</f>
        <v>22400</v>
      </c>
    </row>
    <row r="89" spans="2:39">
      <c r="B89" s="64"/>
      <c r="C89" s="375"/>
      <c r="D89" s="375"/>
      <c r="E89" s="375"/>
      <c r="F89" s="64"/>
      <c r="G89" s="64"/>
      <c r="H89" s="64"/>
      <c r="I89" s="64"/>
      <c r="J89" s="64"/>
      <c r="K89" s="375"/>
      <c r="L89" s="375"/>
      <c r="M89" s="375"/>
      <c r="N89" s="375"/>
      <c r="O89" s="375"/>
      <c r="P89" s="375"/>
      <c r="Q89" s="375"/>
      <c r="R89" s="375"/>
      <c r="S89" s="375"/>
      <c r="T89" s="375"/>
      <c r="U89" s="375"/>
      <c r="V89" s="377"/>
      <c r="W89" s="375"/>
      <c r="Y89" s="60" t="s">
        <v>92</v>
      </c>
      <c r="Z89" s="470">
        <v>0</v>
      </c>
      <c r="AA89" s="359">
        <f>2+2</f>
        <v>4</v>
      </c>
      <c r="AB89" s="470">
        <f>6+1</f>
        <v>7</v>
      </c>
      <c r="AC89" s="470">
        <v>0</v>
      </c>
      <c r="AD89" s="470">
        <v>0</v>
      </c>
      <c r="AE89" s="60">
        <f t="shared" si="27"/>
        <v>11</v>
      </c>
    </row>
    <row r="90" spans="2:39">
      <c r="B90" s="64"/>
      <c r="C90" s="375"/>
      <c r="D90" s="375"/>
      <c r="E90" s="375"/>
      <c r="F90" s="64"/>
      <c r="G90" s="64"/>
      <c r="H90" s="64"/>
      <c r="I90" s="64"/>
      <c r="J90" s="64"/>
      <c r="K90" s="375"/>
      <c r="L90" s="375"/>
      <c r="M90" s="375"/>
      <c r="N90" s="375"/>
      <c r="O90" s="375"/>
      <c r="P90" s="375"/>
      <c r="Q90" s="375"/>
      <c r="R90" s="375"/>
      <c r="S90" s="375"/>
      <c r="T90" s="375"/>
      <c r="U90" s="375"/>
      <c r="V90" s="377"/>
      <c r="W90" s="375"/>
      <c r="Y90" s="60" t="s">
        <v>93</v>
      </c>
      <c r="Z90" s="470">
        <v>0</v>
      </c>
      <c r="AA90" s="359">
        <v>0</v>
      </c>
      <c r="AB90" s="470">
        <f>1+1</f>
        <v>2</v>
      </c>
      <c r="AC90" s="470">
        <f>3</f>
        <v>3</v>
      </c>
      <c r="AD90" s="470">
        <v>0</v>
      </c>
      <c r="AE90" s="60">
        <f t="shared" si="27"/>
        <v>5</v>
      </c>
    </row>
    <row r="91" spans="2:39">
      <c r="B91" s="64"/>
      <c r="C91" s="375"/>
      <c r="D91" s="375"/>
      <c r="E91" s="375"/>
      <c r="F91" s="64"/>
      <c r="G91" s="64"/>
      <c r="H91" s="64"/>
      <c r="I91" s="64"/>
      <c r="J91" s="64"/>
      <c r="K91" s="375"/>
      <c r="L91" s="375"/>
      <c r="M91" s="375"/>
      <c r="N91" s="375"/>
      <c r="O91" s="375"/>
      <c r="P91" s="375"/>
      <c r="Q91" s="375"/>
      <c r="R91" s="375"/>
      <c r="S91" s="375"/>
      <c r="T91" s="375"/>
      <c r="U91" s="375"/>
      <c r="V91" s="377"/>
      <c r="W91" s="375"/>
      <c r="Y91" s="60" t="s">
        <v>94</v>
      </c>
      <c r="Z91" s="470">
        <v>0</v>
      </c>
      <c r="AA91" s="417">
        <f>1</f>
        <v>1</v>
      </c>
      <c r="AB91" s="470">
        <f>1+1</f>
        <v>2</v>
      </c>
      <c r="AC91" s="470">
        <f>4</f>
        <v>4</v>
      </c>
      <c r="AD91" s="470">
        <v>0</v>
      </c>
      <c r="AE91" s="60">
        <f t="shared" si="27"/>
        <v>7</v>
      </c>
    </row>
    <row r="92" spans="2:39">
      <c r="B92" s="64"/>
      <c r="C92" s="375"/>
      <c r="D92" s="375"/>
      <c r="E92" s="375"/>
      <c r="F92" s="64"/>
      <c r="G92" s="64"/>
      <c r="H92" s="64"/>
      <c r="I92" s="64"/>
      <c r="J92" s="64"/>
      <c r="K92" s="375"/>
      <c r="L92" s="375"/>
      <c r="M92" s="375"/>
      <c r="N92" s="375"/>
      <c r="O92" s="375"/>
      <c r="P92" s="375"/>
      <c r="Q92" s="375"/>
      <c r="R92" s="375"/>
      <c r="S92" s="375"/>
      <c r="T92" s="375"/>
      <c r="U92" s="375"/>
      <c r="V92" s="377"/>
      <c r="W92" s="375"/>
      <c r="Y92" s="366" t="s">
        <v>482</v>
      </c>
      <c r="Z92" s="367">
        <v>0</v>
      </c>
      <c r="AA92" s="367">
        <f>1</f>
        <v>1</v>
      </c>
      <c r="AB92" s="367">
        <f>2</f>
        <v>2</v>
      </c>
      <c r="AC92" s="367">
        <v>0</v>
      </c>
      <c r="AD92" s="367">
        <v>0</v>
      </c>
      <c r="AE92" s="366">
        <f t="shared" si="27"/>
        <v>3</v>
      </c>
    </row>
    <row r="93" spans="2:39">
      <c r="B93" s="64"/>
      <c r="C93" s="375"/>
      <c r="D93" s="375"/>
      <c r="E93" s="375"/>
      <c r="F93" s="64"/>
      <c r="G93" s="64"/>
      <c r="H93" s="64"/>
      <c r="I93" s="64"/>
      <c r="J93" s="64"/>
      <c r="K93" s="375"/>
      <c r="L93" s="375"/>
      <c r="M93" s="375"/>
      <c r="N93" s="375"/>
      <c r="O93" s="375"/>
      <c r="P93" s="375"/>
      <c r="Q93" s="375"/>
      <c r="R93" s="375"/>
      <c r="S93" s="375"/>
      <c r="T93" s="375"/>
      <c r="U93" s="375"/>
      <c r="V93" s="377"/>
      <c r="W93" s="375"/>
      <c r="Y93" s="270" t="s">
        <v>493</v>
      </c>
      <c r="Z93" s="368">
        <f t="shared" ref="Z93:AE93" si="29">SUM(Z81:Z92)</f>
        <v>0</v>
      </c>
      <c r="AA93" s="368">
        <f t="shared" si="29"/>
        <v>44</v>
      </c>
      <c r="AB93" s="368">
        <f t="shared" si="29"/>
        <v>48</v>
      </c>
      <c r="AC93" s="368">
        <f t="shared" si="29"/>
        <v>20</v>
      </c>
      <c r="AD93" s="368">
        <f t="shared" si="29"/>
        <v>4</v>
      </c>
      <c r="AE93" s="369">
        <f t="shared" si="29"/>
        <v>116</v>
      </c>
    </row>
    <row r="94" spans="2:39">
      <c r="B94" s="64"/>
      <c r="C94" s="375"/>
      <c r="D94" s="375"/>
      <c r="E94" s="375"/>
      <c r="F94" s="64"/>
      <c r="G94" s="64"/>
      <c r="H94" s="64"/>
      <c r="I94" s="64"/>
      <c r="J94" s="64"/>
      <c r="K94" s="375"/>
      <c r="L94" s="375"/>
      <c r="M94" s="375"/>
      <c r="N94" s="375"/>
      <c r="O94" s="375"/>
      <c r="P94" s="375"/>
      <c r="Q94" s="375"/>
      <c r="R94" s="375"/>
      <c r="S94" s="375"/>
      <c r="T94" s="375"/>
      <c r="U94" s="375"/>
      <c r="V94" s="377"/>
      <c r="W94" s="375"/>
      <c r="Y94" s="270" t="s">
        <v>492</v>
      </c>
      <c r="Z94" s="418">
        <f>PRODUCT(Z93*AI64)</f>
        <v>0</v>
      </c>
      <c r="AA94" s="418">
        <f>PRODUCT(AA93*AI65)</f>
        <v>720.23159999999996</v>
      </c>
      <c r="AB94" s="418">
        <f>PRODUCT(AB93*AI66)</f>
        <v>803.84159999999997</v>
      </c>
      <c r="AC94" s="418">
        <f>PRODUCT(AC93*AI67)</f>
        <v>337.73200000000003</v>
      </c>
      <c r="AD94" s="418">
        <f>PRODUCT(AD93*AI68)</f>
        <v>68</v>
      </c>
      <c r="AE94" s="419">
        <f>SUM(Z94:AD94)</f>
        <v>1929.8051999999998</v>
      </c>
    </row>
    <row r="95" spans="2:39">
      <c r="B95" s="64"/>
      <c r="C95" s="375"/>
      <c r="D95" s="375"/>
      <c r="E95" s="375"/>
      <c r="F95" s="64"/>
      <c r="G95" s="64"/>
      <c r="H95" s="64"/>
      <c r="I95" s="64"/>
      <c r="J95" s="64"/>
      <c r="K95" s="375"/>
      <c r="L95" s="375"/>
      <c r="M95" s="375"/>
      <c r="N95" s="375"/>
      <c r="O95" s="375"/>
      <c r="P95" s="375"/>
      <c r="Q95" s="375"/>
      <c r="R95" s="375"/>
      <c r="S95" s="375"/>
      <c r="T95" s="375"/>
      <c r="U95" s="375"/>
      <c r="V95" s="377"/>
      <c r="W95" s="375"/>
      <c r="Y95" s="270" t="s">
        <v>526</v>
      </c>
      <c r="Z95" s="370">
        <f>Z93*AH64</f>
        <v>0</v>
      </c>
      <c r="AA95" s="370">
        <f>AA93*AH65</f>
        <v>6600</v>
      </c>
      <c r="AB95" s="370">
        <f>AB93*AH66</f>
        <v>9600</v>
      </c>
      <c r="AC95" s="370">
        <f>AC93*AH67</f>
        <v>5000</v>
      </c>
      <c r="AD95" s="370">
        <f>AD93*AH68</f>
        <v>1200</v>
      </c>
      <c r="AE95" s="270">
        <f>SUM(Z95:AD95)</f>
        <v>22400</v>
      </c>
    </row>
    <row r="96" spans="2:39">
      <c r="B96" s="64"/>
      <c r="C96" s="375"/>
      <c r="D96" s="375"/>
      <c r="E96" s="375"/>
      <c r="F96" s="64"/>
      <c r="G96" s="64"/>
      <c r="H96" s="64"/>
      <c r="I96" s="64"/>
      <c r="J96" s="64"/>
      <c r="K96" s="375"/>
      <c r="L96" s="375"/>
      <c r="M96" s="375"/>
      <c r="N96" s="375"/>
      <c r="O96" s="375"/>
      <c r="P96" s="375"/>
      <c r="Q96" s="375"/>
      <c r="R96" s="375"/>
      <c r="S96" s="375"/>
      <c r="T96" s="375"/>
      <c r="U96" s="375"/>
      <c r="V96" s="377"/>
      <c r="W96" s="375"/>
    </row>
    <row r="97" spans="2:23">
      <c r="B97" s="64"/>
      <c r="C97" s="375"/>
      <c r="D97" s="375"/>
      <c r="E97" s="375"/>
      <c r="F97" s="64"/>
      <c r="G97" s="64"/>
      <c r="H97" s="64"/>
      <c r="I97" s="64"/>
      <c r="J97" s="64"/>
      <c r="K97" s="375"/>
      <c r="L97" s="375"/>
      <c r="M97" s="375"/>
      <c r="N97" s="375"/>
      <c r="O97" s="375"/>
      <c r="P97" s="375"/>
      <c r="Q97" s="375"/>
      <c r="R97" s="375"/>
      <c r="S97" s="375"/>
      <c r="T97" s="375"/>
      <c r="U97" s="375"/>
      <c r="V97" s="377"/>
      <c r="W97" s="375"/>
    </row>
    <row r="98" spans="2:23">
      <c r="B98" s="64"/>
      <c r="C98" s="375"/>
      <c r="D98" s="375"/>
      <c r="E98" s="375"/>
      <c r="F98" s="64"/>
      <c r="G98" s="64"/>
      <c r="H98" s="64"/>
      <c r="I98" s="64"/>
      <c r="J98" s="64"/>
      <c r="K98" s="375"/>
      <c r="L98" s="375"/>
      <c r="M98" s="375"/>
      <c r="N98" s="375"/>
      <c r="O98" s="375"/>
      <c r="P98" s="375"/>
      <c r="Q98" s="375"/>
      <c r="R98" s="375"/>
      <c r="S98" s="375"/>
      <c r="T98" s="375"/>
      <c r="U98" s="375"/>
      <c r="V98" s="377"/>
      <c r="W98" s="375"/>
    </row>
    <row r="99" spans="2:23">
      <c r="B99" s="64"/>
      <c r="C99" s="375"/>
      <c r="D99" s="375"/>
      <c r="E99" s="375"/>
      <c r="F99" s="64"/>
      <c r="G99" s="64"/>
      <c r="H99" s="64"/>
      <c r="I99" s="64"/>
      <c r="J99" s="64"/>
      <c r="K99" s="375"/>
      <c r="L99" s="375"/>
      <c r="M99" s="375"/>
      <c r="N99" s="375"/>
      <c r="O99" s="375"/>
      <c r="P99" s="375"/>
      <c r="Q99" s="375"/>
      <c r="R99" s="375"/>
      <c r="S99" s="375"/>
      <c r="T99" s="375"/>
      <c r="U99" s="375"/>
      <c r="V99" s="377"/>
      <c r="W99" s="375"/>
    </row>
    <row r="100" spans="2:23">
      <c r="B100" s="64"/>
      <c r="C100" s="375"/>
      <c r="D100" s="375"/>
      <c r="E100" s="375"/>
      <c r="F100" s="64"/>
      <c r="G100" s="64"/>
      <c r="H100" s="64"/>
      <c r="I100" s="64"/>
      <c r="J100" s="64"/>
      <c r="K100" s="375"/>
      <c r="L100" s="375"/>
      <c r="M100" s="375"/>
      <c r="N100" s="375"/>
      <c r="O100" s="375"/>
      <c r="P100" s="375"/>
      <c r="Q100" s="375"/>
      <c r="R100" s="375"/>
      <c r="S100" s="375"/>
      <c r="T100" s="375"/>
      <c r="U100" s="375"/>
      <c r="V100" s="377"/>
      <c r="W100" s="375"/>
    </row>
    <row r="101" spans="2:23">
      <c r="B101" s="64"/>
      <c r="C101" s="375"/>
      <c r="D101" s="375"/>
      <c r="E101" s="375"/>
      <c r="F101" s="64"/>
      <c r="G101" s="64"/>
      <c r="H101" s="64"/>
      <c r="I101" s="64"/>
      <c r="J101" s="64"/>
      <c r="K101" s="375"/>
      <c r="L101" s="375"/>
      <c r="M101" s="375"/>
      <c r="N101" s="375"/>
      <c r="O101" s="375"/>
      <c r="P101" s="375"/>
      <c r="Q101" s="375"/>
      <c r="R101" s="375"/>
      <c r="S101" s="375"/>
      <c r="T101" s="375"/>
      <c r="U101" s="375"/>
      <c r="V101" s="377"/>
      <c r="W101" s="375"/>
    </row>
    <row r="102" spans="2:23">
      <c r="B102" s="64"/>
      <c r="C102" s="375"/>
      <c r="D102" s="375"/>
      <c r="E102" s="375"/>
      <c r="F102" s="64"/>
      <c r="G102" s="64"/>
      <c r="H102" s="64"/>
      <c r="I102" s="64"/>
      <c r="J102" s="64"/>
      <c r="K102" s="375"/>
      <c r="L102" s="375"/>
      <c r="M102" s="375"/>
      <c r="N102" s="375"/>
      <c r="O102" s="375"/>
      <c r="P102" s="375"/>
      <c r="Q102" s="375"/>
      <c r="R102" s="375"/>
      <c r="S102" s="375"/>
      <c r="T102" s="375"/>
      <c r="U102" s="375"/>
      <c r="V102" s="377"/>
      <c r="W102" s="375"/>
    </row>
    <row r="103" spans="2:23">
      <c r="B103" s="64"/>
      <c r="C103" s="375"/>
      <c r="D103" s="375"/>
      <c r="E103" s="375"/>
      <c r="F103" s="64"/>
      <c r="G103" s="64"/>
      <c r="H103" s="64"/>
      <c r="I103" s="64"/>
      <c r="J103" s="64"/>
      <c r="K103" s="375"/>
      <c r="L103" s="375"/>
      <c r="M103" s="375"/>
      <c r="N103" s="375"/>
      <c r="O103" s="375"/>
      <c r="P103" s="375"/>
      <c r="Q103" s="375"/>
      <c r="R103" s="375"/>
      <c r="S103" s="375"/>
      <c r="T103" s="375"/>
      <c r="U103" s="375"/>
      <c r="V103" s="377"/>
      <c r="W103" s="375"/>
    </row>
    <row r="104" spans="2:23">
      <c r="B104" s="64"/>
      <c r="C104" s="375"/>
      <c r="D104" s="375"/>
      <c r="E104" s="375"/>
      <c r="F104" s="64"/>
      <c r="G104" s="64"/>
      <c r="H104" s="64"/>
      <c r="I104" s="64"/>
      <c r="J104" s="64"/>
      <c r="K104" s="375"/>
      <c r="L104" s="375"/>
      <c r="M104" s="375"/>
      <c r="N104" s="375"/>
      <c r="O104" s="375"/>
      <c r="P104" s="375"/>
      <c r="Q104" s="375"/>
      <c r="R104" s="375"/>
      <c r="S104" s="375"/>
      <c r="T104" s="375"/>
      <c r="U104" s="375"/>
      <c r="V104" s="377"/>
      <c r="W104" s="375"/>
    </row>
    <row r="105" spans="2:23">
      <c r="B105" s="64"/>
      <c r="C105" s="375"/>
      <c r="D105" s="375"/>
      <c r="E105" s="375"/>
      <c r="F105" s="64"/>
      <c r="G105" s="64"/>
      <c r="H105" s="64"/>
      <c r="I105" s="64"/>
      <c r="J105" s="64"/>
      <c r="K105" s="375"/>
      <c r="L105" s="375"/>
      <c r="M105" s="375"/>
      <c r="N105" s="375"/>
      <c r="O105" s="375"/>
      <c r="P105" s="375"/>
      <c r="Q105" s="375"/>
      <c r="R105" s="375"/>
      <c r="S105" s="375"/>
      <c r="T105" s="375"/>
      <c r="U105" s="375"/>
      <c r="V105" s="377"/>
      <c r="W105" s="375"/>
    </row>
    <row r="106" spans="2:23">
      <c r="B106" s="64"/>
      <c r="C106" s="375"/>
      <c r="D106" s="375"/>
      <c r="E106" s="375"/>
      <c r="F106" s="64"/>
      <c r="G106" s="64"/>
      <c r="H106" s="64"/>
      <c r="I106" s="64"/>
      <c r="J106" s="64"/>
      <c r="K106" s="375"/>
      <c r="L106" s="375"/>
      <c r="M106" s="375"/>
      <c r="N106" s="375"/>
      <c r="O106" s="375"/>
      <c r="P106" s="375"/>
      <c r="Q106" s="375"/>
      <c r="R106" s="375"/>
      <c r="S106" s="375"/>
      <c r="T106" s="375"/>
      <c r="U106" s="375"/>
      <c r="V106" s="377"/>
      <c r="W106" s="375"/>
    </row>
    <row r="107" spans="2:23">
      <c r="B107" s="64"/>
      <c r="C107" s="375"/>
      <c r="D107" s="375"/>
      <c r="E107" s="375"/>
      <c r="F107" s="64"/>
      <c r="G107" s="64"/>
      <c r="H107" s="64"/>
      <c r="I107" s="64"/>
      <c r="J107" s="64"/>
      <c r="K107" s="375"/>
      <c r="L107" s="375"/>
      <c r="M107" s="375"/>
      <c r="N107" s="375"/>
      <c r="O107" s="375"/>
      <c r="P107" s="375"/>
      <c r="Q107" s="375"/>
      <c r="R107" s="375"/>
      <c r="S107" s="375"/>
      <c r="T107" s="375"/>
      <c r="U107" s="375"/>
      <c r="V107" s="377"/>
      <c r="W107" s="375"/>
    </row>
    <row r="108" spans="2:23">
      <c r="B108" s="64"/>
      <c r="C108" s="375"/>
      <c r="D108" s="375"/>
      <c r="E108" s="375"/>
      <c r="F108" s="64"/>
      <c r="G108" s="64"/>
      <c r="H108" s="64"/>
      <c r="I108" s="64"/>
      <c r="J108" s="64"/>
      <c r="K108" s="375"/>
      <c r="L108" s="375"/>
      <c r="M108" s="375"/>
      <c r="N108" s="375"/>
      <c r="O108" s="375"/>
      <c r="P108" s="375"/>
      <c r="Q108" s="375"/>
      <c r="R108" s="375"/>
      <c r="S108" s="375"/>
      <c r="T108" s="375"/>
      <c r="U108" s="375"/>
      <c r="V108" s="377"/>
      <c r="W108" s="375"/>
    </row>
    <row r="109" spans="2:23">
      <c r="B109" s="64"/>
      <c r="C109" s="375"/>
      <c r="D109" s="375"/>
      <c r="E109" s="375"/>
      <c r="F109" s="64"/>
      <c r="G109" s="64"/>
      <c r="H109" s="64"/>
      <c r="I109" s="64"/>
      <c r="J109" s="64"/>
      <c r="K109" s="375"/>
      <c r="L109" s="375"/>
      <c r="M109" s="375"/>
      <c r="N109" s="375"/>
      <c r="O109" s="375"/>
      <c r="P109" s="375"/>
      <c r="Q109" s="375"/>
      <c r="R109" s="375"/>
      <c r="S109" s="375"/>
      <c r="T109" s="375"/>
      <c r="U109" s="375"/>
      <c r="V109" s="377"/>
      <c r="W109" s="375"/>
    </row>
    <row r="110" spans="2:23">
      <c r="B110" s="64"/>
      <c r="C110" s="375"/>
      <c r="D110" s="375"/>
      <c r="E110" s="375"/>
      <c r="F110" s="64"/>
      <c r="G110" s="64"/>
      <c r="H110" s="64"/>
      <c r="I110" s="64"/>
      <c r="J110" s="64"/>
      <c r="K110" s="375"/>
      <c r="L110" s="375"/>
      <c r="M110" s="375"/>
      <c r="N110" s="375"/>
      <c r="O110" s="375"/>
      <c r="P110" s="375"/>
      <c r="Q110" s="375"/>
      <c r="R110" s="375"/>
      <c r="S110" s="375"/>
      <c r="T110" s="375"/>
      <c r="U110" s="375"/>
      <c r="V110" s="377"/>
      <c r="W110" s="375"/>
    </row>
    <row r="111" spans="2:23">
      <c r="B111" s="64"/>
      <c r="C111" s="375"/>
      <c r="D111" s="375"/>
      <c r="E111" s="375"/>
      <c r="F111" s="64"/>
      <c r="G111" s="64"/>
      <c r="H111" s="64"/>
      <c r="I111" s="64"/>
      <c r="J111" s="64"/>
      <c r="K111" s="375"/>
      <c r="L111" s="375"/>
      <c r="M111" s="375"/>
      <c r="N111" s="375"/>
      <c r="O111" s="375"/>
      <c r="P111" s="375"/>
      <c r="Q111" s="375"/>
      <c r="R111" s="375"/>
      <c r="S111" s="375"/>
      <c r="T111" s="375"/>
      <c r="U111" s="375"/>
      <c r="V111" s="377"/>
      <c r="W111" s="375"/>
    </row>
    <row r="112" spans="2:23">
      <c r="B112" s="64"/>
      <c r="C112" s="375"/>
      <c r="D112" s="375"/>
      <c r="E112" s="375"/>
      <c r="F112" s="64"/>
      <c r="G112" s="64"/>
      <c r="H112" s="64"/>
      <c r="I112" s="64"/>
      <c r="J112" s="64"/>
      <c r="K112" s="375"/>
      <c r="L112" s="375"/>
      <c r="M112" s="375"/>
      <c r="N112" s="375"/>
      <c r="O112" s="375"/>
      <c r="P112" s="375"/>
      <c r="Q112" s="375"/>
      <c r="R112" s="375"/>
      <c r="S112" s="375"/>
      <c r="T112" s="375"/>
      <c r="U112" s="375"/>
      <c r="V112" s="377"/>
      <c r="W112" s="375"/>
    </row>
    <row r="113" spans="1:23">
      <c r="B113" s="64"/>
      <c r="C113" s="375"/>
      <c r="D113" s="375"/>
      <c r="E113" s="375"/>
      <c r="F113" s="64"/>
      <c r="G113" s="64"/>
      <c r="H113" s="64"/>
      <c r="I113" s="64"/>
      <c r="J113" s="64"/>
      <c r="K113" s="375"/>
      <c r="L113" s="375"/>
      <c r="M113" s="375"/>
      <c r="N113" s="375"/>
      <c r="O113" s="375"/>
      <c r="P113" s="375"/>
      <c r="Q113" s="375"/>
      <c r="R113" s="375"/>
      <c r="S113" s="375"/>
      <c r="T113" s="375"/>
      <c r="U113" s="375"/>
      <c r="V113" s="377"/>
      <c r="W113" s="375"/>
    </row>
    <row r="114" spans="1:23">
      <c r="B114" s="64"/>
      <c r="C114" s="375"/>
      <c r="D114" s="375"/>
      <c r="E114" s="375"/>
      <c r="F114" s="64"/>
      <c r="G114" s="64"/>
      <c r="H114" s="64"/>
      <c r="I114" s="64"/>
      <c r="J114" s="64"/>
      <c r="K114" s="375"/>
      <c r="L114" s="375"/>
      <c r="M114" s="375"/>
      <c r="N114" s="375"/>
      <c r="O114" s="375"/>
      <c r="P114" s="375"/>
      <c r="Q114" s="375"/>
      <c r="R114" s="375"/>
      <c r="S114" s="375"/>
      <c r="T114" s="375"/>
      <c r="U114" s="375"/>
      <c r="V114" s="377"/>
      <c r="W114" s="375"/>
    </row>
    <row r="115" spans="1:23">
      <c r="B115" s="64"/>
      <c r="C115" s="375"/>
      <c r="D115" s="375"/>
      <c r="E115" s="375"/>
      <c r="F115" s="64"/>
      <c r="G115" s="64"/>
      <c r="H115" s="64"/>
      <c r="I115" s="64"/>
      <c r="J115" s="64"/>
      <c r="K115" s="375"/>
      <c r="L115" s="375"/>
      <c r="M115" s="375"/>
      <c r="N115" s="375"/>
      <c r="O115" s="375"/>
      <c r="P115" s="375"/>
      <c r="Q115" s="375"/>
      <c r="R115" s="375"/>
      <c r="S115" s="375"/>
      <c r="T115" s="375"/>
      <c r="U115" s="375"/>
      <c r="V115" s="377"/>
      <c r="W115" s="375"/>
    </row>
    <row r="116" spans="1:23">
      <c r="B116" s="64"/>
      <c r="C116" s="375"/>
      <c r="D116" s="375"/>
      <c r="E116" s="375"/>
      <c r="F116" s="64"/>
      <c r="G116" s="64"/>
      <c r="H116" s="64"/>
      <c r="I116" s="64"/>
      <c r="J116" s="64"/>
      <c r="K116" s="375"/>
      <c r="L116" s="375"/>
      <c r="M116" s="375"/>
      <c r="N116" s="375"/>
      <c r="O116" s="375"/>
      <c r="P116" s="375"/>
      <c r="Q116" s="375"/>
      <c r="R116" s="375"/>
      <c r="S116" s="375"/>
      <c r="T116" s="375"/>
      <c r="U116" s="375"/>
      <c r="V116" s="377"/>
      <c r="W116" s="375"/>
    </row>
    <row r="117" spans="1:23">
      <c r="B117" s="64"/>
      <c r="C117" s="375"/>
      <c r="D117" s="375"/>
      <c r="E117" s="375"/>
      <c r="F117" s="64"/>
      <c r="G117" s="64"/>
      <c r="H117" s="64"/>
      <c r="I117" s="64"/>
      <c r="J117" s="64"/>
      <c r="K117" s="375"/>
      <c r="L117" s="375"/>
      <c r="M117" s="375"/>
      <c r="N117" s="375"/>
      <c r="O117" s="375"/>
      <c r="P117" s="375"/>
      <c r="Q117" s="375"/>
      <c r="R117" s="375"/>
      <c r="S117" s="375"/>
      <c r="T117" s="375"/>
      <c r="U117" s="375"/>
      <c r="V117" s="377"/>
      <c r="W117" s="375"/>
    </row>
    <row r="118" spans="1:23">
      <c r="B118" s="64"/>
      <c r="C118" s="375"/>
      <c r="D118" s="375"/>
      <c r="E118" s="375"/>
      <c r="F118" s="64"/>
      <c r="G118" s="64"/>
      <c r="H118" s="64"/>
      <c r="I118" s="64"/>
      <c r="J118" s="64"/>
      <c r="K118" s="375"/>
      <c r="L118" s="375"/>
      <c r="M118" s="375"/>
      <c r="N118" s="375"/>
      <c r="O118" s="375"/>
      <c r="P118" s="375"/>
      <c r="Q118" s="375"/>
      <c r="R118" s="375"/>
      <c r="S118" s="375"/>
      <c r="T118" s="375"/>
      <c r="U118" s="375"/>
      <c r="V118" s="377"/>
      <c r="W118" s="375"/>
    </row>
    <row r="119" spans="1:23">
      <c r="B119" s="64"/>
      <c r="C119" s="375"/>
      <c r="D119" s="375"/>
      <c r="E119" s="375"/>
      <c r="F119" s="64"/>
      <c r="G119" s="64"/>
      <c r="H119" s="64"/>
      <c r="I119" s="64"/>
      <c r="J119" s="64"/>
      <c r="K119" s="375"/>
      <c r="L119" s="375"/>
      <c r="M119" s="375"/>
      <c r="N119" s="375"/>
      <c r="O119" s="375"/>
      <c r="P119" s="375"/>
      <c r="Q119" s="375"/>
      <c r="R119" s="375"/>
      <c r="S119" s="375"/>
      <c r="T119" s="375"/>
      <c r="U119" s="375"/>
      <c r="V119" s="377"/>
      <c r="W119" s="375"/>
    </row>
    <row r="120" spans="1:23">
      <c r="B120" s="64"/>
      <c r="C120" s="375"/>
      <c r="D120" s="375"/>
      <c r="E120" s="375"/>
      <c r="F120" s="64"/>
      <c r="G120" s="64"/>
      <c r="H120" s="64"/>
      <c r="I120" s="64"/>
      <c r="J120" s="64"/>
      <c r="K120" s="375"/>
      <c r="L120" s="375"/>
      <c r="M120" s="375"/>
      <c r="N120" s="375"/>
      <c r="O120" s="375"/>
      <c r="P120" s="375"/>
      <c r="Q120" s="375"/>
      <c r="R120" s="375"/>
      <c r="S120" s="375"/>
      <c r="T120" s="375"/>
      <c r="U120" s="375"/>
      <c r="V120" s="377"/>
      <c r="W120" s="375"/>
    </row>
    <row r="121" spans="1:23">
      <c r="B121" s="64"/>
      <c r="C121" s="375"/>
      <c r="D121" s="375"/>
      <c r="E121" s="375"/>
      <c r="F121" s="64"/>
      <c r="G121" s="64"/>
      <c r="H121" s="64"/>
      <c r="I121" s="64"/>
      <c r="J121" s="64"/>
      <c r="K121" s="375"/>
      <c r="L121" s="375"/>
      <c r="M121" s="375"/>
      <c r="N121" s="375"/>
      <c r="O121" s="375"/>
      <c r="P121" s="375"/>
      <c r="Q121" s="375"/>
      <c r="R121" s="375"/>
      <c r="S121" s="375"/>
      <c r="T121" s="375"/>
      <c r="U121" s="375"/>
      <c r="V121" s="377"/>
      <c r="W121" s="375"/>
    </row>
    <row r="122" spans="1:23">
      <c r="B122" s="64"/>
      <c r="C122" s="375"/>
      <c r="D122" s="375"/>
      <c r="E122" s="375"/>
      <c r="F122" s="64"/>
      <c r="G122" s="64"/>
      <c r="H122" s="64"/>
      <c r="I122" s="64"/>
      <c r="J122" s="64"/>
      <c r="K122" s="375"/>
      <c r="L122" s="375"/>
      <c r="M122" s="375"/>
      <c r="N122" s="375"/>
      <c r="O122" s="375"/>
      <c r="P122" s="375"/>
      <c r="Q122" s="375"/>
      <c r="R122" s="375"/>
      <c r="S122" s="375"/>
      <c r="T122" s="375"/>
      <c r="U122" s="375"/>
      <c r="V122" s="377"/>
      <c r="W122" s="375"/>
    </row>
    <row r="123" spans="1:23">
      <c r="B123" s="64"/>
      <c r="C123" s="375"/>
      <c r="D123" s="375"/>
      <c r="E123" s="375"/>
      <c r="F123" s="64"/>
      <c r="G123" s="64"/>
      <c r="H123" s="64"/>
      <c r="I123" s="64"/>
      <c r="J123" s="64"/>
      <c r="K123" s="375"/>
      <c r="L123" s="375"/>
      <c r="M123" s="375"/>
      <c r="N123" s="375"/>
      <c r="O123" s="375"/>
      <c r="P123" s="375"/>
      <c r="Q123" s="375"/>
      <c r="R123" s="375"/>
      <c r="S123" s="375"/>
      <c r="T123" s="375"/>
      <c r="U123" s="375"/>
      <c r="V123" s="377"/>
      <c r="W123" s="375"/>
    </row>
    <row r="124" spans="1:23">
      <c r="A124" s="375"/>
      <c r="B124" s="64"/>
      <c r="C124" s="375"/>
      <c r="D124" s="375"/>
      <c r="E124" s="375"/>
      <c r="F124" s="64"/>
      <c r="G124" s="64"/>
      <c r="H124" s="64"/>
      <c r="I124" s="64"/>
      <c r="J124" s="64"/>
      <c r="K124" s="375"/>
      <c r="L124" s="375"/>
      <c r="M124" s="375"/>
      <c r="N124" s="375"/>
      <c r="O124" s="375"/>
      <c r="P124" s="375"/>
      <c r="Q124" s="375"/>
      <c r="R124" s="375"/>
      <c r="S124" s="375"/>
      <c r="T124" s="375"/>
      <c r="U124" s="375"/>
      <c r="V124" s="377"/>
      <c r="W124" s="375"/>
    </row>
    <row r="125" spans="1:23">
      <c r="A125" s="375"/>
      <c r="B125" s="64"/>
      <c r="C125" s="375"/>
      <c r="D125" s="375"/>
      <c r="E125" s="375"/>
      <c r="F125" s="64"/>
      <c r="G125" s="64"/>
      <c r="H125" s="64"/>
      <c r="I125" s="64"/>
      <c r="J125" s="64"/>
      <c r="K125" s="375"/>
      <c r="L125" s="375"/>
      <c r="M125" s="375"/>
      <c r="N125" s="375"/>
      <c r="O125" s="375"/>
      <c r="P125" s="375"/>
      <c r="Q125" s="375"/>
      <c r="R125" s="375"/>
      <c r="S125" s="375"/>
      <c r="T125" s="375"/>
      <c r="U125" s="375"/>
      <c r="V125" s="377"/>
      <c r="W125" s="375"/>
    </row>
    <row r="126" spans="1:23">
      <c r="A126" s="375"/>
      <c r="B126" s="64"/>
      <c r="C126" s="375"/>
      <c r="D126" s="375"/>
      <c r="E126" s="375"/>
      <c r="F126" s="64"/>
      <c r="G126" s="64"/>
      <c r="H126" s="64"/>
      <c r="I126" s="64"/>
      <c r="J126" s="64"/>
      <c r="K126" s="375"/>
      <c r="L126" s="375"/>
      <c r="M126" s="375"/>
      <c r="N126" s="375"/>
      <c r="O126" s="375"/>
      <c r="P126" s="375"/>
      <c r="Q126" s="375"/>
      <c r="R126" s="375"/>
      <c r="S126" s="375"/>
      <c r="T126" s="375"/>
      <c r="U126" s="375"/>
      <c r="V126" s="377"/>
      <c r="W126" s="375"/>
    </row>
    <row r="127" spans="1:23">
      <c r="A127" s="375"/>
      <c r="B127" s="64"/>
      <c r="C127" s="375"/>
      <c r="D127" s="375"/>
      <c r="E127" s="375"/>
      <c r="F127" s="64"/>
      <c r="G127" s="64"/>
      <c r="H127" s="64"/>
      <c r="I127" s="64"/>
      <c r="J127" s="64"/>
      <c r="K127" s="375"/>
      <c r="L127" s="375"/>
      <c r="M127" s="375"/>
      <c r="N127" s="375"/>
      <c r="O127" s="375"/>
      <c r="P127" s="375"/>
      <c r="Q127" s="375"/>
      <c r="R127" s="375"/>
      <c r="S127" s="375"/>
      <c r="T127" s="375"/>
      <c r="U127" s="375"/>
      <c r="V127" s="377"/>
      <c r="W127" s="375"/>
    </row>
    <row r="128" spans="1:23">
      <c r="A128" s="375"/>
      <c r="B128" s="64"/>
      <c r="C128" s="375"/>
      <c r="D128" s="375"/>
      <c r="E128" s="375"/>
      <c r="F128" s="64"/>
      <c r="G128" s="64"/>
      <c r="H128" s="64"/>
      <c r="I128" s="64"/>
      <c r="J128" s="64"/>
      <c r="K128" s="375"/>
      <c r="L128" s="375"/>
      <c r="M128" s="375"/>
      <c r="N128" s="375"/>
      <c r="O128" s="375"/>
      <c r="P128" s="375"/>
      <c r="Q128" s="375"/>
      <c r="R128" s="375"/>
      <c r="S128" s="375"/>
      <c r="T128" s="375"/>
      <c r="U128" s="375"/>
      <c r="V128" s="377"/>
      <c r="W128" s="375"/>
    </row>
    <row r="129" spans="1:23">
      <c r="A129" s="375"/>
      <c r="B129" s="64"/>
      <c r="C129" s="375"/>
      <c r="D129" s="375"/>
      <c r="E129" s="375"/>
      <c r="F129" s="64"/>
      <c r="G129" s="64"/>
      <c r="H129" s="64"/>
      <c r="I129" s="64"/>
      <c r="J129" s="64"/>
      <c r="K129" s="375"/>
      <c r="L129" s="375"/>
      <c r="M129" s="375"/>
      <c r="N129" s="375"/>
      <c r="O129" s="375"/>
      <c r="P129" s="375"/>
      <c r="Q129" s="375"/>
      <c r="R129" s="375"/>
      <c r="S129" s="375"/>
      <c r="T129" s="375"/>
      <c r="U129" s="375"/>
      <c r="V129" s="377"/>
      <c r="W129" s="375"/>
    </row>
    <row r="130" spans="1:23">
      <c r="A130" s="375"/>
      <c r="B130" s="64"/>
      <c r="C130" s="375"/>
      <c r="D130" s="375"/>
      <c r="E130" s="375"/>
      <c r="F130" s="64"/>
      <c r="G130" s="64"/>
      <c r="H130" s="64"/>
      <c r="I130" s="64"/>
      <c r="J130" s="64"/>
      <c r="K130" s="375"/>
      <c r="L130" s="375"/>
      <c r="M130" s="375"/>
      <c r="N130" s="375"/>
      <c r="O130" s="375"/>
      <c r="P130" s="375"/>
      <c r="Q130" s="375"/>
      <c r="R130" s="375"/>
      <c r="S130" s="375"/>
      <c r="T130" s="375"/>
      <c r="U130" s="375"/>
      <c r="V130" s="377"/>
      <c r="W130" s="375"/>
    </row>
    <row r="131" spans="1:23">
      <c r="A131" s="375"/>
      <c r="B131" s="64"/>
      <c r="C131" s="375"/>
      <c r="D131" s="375"/>
      <c r="E131" s="375"/>
      <c r="F131" s="64"/>
      <c r="G131" s="64"/>
      <c r="H131" s="64"/>
      <c r="I131" s="64"/>
      <c r="J131" s="64"/>
      <c r="K131" s="375"/>
      <c r="L131" s="375"/>
      <c r="M131" s="375"/>
      <c r="N131" s="375"/>
      <c r="O131" s="375"/>
      <c r="P131" s="375"/>
      <c r="Q131" s="375"/>
      <c r="R131" s="375"/>
      <c r="S131" s="375"/>
      <c r="T131" s="375"/>
      <c r="U131" s="375"/>
      <c r="V131" s="377"/>
      <c r="W131" s="375"/>
    </row>
    <row r="132" spans="1:23">
      <c r="A132" s="375"/>
      <c r="B132" s="64"/>
      <c r="C132" s="375"/>
      <c r="D132" s="375"/>
      <c r="E132" s="375"/>
      <c r="F132" s="64"/>
      <c r="G132" s="64"/>
      <c r="H132" s="64"/>
      <c r="I132" s="64"/>
      <c r="J132" s="64"/>
      <c r="K132" s="375"/>
      <c r="L132" s="375"/>
      <c r="M132" s="375"/>
      <c r="N132" s="375"/>
      <c r="O132" s="375"/>
      <c r="P132" s="375"/>
      <c r="Q132" s="375"/>
      <c r="R132" s="375"/>
      <c r="S132" s="375"/>
      <c r="T132" s="375"/>
      <c r="U132" s="375"/>
      <c r="V132" s="377"/>
      <c r="W132" s="375"/>
    </row>
    <row r="133" spans="1:23">
      <c r="A133" s="375"/>
      <c r="B133" s="64"/>
      <c r="C133" s="375"/>
      <c r="D133" s="375"/>
      <c r="E133" s="375"/>
      <c r="F133" s="64"/>
      <c r="G133" s="64"/>
      <c r="H133" s="64"/>
      <c r="I133" s="64"/>
      <c r="J133" s="64"/>
      <c r="K133" s="375"/>
      <c r="L133" s="375"/>
      <c r="M133" s="375"/>
      <c r="N133" s="375"/>
      <c r="O133" s="375"/>
      <c r="P133" s="375"/>
      <c r="Q133" s="375"/>
      <c r="R133" s="375"/>
      <c r="S133" s="375"/>
      <c r="T133" s="375"/>
      <c r="U133" s="375"/>
      <c r="V133" s="377"/>
      <c r="W133" s="375"/>
    </row>
    <row r="134" spans="1:23">
      <c r="A134" s="375"/>
      <c r="B134" s="64"/>
      <c r="C134" s="375"/>
      <c r="D134" s="375"/>
      <c r="E134" s="375"/>
      <c r="F134" s="64"/>
      <c r="G134" s="64"/>
      <c r="H134" s="64"/>
      <c r="I134" s="64"/>
      <c r="J134" s="64"/>
      <c r="K134" s="375"/>
      <c r="L134" s="375"/>
      <c r="M134" s="375"/>
      <c r="N134" s="375"/>
      <c r="O134" s="375"/>
      <c r="P134" s="375"/>
      <c r="Q134" s="375"/>
      <c r="R134" s="375"/>
      <c r="S134" s="375"/>
      <c r="T134" s="375"/>
      <c r="U134" s="375"/>
      <c r="V134" s="377"/>
      <c r="W134" s="375"/>
    </row>
    <row r="135" spans="1:23">
      <c r="A135" s="375"/>
      <c r="B135" s="64"/>
      <c r="C135" s="375"/>
      <c r="D135" s="375"/>
      <c r="E135" s="375"/>
      <c r="F135" s="64"/>
      <c r="G135" s="64"/>
      <c r="H135" s="64"/>
      <c r="I135" s="64"/>
      <c r="J135" s="64"/>
      <c r="K135" s="375"/>
      <c r="L135" s="375"/>
      <c r="M135" s="375"/>
      <c r="N135" s="375"/>
      <c r="O135" s="375"/>
      <c r="P135" s="375"/>
      <c r="Q135" s="375"/>
      <c r="R135" s="375"/>
      <c r="S135" s="375"/>
      <c r="T135" s="375"/>
      <c r="U135" s="375"/>
      <c r="V135" s="377"/>
      <c r="W135" s="375"/>
    </row>
    <row r="136" spans="1:23">
      <c r="A136" s="375"/>
      <c r="B136" s="64"/>
      <c r="C136" s="375"/>
      <c r="D136" s="375"/>
      <c r="E136" s="375"/>
      <c r="F136" s="64"/>
      <c r="G136" s="64"/>
      <c r="H136" s="64"/>
      <c r="I136" s="64"/>
      <c r="J136" s="64"/>
      <c r="K136" s="375"/>
      <c r="L136" s="375"/>
      <c r="M136" s="375"/>
      <c r="N136" s="375"/>
      <c r="O136" s="375"/>
      <c r="P136" s="375"/>
      <c r="Q136" s="375"/>
      <c r="R136" s="375"/>
      <c r="S136" s="375"/>
      <c r="T136" s="375"/>
      <c r="U136" s="375"/>
      <c r="V136" s="377"/>
      <c r="W136" s="375"/>
    </row>
    <row r="137" spans="1:23">
      <c r="A137" s="375"/>
      <c r="B137" s="64"/>
      <c r="C137" s="375"/>
      <c r="D137" s="375"/>
      <c r="E137" s="375"/>
      <c r="F137" s="64"/>
      <c r="G137" s="64"/>
      <c r="H137" s="64"/>
      <c r="I137" s="64"/>
      <c r="J137" s="64"/>
      <c r="K137" s="375"/>
      <c r="L137" s="375"/>
      <c r="M137" s="375"/>
      <c r="N137" s="375"/>
      <c r="O137" s="375"/>
      <c r="P137" s="375"/>
      <c r="Q137" s="375"/>
      <c r="R137" s="375"/>
      <c r="S137" s="375"/>
      <c r="T137" s="375"/>
      <c r="U137" s="375"/>
      <c r="V137" s="377"/>
      <c r="W137" s="375"/>
    </row>
    <row r="138" spans="1:23">
      <c r="A138" s="375"/>
      <c r="B138" s="64"/>
      <c r="C138" s="375"/>
      <c r="D138" s="375"/>
      <c r="E138" s="375"/>
      <c r="F138" s="64"/>
      <c r="G138" s="64"/>
      <c r="H138" s="64"/>
      <c r="I138" s="64"/>
      <c r="J138" s="64"/>
      <c r="K138" s="375"/>
      <c r="L138" s="375"/>
      <c r="M138" s="375"/>
      <c r="N138" s="375"/>
      <c r="O138" s="375"/>
      <c r="P138" s="375"/>
      <c r="Q138" s="375"/>
      <c r="R138" s="375"/>
      <c r="S138" s="375"/>
      <c r="T138" s="375"/>
      <c r="U138" s="375"/>
      <c r="V138" s="377"/>
      <c r="W138" s="375"/>
    </row>
    <row r="139" spans="1:23">
      <c r="A139" s="375"/>
      <c r="B139" s="64"/>
      <c r="C139" s="375"/>
      <c r="D139" s="375"/>
      <c r="E139" s="375"/>
      <c r="F139" s="64"/>
      <c r="G139" s="64"/>
      <c r="H139" s="64"/>
      <c r="I139" s="64"/>
      <c r="J139" s="64"/>
      <c r="K139" s="375"/>
      <c r="L139" s="375"/>
      <c r="M139" s="375"/>
      <c r="N139" s="375"/>
      <c r="O139" s="375"/>
      <c r="P139" s="375"/>
      <c r="Q139" s="375"/>
      <c r="R139" s="375"/>
      <c r="S139" s="375"/>
      <c r="T139" s="375"/>
      <c r="U139" s="375"/>
      <c r="V139" s="377"/>
      <c r="W139" s="375"/>
    </row>
    <row r="140" spans="1:23">
      <c r="A140" s="375"/>
      <c r="B140" s="64"/>
      <c r="C140" s="375"/>
      <c r="D140" s="375"/>
      <c r="E140" s="375"/>
      <c r="F140" s="64"/>
      <c r="G140" s="64"/>
      <c r="H140" s="64"/>
      <c r="I140" s="64"/>
      <c r="J140" s="64"/>
      <c r="K140" s="375"/>
      <c r="L140" s="375"/>
      <c r="M140" s="375"/>
      <c r="N140" s="375"/>
      <c r="O140" s="375"/>
      <c r="P140" s="375"/>
      <c r="Q140" s="375"/>
      <c r="R140" s="375"/>
      <c r="S140" s="375"/>
      <c r="T140" s="375"/>
      <c r="U140" s="375"/>
      <c r="V140" s="377"/>
      <c r="W140" s="375"/>
    </row>
    <row r="141" spans="1:23">
      <c r="A141" s="375"/>
      <c r="B141" s="64"/>
      <c r="C141" s="375"/>
      <c r="D141" s="375"/>
      <c r="E141" s="375"/>
      <c r="F141" s="64"/>
      <c r="G141" s="64"/>
      <c r="H141" s="64"/>
      <c r="I141" s="64"/>
      <c r="J141" s="64"/>
      <c r="K141" s="375"/>
      <c r="L141" s="375"/>
      <c r="M141" s="375"/>
      <c r="N141" s="375"/>
      <c r="O141" s="375"/>
      <c r="P141" s="375"/>
      <c r="Q141" s="375"/>
      <c r="R141" s="375"/>
      <c r="S141" s="375"/>
      <c r="T141" s="375"/>
      <c r="U141" s="375"/>
      <c r="V141" s="377"/>
      <c r="W141" s="375"/>
    </row>
    <row r="142" spans="1:23">
      <c r="A142" s="375"/>
      <c r="B142" s="64"/>
      <c r="C142" s="375"/>
      <c r="D142" s="375"/>
      <c r="E142" s="375"/>
      <c r="F142" s="64"/>
      <c r="G142" s="64"/>
      <c r="H142" s="64"/>
      <c r="I142" s="64"/>
      <c r="J142" s="64"/>
      <c r="K142" s="375"/>
      <c r="L142" s="375"/>
      <c r="M142" s="375"/>
      <c r="N142" s="375"/>
      <c r="O142" s="375"/>
      <c r="P142" s="375"/>
      <c r="Q142" s="375"/>
      <c r="R142" s="375"/>
      <c r="S142" s="375"/>
      <c r="T142" s="375"/>
      <c r="U142" s="375"/>
      <c r="V142" s="377"/>
      <c r="W142" s="375"/>
    </row>
    <row r="143" spans="1:23">
      <c r="A143" s="375"/>
      <c r="B143" s="64"/>
      <c r="C143" s="375"/>
      <c r="D143" s="375"/>
      <c r="E143" s="375"/>
      <c r="F143" s="64"/>
      <c r="G143" s="64"/>
      <c r="H143" s="64"/>
      <c r="I143" s="64"/>
      <c r="J143" s="64"/>
      <c r="K143" s="375"/>
      <c r="L143" s="375"/>
      <c r="M143" s="375"/>
      <c r="N143" s="375"/>
      <c r="O143" s="375"/>
      <c r="P143" s="375"/>
      <c r="Q143" s="375"/>
      <c r="R143" s="375"/>
      <c r="S143" s="375"/>
      <c r="T143" s="375"/>
      <c r="U143" s="375"/>
      <c r="V143" s="377"/>
      <c r="W143" s="375"/>
    </row>
    <row r="144" spans="1:23">
      <c r="A144" s="375"/>
      <c r="B144" s="64"/>
      <c r="C144" s="375"/>
      <c r="D144" s="375"/>
      <c r="E144" s="375"/>
      <c r="F144" s="64"/>
      <c r="G144" s="64"/>
      <c r="H144" s="64"/>
      <c r="I144" s="64"/>
      <c r="J144" s="64"/>
      <c r="K144" s="375"/>
      <c r="L144" s="375"/>
      <c r="M144" s="375"/>
      <c r="N144" s="375"/>
      <c r="O144" s="375"/>
      <c r="P144" s="375"/>
      <c r="Q144" s="375"/>
      <c r="R144" s="375"/>
      <c r="S144" s="375"/>
      <c r="T144" s="375"/>
      <c r="U144" s="375"/>
      <c r="V144" s="377"/>
      <c r="W144" s="375"/>
    </row>
    <row r="145" spans="1:23">
      <c r="A145" s="375"/>
      <c r="B145" s="64"/>
      <c r="C145" s="375"/>
      <c r="D145" s="375"/>
      <c r="E145" s="375"/>
      <c r="F145" s="64"/>
      <c r="G145" s="64"/>
      <c r="H145" s="64"/>
      <c r="I145" s="64"/>
      <c r="J145" s="64"/>
      <c r="K145" s="375"/>
      <c r="L145" s="375"/>
      <c r="M145" s="375"/>
      <c r="N145" s="375"/>
      <c r="O145" s="375"/>
      <c r="P145" s="375"/>
      <c r="Q145" s="375"/>
      <c r="R145" s="375"/>
      <c r="S145" s="375"/>
      <c r="T145" s="375"/>
      <c r="U145" s="375"/>
      <c r="V145" s="377"/>
      <c r="W145" s="375"/>
    </row>
    <row r="146" spans="1:23">
      <c r="A146" s="375"/>
      <c r="B146" s="64"/>
      <c r="C146" s="375"/>
      <c r="D146" s="375"/>
      <c r="E146" s="375"/>
      <c r="F146" s="64"/>
      <c r="G146" s="64"/>
      <c r="H146" s="64"/>
      <c r="I146" s="64"/>
      <c r="J146" s="64"/>
      <c r="K146" s="375"/>
      <c r="L146" s="375"/>
      <c r="M146" s="375"/>
      <c r="N146" s="375"/>
      <c r="O146" s="375"/>
      <c r="P146" s="375"/>
      <c r="Q146" s="375"/>
      <c r="R146" s="375"/>
      <c r="S146" s="375"/>
      <c r="T146" s="375"/>
      <c r="U146" s="375"/>
      <c r="V146" s="377"/>
      <c r="W146" s="375"/>
    </row>
    <row r="147" spans="1:23">
      <c r="A147" s="375"/>
      <c r="B147" s="64"/>
      <c r="C147" s="375"/>
      <c r="D147" s="375"/>
      <c r="E147" s="375"/>
      <c r="F147" s="64"/>
      <c r="G147" s="64"/>
      <c r="H147" s="64"/>
      <c r="I147" s="64"/>
      <c r="J147" s="64"/>
      <c r="K147" s="375"/>
      <c r="L147" s="375"/>
      <c r="M147" s="375"/>
      <c r="N147" s="375"/>
      <c r="O147" s="375"/>
      <c r="P147" s="375"/>
      <c r="Q147" s="375"/>
      <c r="R147" s="375"/>
      <c r="S147" s="375"/>
      <c r="T147" s="375"/>
      <c r="U147" s="375"/>
      <c r="V147" s="377"/>
      <c r="W147" s="375"/>
    </row>
    <row r="148" spans="1:23">
      <c r="A148" s="375"/>
      <c r="B148" s="64"/>
      <c r="C148" s="375"/>
      <c r="D148" s="375"/>
      <c r="E148" s="375"/>
      <c r="F148" s="64"/>
      <c r="G148" s="64"/>
      <c r="H148" s="64"/>
      <c r="I148" s="64"/>
      <c r="J148" s="64"/>
      <c r="K148" s="375"/>
      <c r="L148" s="375"/>
      <c r="M148" s="375"/>
      <c r="N148" s="375"/>
      <c r="O148" s="375"/>
      <c r="P148" s="375"/>
      <c r="Q148" s="375"/>
      <c r="R148" s="375"/>
      <c r="S148" s="375"/>
      <c r="T148" s="375"/>
      <c r="U148" s="375"/>
      <c r="V148" s="377"/>
      <c r="W148" s="375"/>
    </row>
    <row r="149" spans="1:23">
      <c r="A149" s="375"/>
      <c r="B149" s="64"/>
      <c r="C149" s="375"/>
      <c r="D149" s="375"/>
      <c r="E149" s="375"/>
      <c r="F149" s="64"/>
      <c r="G149" s="64"/>
      <c r="H149" s="64"/>
      <c r="I149" s="64"/>
      <c r="J149" s="64"/>
      <c r="K149" s="375"/>
      <c r="L149" s="375"/>
      <c r="M149" s="375"/>
      <c r="N149" s="375"/>
      <c r="O149" s="375"/>
      <c r="P149" s="375"/>
      <c r="Q149" s="375"/>
      <c r="R149" s="375"/>
      <c r="S149" s="375"/>
      <c r="T149" s="375"/>
      <c r="U149" s="375"/>
      <c r="V149" s="377"/>
      <c r="W149" s="375"/>
    </row>
    <row r="150" spans="1:23">
      <c r="A150" s="375"/>
      <c r="B150" s="64"/>
      <c r="C150" s="375"/>
      <c r="D150" s="375"/>
      <c r="E150" s="375"/>
      <c r="F150" s="64"/>
      <c r="G150" s="64"/>
      <c r="H150" s="64"/>
      <c r="I150" s="64"/>
      <c r="J150" s="64"/>
      <c r="K150" s="375"/>
      <c r="L150" s="375"/>
      <c r="M150" s="375"/>
      <c r="N150" s="375"/>
      <c r="O150" s="375"/>
      <c r="P150" s="375"/>
      <c r="Q150" s="375"/>
      <c r="R150" s="375"/>
      <c r="S150" s="375"/>
      <c r="T150" s="375"/>
      <c r="U150" s="375"/>
      <c r="V150" s="377"/>
      <c r="W150" s="375"/>
    </row>
    <row r="151" spans="1:23">
      <c r="A151" s="375"/>
      <c r="B151" s="64"/>
      <c r="C151" s="375"/>
      <c r="D151" s="375"/>
      <c r="E151" s="375"/>
      <c r="F151" s="64"/>
      <c r="G151" s="64"/>
      <c r="H151" s="64"/>
      <c r="I151" s="64"/>
      <c r="J151" s="64"/>
      <c r="K151" s="375"/>
      <c r="L151" s="375"/>
      <c r="M151" s="375"/>
      <c r="N151" s="375"/>
      <c r="O151" s="375"/>
      <c r="P151" s="375"/>
      <c r="Q151" s="375"/>
      <c r="R151" s="375"/>
      <c r="S151" s="375"/>
      <c r="T151" s="375"/>
      <c r="U151" s="375"/>
      <c r="V151" s="377"/>
      <c r="W151" s="375"/>
    </row>
    <row r="152" spans="1:23">
      <c r="A152" s="375"/>
      <c r="B152" s="64"/>
      <c r="C152" s="375"/>
      <c r="D152" s="375"/>
      <c r="E152" s="375"/>
      <c r="F152" s="64"/>
      <c r="G152" s="64"/>
      <c r="H152" s="64"/>
      <c r="I152" s="64"/>
      <c r="J152" s="64"/>
      <c r="K152" s="375"/>
      <c r="L152" s="375"/>
      <c r="M152" s="375"/>
      <c r="N152" s="375"/>
      <c r="O152" s="375"/>
      <c r="P152" s="375"/>
      <c r="Q152" s="375"/>
      <c r="R152" s="375"/>
      <c r="S152" s="375"/>
      <c r="T152" s="375"/>
      <c r="U152" s="375"/>
      <c r="V152" s="377"/>
      <c r="W152" s="375"/>
    </row>
    <row r="153" spans="1:23">
      <c r="A153" s="375"/>
      <c r="B153" s="64"/>
      <c r="C153" s="375"/>
      <c r="D153" s="375"/>
      <c r="E153" s="375"/>
      <c r="F153" s="64"/>
      <c r="G153" s="64"/>
      <c r="H153" s="64"/>
      <c r="I153" s="64"/>
      <c r="J153" s="64"/>
      <c r="K153" s="375"/>
      <c r="L153" s="375"/>
      <c r="M153" s="375"/>
      <c r="N153" s="375"/>
      <c r="O153" s="375"/>
      <c r="P153" s="375"/>
      <c r="Q153" s="375"/>
      <c r="R153" s="375"/>
      <c r="S153" s="375"/>
      <c r="T153" s="375"/>
      <c r="U153" s="375"/>
      <c r="V153" s="377"/>
      <c r="W153" s="375"/>
    </row>
    <row r="154" spans="1:23">
      <c r="A154" s="375"/>
      <c r="B154" s="64"/>
      <c r="C154" s="375"/>
      <c r="D154" s="375"/>
      <c r="E154" s="375"/>
      <c r="F154" s="64"/>
      <c r="G154" s="64"/>
      <c r="H154" s="64"/>
      <c r="I154" s="64"/>
      <c r="J154" s="64"/>
      <c r="K154" s="375"/>
      <c r="L154" s="375"/>
      <c r="M154" s="375"/>
      <c r="N154" s="375"/>
      <c r="O154" s="375"/>
      <c r="P154" s="375"/>
      <c r="Q154" s="375"/>
      <c r="R154" s="375"/>
      <c r="S154" s="375"/>
      <c r="T154" s="375"/>
      <c r="U154" s="375"/>
      <c r="V154" s="377"/>
      <c r="W154" s="375"/>
    </row>
    <row r="155" spans="1:23">
      <c r="A155" s="375"/>
      <c r="B155" s="64"/>
      <c r="C155" s="375"/>
      <c r="D155" s="375"/>
      <c r="E155" s="375"/>
      <c r="F155" s="64"/>
      <c r="G155" s="64"/>
      <c r="H155" s="64"/>
      <c r="I155" s="64"/>
      <c r="J155" s="64"/>
      <c r="K155" s="375"/>
      <c r="L155" s="375"/>
      <c r="M155" s="375"/>
      <c r="N155" s="375"/>
      <c r="O155" s="375"/>
      <c r="P155" s="375"/>
      <c r="Q155" s="375"/>
      <c r="R155" s="375"/>
      <c r="S155" s="375"/>
      <c r="T155" s="375"/>
      <c r="U155" s="375"/>
      <c r="V155" s="377"/>
      <c r="W155" s="375"/>
    </row>
    <row r="156" spans="1:23">
      <c r="A156" s="375"/>
      <c r="B156" s="64"/>
      <c r="C156" s="375"/>
      <c r="D156" s="375"/>
      <c r="E156" s="375"/>
      <c r="F156" s="64"/>
      <c r="G156" s="64"/>
      <c r="H156" s="64"/>
      <c r="I156" s="64"/>
      <c r="J156" s="64"/>
      <c r="K156" s="375"/>
      <c r="L156" s="375"/>
      <c r="M156" s="375"/>
      <c r="N156" s="375"/>
      <c r="O156" s="375"/>
      <c r="P156" s="375"/>
      <c r="Q156" s="375"/>
      <c r="R156" s="375"/>
      <c r="S156" s="375"/>
      <c r="T156" s="375"/>
      <c r="U156" s="375"/>
      <c r="V156" s="377"/>
      <c r="W156" s="375"/>
    </row>
    <row r="157" spans="1:23">
      <c r="A157" s="375"/>
      <c r="B157" s="64"/>
      <c r="C157" s="375"/>
      <c r="D157" s="375"/>
      <c r="E157" s="375"/>
      <c r="F157" s="64"/>
      <c r="G157" s="64"/>
      <c r="H157" s="64"/>
      <c r="I157" s="64"/>
      <c r="J157" s="64"/>
      <c r="K157" s="375"/>
      <c r="L157" s="375"/>
      <c r="M157" s="375"/>
      <c r="N157" s="375"/>
      <c r="O157" s="375"/>
      <c r="P157" s="375"/>
      <c r="Q157" s="375"/>
      <c r="R157" s="375"/>
      <c r="S157" s="375"/>
      <c r="T157" s="375"/>
      <c r="U157" s="375"/>
      <c r="V157" s="377"/>
      <c r="W157" s="375"/>
    </row>
    <row r="158" spans="1:23">
      <c r="A158" s="375"/>
      <c r="B158" s="64"/>
      <c r="C158" s="375"/>
      <c r="D158" s="375"/>
      <c r="E158" s="375"/>
      <c r="F158" s="64"/>
      <c r="G158" s="64"/>
      <c r="H158" s="64"/>
      <c r="I158" s="64"/>
      <c r="J158" s="64"/>
      <c r="K158" s="375"/>
      <c r="L158" s="375"/>
      <c r="M158" s="375"/>
      <c r="N158" s="375"/>
      <c r="O158" s="375"/>
      <c r="P158" s="375"/>
      <c r="Q158" s="375"/>
      <c r="R158" s="375"/>
      <c r="S158" s="375"/>
      <c r="T158" s="375"/>
      <c r="U158" s="375"/>
      <c r="V158" s="377"/>
      <c r="W158" s="375"/>
    </row>
    <row r="159" spans="1:23">
      <c r="A159" s="375"/>
      <c r="B159" s="64"/>
      <c r="C159" s="375"/>
      <c r="D159" s="375"/>
      <c r="E159" s="375"/>
      <c r="F159" s="64"/>
      <c r="G159" s="64"/>
      <c r="H159" s="64"/>
      <c r="I159" s="64"/>
      <c r="J159" s="64"/>
      <c r="K159" s="375"/>
      <c r="L159" s="375"/>
      <c r="M159" s="375"/>
      <c r="N159" s="375"/>
      <c r="O159" s="375"/>
      <c r="P159" s="375"/>
      <c r="Q159" s="375"/>
      <c r="R159" s="375"/>
      <c r="S159" s="375"/>
      <c r="T159" s="375"/>
      <c r="U159" s="375"/>
      <c r="V159" s="377"/>
      <c r="W159" s="375"/>
    </row>
    <row r="160" spans="1:23">
      <c r="A160" s="375"/>
      <c r="B160" s="64"/>
      <c r="C160" s="375"/>
      <c r="D160" s="375"/>
      <c r="E160" s="375"/>
      <c r="F160" s="64"/>
      <c r="G160" s="64"/>
      <c r="H160" s="64"/>
      <c r="I160" s="64"/>
      <c r="J160" s="64"/>
      <c r="K160" s="375"/>
      <c r="L160" s="375"/>
      <c r="M160" s="375"/>
      <c r="N160" s="375"/>
      <c r="O160" s="375"/>
      <c r="P160" s="375"/>
      <c r="Q160" s="375"/>
      <c r="R160" s="375"/>
      <c r="S160" s="375"/>
      <c r="T160" s="375"/>
      <c r="U160" s="375"/>
      <c r="V160" s="377"/>
      <c r="W160" s="375"/>
    </row>
    <row r="161" spans="1:23">
      <c r="A161" s="375"/>
      <c r="B161" s="64"/>
      <c r="C161" s="375"/>
      <c r="D161" s="375"/>
      <c r="E161" s="375"/>
      <c r="F161" s="64"/>
      <c r="G161" s="64"/>
      <c r="H161" s="64"/>
      <c r="I161" s="64"/>
      <c r="J161" s="64"/>
      <c r="K161" s="375"/>
      <c r="L161" s="375"/>
      <c r="M161" s="375"/>
      <c r="N161" s="375"/>
      <c r="O161" s="375"/>
      <c r="P161" s="375"/>
      <c r="Q161" s="375"/>
      <c r="R161" s="375"/>
      <c r="S161" s="375"/>
      <c r="T161" s="375"/>
      <c r="U161" s="375"/>
      <c r="V161" s="377"/>
      <c r="W161" s="375"/>
    </row>
    <row r="162" spans="1:23">
      <c r="A162" s="375"/>
      <c r="B162" s="64"/>
      <c r="C162" s="375"/>
      <c r="D162" s="375"/>
      <c r="E162" s="375"/>
      <c r="F162" s="64"/>
      <c r="G162" s="64"/>
      <c r="H162" s="64"/>
      <c r="I162" s="64"/>
      <c r="J162" s="64"/>
      <c r="K162" s="375"/>
      <c r="L162" s="375"/>
      <c r="M162" s="375"/>
      <c r="N162" s="375"/>
      <c r="O162" s="375"/>
      <c r="P162" s="375"/>
      <c r="Q162" s="375"/>
      <c r="R162" s="375"/>
      <c r="S162" s="375"/>
      <c r="T162" s="375"/>
      <c r="U162" s="375"/>
      <c r="V162" s="377"/>
      <c r="W162" s="375"/>
    </row>
    <row r="163" spans="1:23">
      <c r="A163" s="375"/>
      <c r="B163" s="64"/>
      <c r="C163" s="375"/>
      <c r="D163" s="375"/>
      <c r="E163" s="375"/>
      <c r="F163" s="64"/>
      <c r="G163" s="64"/>
      <c r="H163" s="64"/>
      <c r="I163" s="64"/>
      <c r="J163" s="64"/>
      <c r="K163" s="375"/>
      <c r="L163" s="375"/>
      <c r="M163" s="375"/>
      <c r="N163" s="375"/>
      <c r="O163" s="375"/>
      <c r="P163" s="375"/>
      <c r="Q163" s="375"/>
      <c r="R163" s="375"/>
      <c r="S163" s="375"/>
      <c r="T163" s="375"/>
      <c r="U163" s="375"/>
      <c r="V163" s="377"/>
      <c r="W163" s="375"/>
    </row>
    <row r="164" spans="1:23">
      <c r="A164" s="375"/>
      <c r="B164" s="64"/>
      <c r="C164" s="375"/>
      <c r="D164" s="375"/>
      <c r="E164" s="375"/>
      <c r="F164" s="64"/>
      <c r="G164" s="64"/>
      <c r="H164" s="64"/>
      <c r="I164" s="64"/>
      <c r="J164" s="64"/>
      <c r="K164" s="375"/>
      <c r="L164" s="375"/>
      <c r="M164" s="375"/>
      <c r="N164" s="375"/>
      <c r="O164" s="375"/>
      <c r="P164" s="375"/>
      <c r="Q164" s="375"/>
      <c r="R164" s="375"/>
      <c r="S164" s="375"/>
      <c r="T164" s="375"/>
      <c r="U164" s="375"/>
      <c r="V164" s="377"/>
      <c r="W164" s="375"/>
    </row>
    <row r="165" spans="1:23">
      <c r="A165" s="375"/>
      <c r="B165" s="64"/>
      <c r="C165" s="375"/>
      <c r="D165" s="375"/>
      <c r="E165" s="375"/>
      <c r="F165" s="64"/>
      <c r="G165" s="64"/>
      <c r="H165" s="64"/>
      <c r="I165" s="64"/>
      <c r="J165" s="64"/>
      <c r="K165" s="375"/>
      <c r="L165" s="375"/>
      <c r="M165" s="375"/>
      <c r="N165" s="375"/>
      <c r="O165" s="375"/>
      <c r="P165" s="375"/>
      <c r="Q165" s="375"/>
      <c r="R165" s="375"/>
      <c r="S165" s="375"/>
      <c r="T165" s="375"/>
      <c r="U165" s="375"/>
      <c r="V165" s="377"/>
      <c r="W165" s="375"/>
    </row>
    <row r="166" spans="1:23">
      <c r="A166" s="375"/>
      <c r="B166" s="64"/>
      <c r="C166" s="375"/>
      <c r="D166" s="375"/>
      <c r="E166" s="375"/>
      <c r="F166" s="64"/>
      <c r="G166" s="64"/>
      <c r="H166" s="64"/>
      <c r="I166" s="64"/>
      <c r="J166" s="64"/>
      <c r="K166" s="375"/>
      <c r="L166" s="375"/>
      <c r="M166" s="375"/>
      <c r="N166" s="375"/>
      <c r="O166" s="375"/>
      <c r="P166" s="375"/>
      <c r="Q166" s="375"/>
      <c r="R166" s="375"/>
      <c r="S166" s="375"/>
      <c r="T166" s="375"/>
      <c r="U166" s="375"/>
      <c r="V166" s="377"/>
      <c r="W166" s="375"/>
    </row>
    <row r="167" spans="1:23">
      <c r="A167" s="375"/>
      <c r="B167" s="64"/>
      <c r="C167" s="375"/>
      <c r="D167" s="375"/>
      <c r="E167" s="375"/>
      <c r="F167" s="64"/>
      <c r="G167" s="64"/>
      <c r="H167" s="64"/>
      <c r="I167" s="64"/>
      <c r="J167" s="64"/>
      <c r="K167" s="375"/>
      <c r="L167" s="375"/>
      <c r="M167" s="375"/>
      <c r="N167" s="375"/>
      <c r="O167" s="375"/>
      <c r="P167" s="375"/>
      <c r="Q167" s="375"/>
      <c r="R167" s="375"/>
      <c r="S167" s="375"/>
      <c r="T167" s="375"/>
      <c r="U167" s="375"/>
      <c r="V167" s="377"/>
      <c r="W167" s="375"/>
    </row>
    <row r="168" spans="1:23">
      <c r="A168" s="375"/>
      <c r="B168" s="64"/>
      <c r="C168" s="375"/>
      <c r="D168" s="375"/>
      <c r="E168" s="375"/>
      <c r="F168" s="64"/>
      <c r="G168" s="64"/>
      <c r="H168" s="64"/>
      <c r="I168" s="64"/>
      <c r="J168" s="64"/>
      <c r="K168" s="375"/>
      <c r="L168" s="375"/>
      <c r="M168" s="375"/>
      <c r="N168" s="375"/>
      <c r="O168" s="375"/>
      <c r="P168" s="375"/>
      <c r="Q168" s="375"/>
      <c r="R168" s="375"/>
      <c r="S168" s="375"/>
      <c r="T168" s="375"/>
      <c r="U168" s="375"/>
      <c r="V168" s="377"/>
      <c r="W168" s="375"/>
    </row>
    <row r="169" spans="1:23">
      <c r="A169" s="375"/>
      <c r="B169" s="64"/>
      <c r="C169" s="375"/>
      <c r="D169" s="375"/>
      <c r="E169" s="375"/>
      <c r="F169" s="64"/>
      <c r="G169" s="64"/>
      <c r="H169" s="64"/>
      <c r="I169" s="64"/>
      <c r="J169" s="64"/>
      <c r="K169" s="375"/>
      <c r="L169" s="375"/>
      <c r="M169" s="375"/>
      <c r="N169" s="375"/>
      <c r="O169" s="375"/>
      <c r="P169" s="375"/>
      <c r="Q169" s="375"/>
      <c r="R169" s="375"/>
      <c r="S169" s="375"/>
      <c r="T169" s="375"/>
      <c r="U169" s="375"/>
      <c r="V169" s="377"/>
      <c r="W169" s="375"/>
    </row>
    <row r="170" spans="1:23">
      <c r="A170" s="375"/>
      <c r="B170" s="64"/>
      <c r="C170" s="375"/>
      <c r="D170" s="375"/>
      <c r="E170" s="375"/>
      <c r="F170" s="64"/>
      <c r="G170" s="64"/>
      <c r="H170" s="64"/>
      <c r="I170" s="64"/>
      <c r="J170" s="64"/>
      <c r="K170" s="375"/>
      <c r="L170" s="375"/>
      <c r="M170" s="375"/>
      <c r="N170" s="375"/>
      <c r="O170" s="375"/>
      <c r="P170" s="375"/>
      <c r="Q170" s="375"/>
      <c r="R170" s="375"/>
      <c r="S170" s="375"/>
      <c r="T170" s="375"/>
      <c r="U170" s="375"/>
      <c r="V170" s="377"/>
      <c r="W170" s="375"/>
    </row>
    <row r="171" spans="1:23">
      <c r="A171" s="375"/>
      <c r="B171" s="64"/>
      <c r="C171" s="375"/>
      <c r="D171" s="375"/>
      <c r="E171" s="375"/>
      <c r="F171" s="64"/>
      <c r="G171" s="64"/>
      <c r="H171" s="64"/>
      <c r="I171" s="64"/>
      <c r="J171" s="64"/>
      <c r="K171" s="375"/>
      <c r="L171" s="375"/>
      <c r="M171" s="375"/>
      <c r="N171" s="375"/>
      <c r="O171" s="375"/>
      <c r="P171" s="375"/>
      <c r="Q171" s="375"/>
      <c r="R171" s="375"/>
      <c r="S171" s="375"/>
      <c r="T171" s="375"/>
      <c r="U171" s="375"/>
      <c r="V171" s="377"/>
      <c r="W171" s="375"/>
    </row>
    <row r="172" spans="1:23">
      <c r="A172" s="375"/>
      <c r="B172" s="64"/>
      <c r="C172" s="375"/>
      <c r="D172" s="375"/>
      <c r="E172" s="375"/>
      <c r="F172" s="64"/>
      <c r="G172" s="64"/>
      <c r="H172" s="64"/>
      <c r="I172" s="64"/>
      <c r="J172" s="64"/>
      <c r="K172" s="375"/>
      <c r="L172" s="375"/>
      <c r="M172" s="375"/>
      <c r="N172" s="375"/>
      <c r="O172" s="375"/>
      <c r="P172" s="375"/>
      <c r="Q172" s="375"/>
      <c r="R172" s="375"/>
      <c r="S172" s="375"/>
      <c r="T172" s="375"/>
      <c r="U172" s="375"/>
      <c r="V172" s="377"/>
      <c r="W172" s="375"/>
    </row>
    <row r="173" spans="1:23">
      <c r="A173" s="375"/>
      <c r="B173" s="64"/>
      <c r="C173" s="375"/>
      <c r="D173" s="375"/>
      <c r="E173" s="375"/>
      <c r="F173" s="64"/>
      <c r="G173" s="64"/>
      <c r="H173" s="64"/>
      <c r="I173" s="64"/>
      <c r="J173" s="64"/>
      <c r="K173" s="375"/>
      <c r="L173" s="375"/>
      <c r="M173" s="375"/>
      <c r="N173" s="375"/>
      <c r="O173" s="375"/>
      <c r="P173" s="375"/>
      <c r="Q173" s="375"/>
      <c r="R173" s="375"/>
      <c r="S173" s="375"/>
      <c r="T173" s="375"/>
      <c r="U173" s="375"/>
      <c r="V173" s="377"/>
      <c r="W173" s="375"/>
    </row>
    <row r="174" spans="1:23">
      <c r="A174" s="375"/>
      <c r="B174" s="64"/>
      <c r="C174" s="375"/>
      <c r="D174" s="375"/>
      <c r="E174" s="375"/>
      <c r="F174" s="64"/>
      <c r="G174" s="64"/>
      <c r="H174" s="64"/>
      <c r="I174" s="64"/>
      <c r="J174" s="64"/>
      <c r="K174" s="375"/>
      <c r="L174" s="375"/>
      <c r="M174" s="375"/>
      <c r="N174" s="375"/>
      <c r="O174" s="375"/>
      <c r="P174" s="375"/>
      <c r="Q174" s="375"/>
      <c r="R174" s="375"/>
      <c r="S174" s="375"/>
      <c r="T174" s="375"/>
      <c r="U174" s="375"/>
      <c r="V174" s="377"/>
      <c r="W174" s="375"/>
    </row>
    <row r="175" spans="1:23">
      <c r="A175" s="375"/>
      <c r="B175" s="64"/>
      <c r="C175" s="375"/>
      <c r="D175" s="375"/>
      <c r="E175" s="375"/>
      <c r="F175" s="64"/>
      <c r="G175" s="64"/>
      <c r="H175" s="64"/>
      <c r="I175" s="64"/>
      <c r="J175" s="64"/>
      <c r="K175" s="375"/>
      <c r="L175" s="375"/>
      <c r="M175" s="375"/>
      <c r="N175" s="375"/>
      <c r="O175" s="375"/>
      <c r="P175" s="375"/>
      <c r="Q175" s="375"/>
      <c r="R175" s="375"/>
      <c r="S175" s="375"/>
      <c r="T175" s="375"/>
      <c r="U175" s="375"/>
      <c r="V175" s="377"/>
      <c r="W175" s="375"/>
    </row>
    <row r="176" spans="1:23">
      <c r="A176" s="375"/>
      <c r="B176" s="64"/>
      <c r="C176" s="375"/>
      <c r="D176" s="375"/>
      <c r="E176" s="375"/>
      <c r="F176" s="64"/>
      <c r="G176" s="64"/>
      <c r="H176" s="64"/>
      <c r="I176" s="64"/>
      <c r="J176" s="64"/>
      <c r="K176" s="375"/>
      <c r="L176" s="375"/>
      <c r="M176" s="375"/>
      <c r="N176" s="375"/>
      <c r="O176" s="375"/>
      <c r="P176" s="375"/>
      <c r="Q176" s="375"/>
      <c r="R176" s="375"/>
      <c r="S176" s="375"/>
      <c r="T176" s="375"/>
      <c r="U176" s="375"/>
      <c r="V176" s="377"/>
      <c r="W176" s="375"/>
    </row>
    <row r="177" spans="1:23">
      <c r="A177" s="375"/>
      <c r="B177" s="64"/>
      <c r="C177" s="375"/>
      <c r="D177" s="375"/>
      <c r="E177" s="375"/>
      <c r="F177" s="64"/>
      <c r="G177" s="64"/>
      <c r="H177" s="64"/>
      <c r="I177" s="64"/>
      <c r="J177" s="64"/>
      <c r="K177" s="375"/>
      <c r="L177" s="375"/>
      <c r="M177" s="375"/>
      <c r="N177" s="375"/>
      <c r="O177" s="375"/>
      <c r="P177" s="375"/>
      <c r="Q177" s="375"/>
      <c r="R177" s="375"/>
      <c r="S177" s="375"/>
      <c r="T177" s="375"/>
      <c r="U177" s="375"/>
      <c r="V177" s="377"/>
      <c r="W177" s="375"/>
    </row>
    <row r="178" spans="1:23">
      <c r="A178" s="375"/>
      <c r="B178" s="64"/>
      <c r="C178" s="375"/>
      <c r="D178" s="375"/>
      <c r="E178" s="375"/>
      <c r="F178" s="64"/>
      <c r="G178" s="64"/>
      <c r="H178" s="64"/>
      <c r="I178" s="64"/>
      <c r="J178" s="64"/>
      <c r="K178" s="375"/>
      <c r="L178" s="375"/>
      <c r="M178" s="375"/>
      <c r="N178" s="375"/>
      <c r="O178" s="375"/>
      <c r="P178" s="375"/>
      <c r="Q178" s="375"/>
      <c r="R178" s="375"/>
      <c r="S178" s="375"/>
      <c r="T178" s="375"/>
      <c r="U178" s="375"/>
      <c r="V178" s="377"/>
      <c r="W178" s="375"/>
    </row>
    <row r="179" spans="1:23">
      <c r="A179" s="375"/>
      <c r="B179" s="64"/>
      <c r="C179" s="375"/>
      <c r="D179" s="375"/>
      <c r="E179" s="375"/>
      <c r="F179" s="64"/>
      <c r="G179" s="64"/>
      <c r="H179" s="64"/>
      <c r="I179" s="64"/>
      <c r="J179" s="64"/>
      <c r="K179" s="375"/>
      <c r="L179" s="375"/>
      <c r="M179" s="375"/>
      <c r="N179" s="375"/>
      <c r="O179" s="375"/>
      <c r="P179" s="375"/>
      <c r="Q179" s="375"/>
      <c r="R179" s="375"/>
      <c r="S179" s="375"/>
      <c r="T179" s="375"/>
      <c r="U179" s="375"/>
      <c r="V179" s="377"/>
      <c r="W179" s="375"/>
    </row>
  </sheetData>
  <dataConsolidate/>
  <mergeCells count="26">
    <mergeCell ref="Y79:AD79"/>
    <mergeCell ref="AG72:AL72"/>
    <mergeCell ref="A53:A54"/>
    <mergeCell ref="A55:A56"/>
    <mergeCell ref="Y59:AD59"/>
    <mergeCell ref="Y24:Z24"/>
    <mergeCell ref="A26:A27"/>
    <mergeCell ref="V26:V27"/>
    <mergeCell ref="W26:W27"/>
    <mergeCell ref="A33:A35"/>
    <mergeCell ref="A51:A52"/>
    <mergeCell ref="A28:A32"/>
    <mergeCell ref="V28:V32"/>
    <mergeCell ref="W28:W32"/>
    <mergeCell ref="A15:A20"/>
    <mergeCell ref="A21:A24"/>
    <mergeCell ref="A49:A50"/>
    <mergeCell ref="A36:A37"/>
    <mergeCell ref="A39:A40"/>
    <mergeCell ref="A41:A43"/>
    <mergeCell ref="A45:A48"/>
    <mergeCell ref="C1:K1"/>
    <mergeCell ref="M1:U1"/>
    <mergeCell ref="A4:A5"/>
    <mergeCell ref="A6:A8"/>
    <mergeCell ref="A9:A13"/>
  </mergeCells>
  <conditionalFormatting sqref="U3:U56">
    <cfRule type="containsText" dxfId="22" priority="7" operator="containsText" text="Yes">
      <formula>NOT(ISERROR(SEARCH("Yes",U3)))</formula>
    </cfRule>
  </conditionalFormatting>
  <conditionalFormatting sqref="T3:T56">
    <cfRule type="cellIs" dxfId="21" priority="5" operator="lessThan">
      <formula>0</formula>
    </cfRule>
  </conditionalFormatting>
  <conditionalFormatting sqref="Z61:AE72">
    <cfRule type="cellIs" dxfId="20" priority="4" operator="greaterThan">
      <formula>0</formula>
    </cfRule>
  </conditionalFormatting>
  <conditionalFormatting sqref="AA81:AE92">
    <cfRule type="cellIs" dxfId="19" priority="3" operator="greaterThan">
      <formula>0</formula>
    </cfRule>
  </conditionalFormatting>
  <conditionalFormatting sqref="Z81:Z92">
    <cfRule type="cellIs" dxfId="18" priority="2" operator="greaterThan">
      <formula>0</formula>
    </cfRule>
  </conditionalFormatting>
  <conditionalFormatting sqref="AH74:AM85">
    <cfRule type="cellIs" dxfId="17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35"/>
  <sheetViews>
    <sheetView zoomScaleNormal="100" workbookViewId="0">
      <selection activeCell="K38" sqref="K38"/>
    </sheetView>
  </sheetViews>
  <sheetFormatPr defaultRowHeight="15"/>
  <cols>
    <col min="1" max="1" width="17.85546875" customWidth="1"/>
    <col min="2" max="2" width="19.42578125" customWidth="1"/>
    <col min="3" max="3" width="18.28515625" customWidth="1"/>
    <col min="4" max="4" width="21.28515625" customWidth="1"/>
    <col min="6" max="6" width="12.28515625" customWidth="1"/>
    <col min="7" max="7" width="14.85546875" style="346" customWidth="1"/>
    <col min="8" max="8" width="21.85546875" style="346" customWidth="1"/>
    <col min="9" max="9" width="18.7109375" style="346" customWidth="1"/>
    <col min="12" max="12" width="17.5703125" customWidth="1"/>
    <col min="13" max="13" width="16.42578125" customWidth="1"/>
    <col min="14" max="14" width="15.5703125" customWidth="1"/>
  </cols>
  <sheetData>
    <row r="1" spans="1:19">
      <c r="A1" s="538" t="s">
        <v>537</v>
      </c>
      <c r="B1" s="539"/>
      <c r="C1" s="539"/>
      <c r="D1" s="540"/>
      <c r="G1"/>
      <c r="H1"/>
      <c r="I1"/>
    </row>
    <row r="2" spans="1:19">
      <c r="A2" s="541"/>
      <c r="B2" s="542"/>
      <c r="C2" s="542"/>
      <c r="D2" s="543"/>
      <c r="G2"/>
      <c r="H2"/>
      <c r="I2"/>
    </row>
    <row r="3" spans="1:19" ht="50.25" customHeight="1" thickBot="1">
      <c r="A3" s="423" t="s">
        <v>389</v>
      </c>
      <c r="B3" s="424" t="s">
        <v>521</v>
      </c>
      <c r="C3" s="423" t="s">
        <v>523</v>
      </c>
      <c r="D3" s="425" t="s">
        <v>522</v>
      </c>
      <c r="G3"/>
      <c r="H3"/>
      <c r="I3"/>
    </row>
    <row r="4" spans="1:19">
      <c r="A4" s="426" t="s">
        <v>0</v>
      </c>
      <c r="B4" s="428">
        <v>503.68235624999988</v>
      </c>
      <c r="C4" s="427">
        <f>D4-B4</f>
        <v>0</v>
      </c>
      <c r="D4" s="428">
        <v>503.68235624999988</v>
      </c>
      <c r="G4" s="544" t="s">
        <v>537</v>
      </c>
      <c r="H4" s="545"/>
      <c r="I4" s="546"/>
      <c r="L4" s="497" t="s">
        <v>528</v>
      </c>
      <c r="M4" s="498"/>
      <c r="N4" s="498"/>
      <c r="O4" s="498"/>
      <c r="P4" s="498"/>
      <c r="Q4" s="498"/>
      <c r="R4" s="499"/>
      <c r="S4" s="155"/>
    </row>
    <row r="5" spans="1:19" ht="15.75" thickBot="1">
      <c r="A5" s="426" t="s">
        <v>2</v>
      </c>
      <c r="B5" s="428">
        <v>102.010125</v>
      </c>
      <c r="C5" s="427">
        <f t="shared" ref="C5:C34" si="0">D5-B5</f>
        <v>0</v>
      </c>
      <c r="D5" s="428">
        <v>102.010125</v>
      </c>
      <c r="G5" s="547"/>
      <c r="H5" s="548"/>
      <c r="I5" s="549"/>
      <c r="L5" s="355" t="s">
        <v>484</v>
      </c>
      <c r="M5" s="357" t="s">
        <v>485</v>
      </c>
      <c r="N5" s="357" t="s">
        <v>486</v>
      </c>
      <c r="O5" s="357" t="s">
        <v>487</v>
      </c>
      <c r="P5" s="357" t="s">
        <v>488</v>
      </c>
      <c r="Q5" s="358" t="s">
        <v>525</v>
      </c>
      <c r="R5" s="270" t="s">
        <v>416</v>
      </c>
      <c r="S5" s="270" t="s">
        <v>416</v>
      </c>
    </row>
    <row r="6" spans="1:19">
      <c r="A6" s="426" t="s">
        <v>3</v>
      </c>
      <c r="B6" s="428">
        <v>51.651000000000003</v>
      </c>
      <c r="C6" s="427">
        <f t="shared" si="0"/>
        <v>0</v>
      </c>
      <c r="D6" s="428">
        <v>51.651000000000003</v>
      </c>
      <c r="G6" s="243" t="s">
        <v>389</v>
      </c>
      <c r="H6" s="411" t="s">
        <v>388</v>
      </c>
      <c r="I6" s="244" t="s">
        <v>387</v>
      </c>
      <c r="L6" s="60" t="s">
        <v>84</v>
      </c>
      <c r="M6" s="359">
        <v>0</v>
      </c>
      <c r="N6" s="359">
        <v>0</v>
      </c>
      <c r="O6" s="360">
        <v>0</v>
      </c>
      <c r="P6" s="360">
        <v>0</v>
      </c>
      <c r="Q6" s="408">
        <v>0</v>
      </c>
      <c r="R6" s="361">
        <f>SUM(M6:Q6)</f>
        <v>0</v>
      </c>
      <c r="S6" s="361">
        <f>SUM(N6:R6)</f>
        <v>0</v>
      </c>
    </row>
    <row r="7" spans="1:19">
      <c r="A7" s="426" t="s">
        <v>4</v>
      </c>
      <c r="B7" s="428">
        <v>129.48862500000001</v>
      </c>
      <c r="C7" s="427">
        <f t="shared" si="0"/>
        <v>0</v>
      </c>
      <c r="D7" s="428">
        <v>129.48862500000001</v>
      </c>
      <c r="G7" s="126"/>
      <c r="H7" s="125"/>
      <c r="I7" s="97">
        <f>(H7/200)*100</f>
        <v>0</v>
      </c>
      <c r="L7" s="60" t="s">
        <v>85</v>
      </c>
      <c r="M7" s="359">
        <v>0</v>
      </c>
      <c r="N7" s="359">
        <v>0</v>
      </c>
      <c r="O7" s="359">
        <v>0</v>
      </c>
      <c r="P7" s="359">
        <v>0</v>
      </c>
      <c r="Q7" s="408">
        <v>0</v>
      </c>
      <c r="R7" s="60">
        <f t="shared" ref="R7:R17" si="1">SUM(M7:Q7)</f>
        <v>0</v>
      </c>
      <c r="S7" s="60">
        <f t="shared" ref="S7:S17" si="2">SUM(N7:R7)</f>
        <v>0</v>
      </c>
    </row>
    <row r="8" spans="1:19">
      <c r="A8" s="426" t="s">
        <v>5</v>
      </c>
      <c r="B8" s="428">
        <v>278.82089999999999</v>
      </c>
      <c r="C8" s="427">
        <f t="shared" si="0"/>
        <v>0</v>
      </c>
      <c r="D8" s="428">
        <v>278.82089999999999</v>
      </c>
      <c r="G8" s="126"/>
      <c r="H8" s="125"/>
      <c r="I8" s="203">
        <f>(H8/150)*100</f>
        <v>0</v>
      </c>
      <c r="L8" s="60" t="s">
        <v>86</v>
      </c>
      <c r="M8" s="359">
        <v>0</v>
      </c>
      <c r="N8" s="359">
        <v>0</v>
      </c>
      <c r="O8" s="359">
        <v>0</v>
      </c>
      <c r="P8" s="359">
        <v>0</v>
      </c>
      <c r="Q8" s="408">
        <v>0</v>
      </c>
      <c r="R8" s="60">
        <f t="shared" si="1"/>
        <v>0</v>
      </c>
      <c r="S8" s="60">
        <f t="shared" si="2"/>
        <v>0</v>
      </c>
    </row>
    <row r="9" spans="1:19" ht="15.75" thickBot="1">
      <c r="A9" s="426" t="s">
        <v>6</v>
      </c>
      <c r="B9" s="428">
        <v>371.87400000000002</v>
      </c>
      <c r="C9" s="427">
        <f t="shared" si="0"/>
        <v>0</v>
      </c>
      <c r="D9" s="428">
        <v>371.87400000000002</v>
      </c>
      <c r="G9" s="398"/>
      <c r="H9" s="399"/>
      <c r="I9" s="87"/>
      <c r="L9" s="60" t="s">
        <v>87</v>
      </c>
      <c r="M9" s="359">
        <v>0</v>
      </c>
      <c r="N9" s="359">
        <v>0</v>
      </c>
      <c r="O9" s="359">
        <v>0</v>
      </c>
      <c r="P9" s="359">
        <v>0</v>
      </c>
      <c r="Q9" s="408">
        <v>0</v>
      </c>
      <c r="R9" s="60">
        <f t="shared" si="1"/>
        <v>0</v>
      </c>
      <c r="S9" s="60">
        <f t="shared" si="2"/>
        <v>0</v>
      </c>
    </row>
    <row r="10" spans="1:19">
      <c r="A10" s="426" t="s">
        <v>7</v>
      </c>
      <c r="B10" s="428">
        <v>213.959</v>
      </c>
      <c r="C10" s="427">
        <f t="shared" si="0"/>
        <v>0</v>
      </c>
      <c r="D10" s="428">
        <v>213.959</v>
      </c>
      <c r="G10" s="154" t="s">
        <v>369</v>
      </c>
      <c r="H10" s="218">
        <f>SUM(H7:H9)</f>
        <v>0</v>
      </c>
      <c r="I10" s="412"/>
      <c r="L10" s="60" t="s">
        <v>88</v>
      </c>
      <c r="M10" s="359">
        <v>0</v>
      </c>
      <c r="N10" s="359">
        <v>0</v>
      </c>
      <c r="O10" s="359">
        <v>0</v>
      </c>
      <c r="P10" s="359">
        <v>0</v>
      </c>
      <c r="Q10" s="408">
        <v>0</v>
      </c>
      <c r="R10" s="60">
        <f t="shared" si="1"/>
        <v>0</v>
      </c>
      <c r="S10" s="60">
        <f t="shared" si="2"/>
        <v>0</v>
      </c>
    </row>
    <row r="11" spans="1:19">
      <c r="A11" s="426" t="s">
        <v>8</v>
      </c>
      <c r="B11" s="428">
        <v>237.47839285714281</v>
      </c>
      <c r="C11" s="427">
        <f t="shared" si="0"/>
        <v>0</v>
      </c>
      <c r="D11" s="428">
        <v>237.47839285714281</v>
      </c>
      <c r="G11" s="217" t="s">
        <v>365</v>
      </c>
      <c r="H11" s="216">
        <f>H10/9100.11497</f>
        <v>0</v>
      </c>
      <c r="I11" s="412"/>
      <c r="L11" s="60" t="s">
        <v>89</v>
      </c>
      <c r="M11" s="359">
        <v>0</v>
      </c>
      <c r="N11" s="359">
        <v>0</v>
      </c>
      <c r="O11" s="359">
        <v>0</v>
      </c>
      <c r="P11" s="359">
        <v>0</v>
      </c>
      <c r="Q11" s="408">
        <v>0</v>
      </c>
      <c r="R11" s="60">
        <f t="shared" si="1"/>
        <v>0</v>
      </c>
      <c r="S11" s="60">
        <f t="shared" si="2"/>
        <v>0</v>
      </c>
    </row>
    <row r="12" spans="1:19">
      <c r="A12" s="426" t="s">
        <v>9</v>
      </c>
      <c r="B12" s="428">
        <v>202.167</v>
      </c>
      <c r="C12" s="427">
        <f t="shared" si="0"/>
        <v>0</v>
      </c>
      <c r="D12" s="428">
        <v>202.167</v>
      </c>
      <c r="G12"/>
      <c r="H12"/>
      <c r="I12"/>
      <c r="L12" s="60" t="s">
        <v>90</v>
      </c>
      <c r="M12" s="359">
        <v>0</v>
      </c>
      <c r="N12" s="359">
        <v>0</v>
      </c>
      <c r="O12" s="359">
        <v>0</v>
      </c>
      <c r="P12" s="359">
        <v>0</v>
      </c>
      <c r="Q12" s="408">
        <v>0</v>
      </c>
      <c r="R12" s="60">
        <f t="shared" si="1"/>
        <v>0</v>
      </c>
      <c r="S12" s="60">
        <f t="shared" si="2"/>
        <v>0</v>
      </c>
    </row>
    <row r="13" spans="1:19">
      <c r="A13" s="426" t="s">
        <v>10</v>
      </c>
      <c r="B13" s="428">
        <v>184.89914999999999</v>
      </c>
      <c r="C13" s="427">
        <f t="shared" si="0"/>
        <v>0</v>
      </c>
      <c r="D13" s="428">
        <v>184.89914999999999</v>
      </c>
      <c r="G13"/>
      <c r="H13"/>
      <c r="I13"/>
      <c r="L13" s="60" t="s">
        <v>91</v>
      </c>
      <c r="M13" s="359">
        <v>0</v>
      </c>
      <c r="N13" s="359">
        <v>0</v>
      </c>
      <c r="O13" s="408">
        <v>0</v>
      </c>
      <c r="P13" s="408">
        <v>0</v>
      </c>
      <c r="Q13" s="408">
        <v>0</v>
      </c>
      <c r="R13" s="60">
        <f t="shared" si="1"/>
        <v>0</v>
      </c>
      <c r="S13" s="60">
        <f t="shared" si="2"/>
        <v>0</v>
      </c>
    </row>
    <row r="14" spans="1:19">
      <c r="A14" s="426" t="s">
        <v>11</v>
      </c>
      <c r="B14" s="428">
        <v>167.46428571428569</v>
      </c>
      <c r="C14" s="427">
        <f t="shared" si="0"/>
        <v>0</v>
      </c>
      <c r="D14" s="428">
        <v>167.46428571428569</v>
      </c>
      <c r="G14"/>
      <c r="H14"/>
      <c r="I14"/>
      <c r="L14" s="60" t="s">
        <v>92</v>
      </c>
      <c r="M14" s="408">
        <v>0</v>
      </c>
      <c r="N14" s="408">
        <v>0</v>
      </c>
      <c r="O14" s="408">
        <v>0</v>
      </c>
      <c r="P14" s="408">
        <v>0</v>
      </c>
      <c r="Q14" s="408">
        <v>0</v>
      </c>
      <c r="R14" s="60">
        <f t="shared" si="1"/>
        <v>0</v>
      </c>
      <c r="S14" s="60">
        <f t="shared" si="2"/>
        <v>0</v>
      </c>
    </row>
    <row r="15" spans="1:19">
      <c r="A15" s="426" t="s">
        <v>12</v>
      </c>
      <c r="B15" s="428">
        <v>286.54000000000002</v>
      </c>
      <c r="C15" s="427">
        <f t="shared" si="0"/>
        <v>0</v>
      </c>
      <c r="D15" s="428">
        <v>286.54000000000002</v>
      </c>
      <c r="G15"/>
      <c r="H15"/>
      <c r="I15"/>
      <c r="L15" s="60" t="s">
        <v>93</v>
      </c>
      <c r="M15" s="408">
        <v>0</v>
      </c>
      <c r="N15" s="359">
        <v>0</v>
      </c>
      <c r="O15" s="408">
        <v>0</v>
      </c>
      <c r="P15" s="408">
        <v>0</v>
      </c>
      <c r="Q15" s="408">
        <v>0</v>
      </c>
      <c r="R15" s="60">
        <f t="shared" si="1"/>
        <v>0</v>
      </c>
      <c r="S15" s="60">
        <f t="shared" si="2"/>
        <v>0</v>
      </c>
    </row>
    <row r="16" spans="1:19">
      <c r="A16" s="426" t="s">
        <v>13</v>
      </c>
      <c r="B16" s="428">
        <v>22.321725000000011</v>
      </c>
      <c r="C16" s="427">
        <f t="shared" si="0"/>
        <v>0</v>
      </c>
      <c r="D16" s="428">
        <v>22.321725000000011</v>
      </c>
      <c r="G16"/>
      <c r="H16"/>
      <c r="I16"/>
      <c r="L16" s="60" t="s">
        <v>94</v>
      </c>
      <c r="M16" s="408">
        <v>0</v>
      </c>
      <c r="N16" s="359">
        <v>0</v>
      </c>
      <c r="O16" s="408">
        <v>0</v>
      </c>
      <c r="P16" s="408">
        <v>0</v>
      </c>
      <c r="Q16" s="408">
        <v>0</v>
      </c>
      <c r="R16" s="60">
        <f t="shared" si="1"/>
        <v>0</v>
      </c>
      <c r="S16" s="60">
        <f t="shared" si="2"/>
        <v>0</v>
      </c>
    </row>
    <row r="17" spans="1:19">
      <c r="A17" s="426" t="s">
        <v>14</v>
      </c>
      <c r="B17" s="428">
        <v>622.15499999999997</v>
      </c>
      <c r="C17" s="427">
        <f t="shared" si="0"/>
        <v>0</v>
      </c>
      <c r="D17" s="428">
        <v>622.15499999999997</v>
      </c>
      <c r="G17"/>
      <c r="H17"/>
      <c r="I17"/>
      <c r="L17" s="366" t="s">
        <v>482</v>
      </c>
      <c r="M17" s="367">
        <v>0</v>
      </c>
      <c r="N17" s="367">
        <v>0</v>
      </c>
      <c r="O17" s="367">
        <v>0</v>
      </c>
      <c r="P17" s="367">
        <v>0</v>
      </c>
      <c r="Q17" s="367">
        <v>0</v>
      </c>
      <c r="R17" s="366">
        <f t="shared" si="1"/>
        <v>0</v>
      </c>
      <c r="S17" s="366">
        <f t="shared" si="2"/>
        <v>0</v>
      </c>
    </row>
    <row r="18" spans="1:19">
      <c r="A18" s="426" t="s">
        <v>15</v>
      </c>
      <c r="B18" s="428">
        <v>317.20585714285721</v>
      </c>
      <c r="C18" s="427">
        <f t="shared" si="0"/>
        <v>0</v>
      </c>
      <c r="D18" s="428">
        <v>317.20585714285721</v>
      </c>
      <c r="G18"/>
      <c r="H18"/>
      <c r="I18"/>
      <c r="L18" s="270" t="s">
        <v>493</v>
      </c>
      <c r="M18" s="368">
        <f t="shared" ref="M18:R18" si="3">SUM(M6:M17)</f>
        <v>0</v>
      </c>
      <c r="N18" s="368">
        <f t="shared" si="3"/>
        <v>0</v>
      </c>
      <c r="O18" s="368">
        <f t="shared" si="3"/>
        <v>0</v>
      </c>
      <c r="P18" s="368">
        <f t="shared" si="3"/>
        <v>0</v>
      </c>
      <c r="Q18" s="368">
        <f t="shared" si="3"/>
        <v>0</v>
      </c>
      <c r="R18" s="369">
        <f t="shared" si="3"/>
        <v>0</v>
      </c>
      <c r="S18" s="369">
        <f>SUM(S6:S17)</f>
        <v>0</v>
      </c>
    </row>
    <row r="19" spans="1:19">
      <c r="A19" s="426" t="s">
        <v>16</v>
      </c>
      <c r="B19" s="428">
        <v>308.27982142857149</v>
      </c>
      <c r="C19" s="427">
        <f t="shared" si="0"/>
        <v>0</v>
      </c>
      <c r="D19" s="428">
        <v>308.27982142857149</v>
      </c>
      <c r="G19"/>
      <c r="H19"/>
      <c r="I19"/>
      <c r="L19" s="270" t="s">
        <v>492</v>
      </c>
      <c r="M19" s="370">
        <f>PRODUCT(M18*V20)</f>
        <v>0</v>
      </c>
      <c r="N19" s="370">
        <f>PRODUCT(N18*V21)</f>
        <v>0</v>
      </c>
      <c r="O19" s="370">
        <f>PRODUCT(O18*V22)</f>
        <v>0</v>
      </c>
      <c r="P19" s="370">
        <f>PRODUCT(P18*V23)</f>
        <v>0</v>
      </c>
      <c r="Q19" s="370">
        <f>PRODUCT(Q18*V24)</f>
        <v>0</v>
      </c>
      <c r="R19" s="270">
        <f>SUM(M19:Q19)</f>
        <v>0</v>
      </c>
      <c r="S19" s="270">
        <f>SUM(N19:R19)</f>
        <v>0</v>
      </c>
    </row>
    <row r="20" spans="1:19">
      <c r="A20" s="426" t="s">
        <v>17</v>
      </c>
      <c r="B20" s="428">
        <v>366.59002500000003</v>
      </c>
      <c r="C20" s="427">
        <f t="shared" si="0"/>
        <v>0</v>
      </c>
      <c r="D20" s="428">
        <v>366.59002500000003</v>
      </c>
      <c r="G20"/>
      <c r="H20"/>
      <c r="I20"/>
      <c r="L20" s="270" t="s">
        <v>526</v>
      </c>
      <c r="M20" s="370">
        <f>M18*U20</f>
        <v>0</v>
      </c>
      <c r="N20" s="370">
        <f>N18*U21</f>
        <v>0</v>
      </c>
      <c r="O20" s="370">
        <f>O18*U22</f>
        <v>0</v>
      </c>
      <c r="P20" s="370">
        <f>P18*U23</f>
        <v>0</v>
      </c>
      <c r="Q20" s="370">
        <f>Q18*U24</f>
        <v>0</v>
      </c>
      <c r="R20" s="270">
        <f>SUM(M20:Q20)</f>
        <v>0</v>
      </c>
      <c r="S20" s="270">
        <f>SUM(N20:R20)</f>
        <v>0</v>
      </c>
    </row>
    <row r="21" spans="1:19">
      <c r="A21" s="426" t="s">
        <v>18</v>
      </c>
      <c r="B21" s="428">
        <v>914.69187499999998</v>
      </c>
      <c r="C21" s="427">
        <f t="shared" si="0"/>
        <v>0</v>
      </c>
      <c r="D21" s="428">
        <v>914.69187499999998</v>
      </c>
      <c r="G21"/>
      <c r="H21"/>
      <c r="I21"/>
      <c r="L21" s="5"/>
      <c r="M21" s="5"/>
      <c r="N21" s="5"/>
      <c r="O21" s="5"/>
      <c r="P21" s="5"/>
      <c r="Q21" s="5"/>
      <c r="R21" s="5"/>
      <c r="S21" s="5"/>
    </row>
    <row r="22" spans="1:19">
      <c r="A22" s="426" t="s">
        <v>19</v>
      </c>
      <c r="B22" s="428">
        <v>866.25250000000017</v>
      </c>
      <c r="C22" s="427">
        <f t="shared" si="0"/>
        <v>0</v>
      </c>
      <c r="D22" s="428">
        <v>866.25250000000017</v>
      </c>
      <c r="G22"/>
      <c r="H22"/>
      <c r="I22"/>
      <c r="L22" s="5"/>
      <c r="M22" s="5"/>
      <c r="N22" s="5"/>
      <c r="O22" s="5"/>
      <c r="P22" s="5"/>
      <c r="Q22" s="5"/>
      <c r="R22" s="5"/>
      <c r="S22" s="5"/>
    </row>
    <row r="23" spans="1:19">
      <c r="A23" s="426" t="s">
        <v>20</v>
      </c>
      <c r="B23" s="428">
        <v>1034.855</v>
      </c>
      <c r="C23" s="427">
        <f t="shared" si="0"/>
        <v>0</v>
      </c>
      <c r="D23" s="428">
        <v>1034.855</v>
      </c>
      <c r="G23"/>
      <c r="H23"/>
      <c r="I23"/>
      <c r="L23" s="5"/>
      <c r="M23" s="5"/>
      <c r="N23" s="5"/>
      <c r="O23" s="5"/>
      <c r="P23" s="5"/>
      <c r="Q23" s="5"/>
      <c r="R23" s="5"/>
      <c r="S23" s="5"/>
    </row>
    <row r="24" spans="1:19">
      <c r="A24" s="426" t="s">
        <v>21</v>
      </c>
      <c r="B24" s="428">
        <v>202.65600000000001</v>
      </c>
      <c r="C24" s="427">
        <f t="shared" si="0"/>
        <v>0</v>
      </c>
      <c r="D24" s="428">
        <v>202.65600000000001</v>
      </c>
      <c r="G24"/>
      <c r="H24"/>
      <c r="I24"/>
      <c r="L24" s="5"/>
      <c r="M24" s="5"/>
      <c r="N24" s="5"/>
      <c r="O24" s="5"/>
      <c r="P24" s="5"/>
      <c r="Q24" s="5"/>
      <c r="R24" s="5"/>
      <c r="S24" s="5"/>
    </row>
    <row r="25" spans="1:19">
      <c r="A25" s="426" t="s">
        <v>22</v>
      </c>
      <c r="B25" s="428">
        <v>89.90124999999999</v>
      </c>
      <c r="C25" s="427">
        <f t="shared" si="0"/>
        <v>0</v>
      </c>
      <c r="D25" s="428">
        <v>89.90124999999999</v>
      </c>
      <c r="G25"/>
      <c r="H25"/>
      <c r="I25"/>
      <c r="L25" s="5"/>
      <c r="M25" s="5"/>
      <c r="N25" s="5"/>
      <c r="O25" s="5"/>
      <c r="P25" s="5"/>
      <c r="Q25" s="5"/>
      <c r="R25" s="5"/>
      <c r="S25" s="5"/>
    </row>
    <row r="26" spans="1:19">
      <c r="A26" s="426" t="s">
        <v>23</v>
      </c>
      <c r="B26" s="428">
        <v>24.603857142857141</v>
      </c>
      <c r="C26" s="427">
        <f t="shared" si="0"/>
        <v>0</v>
      </c>
      <c r="D26" s="428">
        <v>24.603857142857141</v>
      </c>
      <c r="G26"/>
      <c r="H26"/>
      <c r="I26"/>
      <c r="L26" s="5"/>
      <c r="M26" s="5"/>
      <c r="N26" s="5"/>
      <c r="O26" s="5"/>
      <c r="P26" s="5"/>
      <c r="Q26" s="5"/>
      <c r="R26" s="5"/>
      <c r="S26" s="5"/>
    </row>
    <row r="27" spans="1:19">
      <c r="A27" s="426" t="s">
        <v>24</v>
      </c>
      <c r="B27" s="428">
        <v>72.551349999999999</v>
      </c>
      <c r="C27" s="427">
        <f t="shared" si="0"/>
        <v>0</v>
      </c>
      <c r="D27" s="428">
        <v>72.551349999999999</v>
      </c>
      <c r="G27"/>
      <c r="H27"/>
      <c r="I27"/>
      <c r="L27" s="5"/>
      <c r="M27" s="5"/>
      <c r="N27" s="5"/>
      <c r="O27" s="5"/>
      <c r="P27" s="5"/>
      <c r="Q27" s="5"/>
      <c r="R27" s="5"/>
      <c r="S27" s="5"/>
    </row>
    <row r="28" spans="1:19">
      <c r="A28" s="426" t="s">
        <v>25</v>
      </c>
      <c r="B28" s="428">
        <v>101.88</v>
      </c>
      <c r="C28" s="427">
        <f t="shared" si="0"/>
        <v>0</v>
      </c>
      <c r="D28" s="428">
        <v>101.88</v>
      </c>
      <c r="G28"/>
      <c r="H28"/>
      <c r="I28"/>
      <c r="L28" s="5"/>
      <c r="M28" s="5"/>
      <c r="N28" s="5"/>
      <c r="O28" s="5"/>
      <c r="P28" s="5"/>
      <c r="Q28" s="5"/>
      <c r="R28" s="5"/>
      <c r="S28" s="5"/>
    </row>
    <row r="29" spans="1:19">
      <c r="A29" s="426" t="s">
        <v>26</v>
      </c>
      <c r="B29" s="428">
        <v>115.28387499999999</v>
      </c>
      <c r="C29" s="427">
        <f t="shared" si="0"/>
        <v>0</v>
      </c>
      <c r="D29" s="428">
        <v>115.28387499999999</v>
      </c>
      <c r="G29"/>
      <c r="H29"/>
      <c r="I29"/>
      <c r="L29" s="5"/>
      <c r="M29" s="5"/>
      <c r="N29" s="5"/>
      <c r="O29" s="5"/>
      <c r="P29" s="5"/>
      <c r="Q29" s="5"/>
      <c r="R29" s="5"/>
      <c r="S29" s="5"/>
    </row>
    <row r="30" spans="1:19">
      <c r="A30" s="426" t="s">
        <v>27</v>
      </c>
      <c r="B30" s="428">
        <v>126.60525</v>
      </c>
      <c r="C30" s="427">
        <f t="shared" si="0"/>
        <v>0</v>
      </c>
      <c r="D30" s="428">
        <v>126.60525</v>
      </c>
      <c r="G30"/>
      <c r="H30"/>
      <c r="I30"/>
      <c r="L30" s="5"/>
      <c r="M30" s="5"/>
      <c r="N30" s="5"/>
      <c r="O30" s="5"/>
      <c r="P30" s="5"/>
      <c r="Q30" s="5"/>
      <c r="R30" s="5"/>
      <c r="S30" s="5"/>
    </row>
    <row r="31" spans="1:19">
      <c r="A31" s="426" t="s">
        <v>28</v>
      </c>
      <c r="B31" s="428">
        <v>125.7435</v>
      </c>
      <c r="C31" s="427">
        <f t="shared" si="0"/>
        <v>0</v>
      </c>
      <c r="D31" s="428">
        <v>125.7435</v>
      </c>
      <c r="G31"/>
      <c r="H31"/>
      <c r="I31"/>
      <c r="L31" s="5"/>
      <c r="M31" s="5"/>
      <c r="N31" s="5"/>
      <c r="O31" s="5"/>
      <c r="P31" s="5"/>
      <c r="Q31" s="5"/>
      <c r="R31" s="5"/>
      <c r="S31" s="5"/>
    </row>
    <row r="32" spans="1:19">
      <c r="A32" s="426" t="s">
        <v>29</v>
      </c>
      <c r="B32" s="428">
        <v>57.986250000000013</v>
      </c>
      <c r="C32" s="427">
        <f t="shared" si="0"/>
        <v>0</v>
      </c>
      <c r="D32" s="428">
        <v>57.986250000000013</v>
      </c>
      <c r="G32"/>
      <c r="I32"/>
    </row>
    <row r="33" spans="1:9">
      <c r="A33" s="426" t="s">
        <v>30</v>
      </c>
      <c r="B33" s="428">
        <v>110.91374999999999</v>
      </c>
      <c r="C33" s="427">
        <f t="shared" si="0"/>
        <v>0</v>
      </c>
      <c r="D33" s="428">
        <v>110.91374999999999</v>
      </c>
      <c r="G33"/>
      <c r="I33"/>
    </row>
    <row r="34" spans="1:9" ht="15.75" thickBot="1">
      <c r="A34" s="429" t="s">
        <v>31</v>
      </c>
      <c r="B34" s="431">
        <v>49.59525</v>
      </c>
      <c r="C34" s="430">
        <f t="shared" si="0"/>
        <v>0</v>
      </c>
      <c r="D34" s="431">
        <v>49.59525</v>
      </c>
      <c r="G34"/>
      <c r="I34"/>
    </row>
    <row r="35" spans="1:9" ht="15.75" thickBot="1">
      <c r="A35" s="432" t="s">
        <v>538</v>
      </c>
      <c r="B35" s="433">
        <f>SUM(B4:B34)</f>
        <v>8260.1069705357149</v>
      </c>
      <c r="C35" s="433">
        <f>SUBTOTAL(109,C4:C34)</f>
        <v>0</v>
      </c>
      <c r="D35" s="434">
        <f>SUM(D4:D34)</f>
        <v>8260.1069705357149</v>
      </c>
      <c r="G35"/>
      <c r="I35"/>
    </row>
  </sheetData>
  <mergeCells count="3">
    <mergeCell ref="A1:D2"/>
    <mergeCell ref="G4:I5"/>
    <mergeCell ref="L4:R4"/>
  </mergeCells>
  <conditionalFormatting sqref="S6:S17">
    <cfRule type="cellIs" dxfId="16" priority="2" operator="greaterThan">
      <formula>0</formula>
    </cfRule>
  </conditionalFormatting>
  <conditionalFormatting sqref="M6:R17">
    <cfRule type="cellIs" dxfId="15" priority="1" operator="greaterThan">
      <formula>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35"/>
  <sheetViews>
    <sheetView zoomScale="90" zoomScaleNormal="90" workbookViewId="0">
      <selection activeCell="J44" sqref="J44"/>
    </sheetView>
  </sheetViews>
  <sheetFormatPr defaultRowHeight="15"/>
  <cols>
    <col min="1" max="1" width="16.7109375" customWidth="1"/>
    <col min="2" max="2" width="40.140625" style="346" customWidth="1"/>
    <col min="3" max="3" width="51.140625" style="346" customWidth="1"/>
    <col min="4" max="4" width="34.42578125" style="346" customWidth="1"/>
    <col min="6" max="6" width="14.28515625" customWidth="1"/>
    <col min="7" max="7" width="22.85546875" customWidth="1"/>
    <col min="9" max="9" width="18.140625" customWidth="1"/>
    <col min="10" max="10" width="19.28515625" customWidth="1"/>
    <col min="11" max="11" width="14.7109375" customWidth="1"/>
    <col min="14" max="14" width="11.42578125" style="5" customWidth="1"/>
    <col min="15" max="15" width="10.42578125" style="5" customWidth="1"/>
    <col min="16" max="18" width="8.7109375" style="5"/>
    <col min="19" max="19" width="12.5703125" style="5" customWidth="1"/>
    <col min="20" max="20" width="16.5703125" style="5" customWidth="1"/>
  </cols>
  <sheetData>
    <row r="1" spans="1:20">
      <c r="A1" s="538" t="s">
        <v>530</v>
      </c>
      <c r="B1" s="539"/>
      <c r="C1" s="539"/>
      <c r="D1" s="540"/>
      <c r="K1" s="5"/>
      <c r="L1" s="5"/>
      <c r="M1" s="5"/>
      <c r="R1"/>
      <c r="S1"/>
      <c r="T1"/>
    </row>
    <row r="2" spans="1:20" ht="15.75" thickBot="1">
      <c r="A2" s="550"/>
      <c r="B2" s="551"/>
      <c r="C2" s="551"/>
      <c r="D2" s="552"/>
      <c r="K2" s="5"/>
      <c r="L2" s="5"/>
      <c r="M2" s="5"/>
      <c r="R2"/>
      <c r="S2"/>
      <c r="T2"/>
    </row>
    <row r="3" spans="1:20" ht="30.75" thickBot="1">
      <c r="A3" s="437" t="s">
        <v>389</v>
      </c>
      <c r="B3" s="452" t="s">
        <v>521</v>
      </c>
      <c r="C3" s="453" t="s">
        <v>523</v>
      </c>
      <c r="D3" s="454" t="s">
        <v>522</v>
      </c>
      <c r="F3" s="544" t="s">
        <v>524</v>
      </c>
      <c r="G3" s="545"/>
      <c r="H3" s="546"/>
      <c r="J3" s="553" t="s">
        <v>539</v>
      </c>
      <c r="K3" s="554"/>
      <c r="L3" s="554"/>
      <c r="M3" s="554"/>
      <c r="N3" s="554"/>
      <c r="O3" s="554"/>
      <c r="P3" s="555"/>
      <c r="R3" s="409" t="s">
        <v>490</v>
      </c>
      <c r="S3" s="409" t="s">
        <v>491</v>
      </c>
      <c r="T3" s="363" t="s">
        <v>492</v>
      </c>
    </row>
    <row r="4" spans="1:20">
      <c r="A4" s="438" t="s">
        <v>0</v>
      </c>
      <c r="B4" s="435">
        <v>500</v>
      </c>
      <c r="C4" s="441">
        <f t="shared" ref="C4:C34" si="0">D4-B4</f>
        <v>0</v>
      </c>
      <c r="D4" s="435">
        <v>500</v>
      </c>
      <c r="F4" s="473"/>
      <c r="G4" s="474"/>
      <c r="H4" s="475"/>
      <c r="J4" s="439" t="s">
        <v>484</v>
      </c>
      <c r="K4" s="357" t="s">
        <v>485</v>
      </c>
      <c r="L4" s="357" t="s">
        <v>486</v>
      </c>
      <c r="M4" s="357" t="s">
        <v>487</v>
      </c>
      <c r="N4" s="357" t="s">
        <v>488</v>
      </c>
      <c r="O4" s="358" t="s">
        <v>525</v>
      </c>
      <c r="P4" s="270" t="s">
        <v>416</v>
      </c>
      <c r="R4" s="61" t="s">
        <v>485</v>
      </c>
      <c r="S4" s="61">
        <v>100</v>
      </c>
      <c r="T4" s="420">
        <v>15</v>
      </c>
    </row>
    <row r="5" spans="1:20">
      <c r="A5" s="440" t="s">
        <v>2</v>
      </c>
      <c r="B5" s="435">
        <v>100</v>
      </c>
      <c r="C5" s="441">
        <f t="shared" si="0"/>
        <v>0</v>
      </c>
      <c r="D5" s="435">
        <v>100</v>
      </c>
      <c r="F5" s="131" t="s">
        <v>389</v>
      </c>
      <c r="G5" s="130" t="s">
        <v>388</v>
      </c>
      <c r="H5" s="129" t="s">
        <v>387</v>
      </c>
      <c r="J5" s="60" t="s">
        <v>84</v>
      </c>
      <c r="K5" s="359">
        <f>1+1+1</f>
        <v>3</v>
      </c>
      <c r="L5" s="359">
        <v>0</v>
      </c>
      <c r="M5" s="360">
        <f>1</f>
        <v>1</v>
      </c>
      <c r="N5" s="360">
        <v>0</v>
      </c>
      <c r="O5" s="470">
        <f>1</f>
        <v>1</v>
      </c>
      <c r="P5" s="361">
        <f>SUM(K5:O5)</f>
        <v>5</v>
      </c>
      <c r="R5" s="364" t="s">
        <v>486</v>
      </c>
      <c r="S5" s="364">
        <v>150</v>
      </c>
      <c r="T5" s="421">
        <v>16.3689</v>
      </c>
    </row>
    <row r="6" spans="1:20">
      <c r="A6" s="440" t="s">
        <v>3</v>
      </c>
      <c r="B6" s="435">
        <v>100</v>
      </c>
      <c r="C6" s="441">
        <f t="shared" si="0"/>
        <v>0</v>
      </c>
      <c r="D6" s="435">
        <v>100</v>
      </c>
      <c r="F6" s="126"/>
      <c r="G6" s="125"/>
      <c r="H6" s="97">
        <f>(G6/200)*100</f>
        <v>0</v>
      </c>
      <c r="J6" s="60" t="s">
        <v>85</v>
      </c>
      <c r="K6" s="359">
        <f>1</f>
        <v>1</v>
      </c>
      <c r="L6" s="359">
        <f>1</f>
        <v>1</v>
      </c>
      <c r="M6" s="359">
        <f>1</f>
        <v>1</v>
      </c>
      <c r="N6" s="359">
        <f>1+1</f>
        <v>2</v>
      </c>
      <c r="O6" s="470">
        <f>1+1+1</f>
        <v>3</v>
      </c>
      <c r="P6" s="60">
        <f t="shared" ref="P6:P16" si="1">SUM(K6:O6)</f>
        <v>8</v>
      </c>
      <c r="R6" s="364" t="s">
        <v>487</v>
      </c>
      <c r="S6" s="364">
        <v>200</v>
      </c>
      <c r="T6" s="421">
        <v>16.746700000000001</v>
      </c>
    </row>
    <row r="7" spans="1:20">
      <c r="A7" s="440" t="s">
        <v>4</v>
      </c>
      <c r="B7" s="435">
        <v>100</v>
      </c>
      <c r="C7" s="441">
        <f t="shared" si="0"/>
        <v>0</v>
      </c>
      <c r="D7" s="435">
        <v>100</v>
      </c>
      <c r="F7" s="126"/>
      <c r="G7" s="125"/>
      <c r="H7" s="203">
        <f>(G7/150)*100</f>
        <v>0</v>
      </c>
      <c r="J7" s="60" t="s">
        <v>86</v>
      </c>
      <c r="K7" s="359">
        <f>1</f>
        <v>1</v>
      </c>
      <c r="L7" s="359">
        <v>0</v>
      </c>
      <c r="M7" s="359">
        <v>0</v>
      </c>
      <c r="N7" s="359">
        <v>0</v>
      </c>
      <c r="O7" s="359">
        <f>1+1</f>
        <v>2</v>
      </c>
      <c r="P7" s="60">
        <f t="shared" si="1"/>
        <v>3</v>
      </c>
      <c r="R7" s="364" t="s">
        <v>488</v>
      </c>
      <c r="S7" s="364">
        <v>250</v>
      </c>
      <c r="T7" s="421">
        <v>16.886600000000001</v>
      </c>
    </row>
    <row r="8" spans="1:20" ht="15.75" thickBot="1">
      <c r="A8" s="440" t="s">
        <v>5</v>
      </c>
      <c r="B8" s="435">
        <v>300</v>
      </c>
      <c r="C8" s="441">
        <f t="shared" si="0"/>
        <v>0</v>
      </c>
      <c r="D8" s="435">
        <v>300</v>
      </c>
      <c r="F8" s="126"/>
      <c r="G8" s="125"/>
      <c r="H8" s="87"/>
      <c r="J8" s="60" t="s">
        <v>87</v>
      </c>
      <c r="K8" s="359">
        <f>1+1+1+1</f>
        <v>4</v>
      </c>
      <c r="L8" s="359">
        <f>1</f>
        <v>1</v>
      </c>
      <c r="M8" s="359">
        <f>1+1</f>
        <v>2</v>
      </c>
      <c r="N8" s="359">
        <f>1+1</f>
        <v>2</v>
      </c>
      <c r="O8" s="470">
        <f>1+1+1+1+1+1+3+3+3</f>
        <v>15</v>
      </c>
      <c r="P8" s="60">
        <f t="shared" si="1"/>
        <v>24</v>
      </c>
      <c r="R8" s="365" t="s">
        <v>525</v>
      </c>
      <c r="S8" s="365">
        <v>300</v>
      </c>
      <c r="T8" s="422">
        <v>17</v>
      </c>
    </row>
    <row r="9" spans="1:20">
      <c r="A9" s="440" t="s">
        <v>6</v>
      </c>
      <c r="B9" s="435">
        <v>400</v>
      </c>
      <c r="C9" s="441">
        <f t="shared" si="0"/>
        <v>0</v>
      </c>
      <c r="D9" s="435">
        <v>400</v>
      </c>
      <c r="F9" s="442" t="s">
        <v>369</v>
      </c>
      <c r="G9" s="443">
        <f>SUM(G6:G8)</f>
        <v>0</v>
      </c>
      <c r="H9" s="412"/>
      <c r="J9" s="60" t="s">
        <v>88</v>
      </c>
      <c r="K9" s="359">
        <f>1+1+1+1+1+1</f>
        <v>6</v>
      </c>
      <c r="L9" s="359">
        <v>0</v>
      </c>
      <c r="M9" s="359">
        <v>0</v>
      </c>
      <c r="N9" s="359">
        <f>1+1</f>
        <v>2</v>
      </c>
      <c r="O9" s="359">
        <f>1</f>
        <v>1</v>
      </c>
      <c r="P9" s="60">
        <f t="shared" si="1"/>
        <v>9</v>
      </c>
      <c r="R9"/>
    </row>
    <row r="10" spans="1:20" ht="15.75" thickBot="1">
      <c r="A10" s="440" t="s">
        <v>7</v>
      </c>
      <c r="B10" s="435">
        <v>250</v>
      </c>
      <c r="C10" s="441">
        <f t="shared" si="0"/>
        <v>0</v>
      </c>
      <c r="D10" s="435">
        <v>250</v>
      </c>
      <c r="F10" s="444" t="s">
        <v>365</v>
      </c>
      <c r="G10" s="445">
        <f>G9/9100.11497</f>
        <v>0</v>
      </c>
      <c r="H10" s="412"/>
      <c r="J10" s="60" t="s">
        <v>89</v>
      </c>
      <c r="K10" s="359">
        <f>1+1+1</f>
        <v>3</v>
      </c>
      <c r="L10" s="359">
        <v>0</v>
      </c>
      <c r="M10" s="359">
        <v>0</v>
      </c>
      <c r="N10" s="359">
        <v>0</v>
      </c>
      <c r="O10" s="359">
        <f>1+1</f>
        <v>2</v>
      </c>
      <c r="P10" s="60">
        <f t="shared" si="1"/>
        <v>5</v>
      </c>
      <c r="R10"/>
    </row>
    <row r="11" spans="1:20">
      <c r="A11" s="440" t="s">
        <v>8</v>
      </c>
      <c r="B11" s="435">
        <v>300</v>
      </c>
      <c r="C11" s="441">
        <f t="shared" si="0"/>
        <v>0</v>
      </c>
      <c r="D11" s="435">
        <v>300</v>
      </c>
      <c r="J11" s="60" t="s">
        <v>90</v>
      </c>
      <c r="K11" s="359">
        <f>1+1</f>
        <v>2</v>
      </c>
      <c r="L11" s="359">
        <v>0</v>
      </c>
      <c r="M11" s="359">
        <f>1</f>
        <v>1</v>
      </c>
      <c r="N11" s="359">
        <f>1</f>
        <v>1</v>
      </c>
      <c r="O11" s="359">
        <v>0</v>
      </c>
      <c r="P11" s="60">
        <f t="shared" si="1"/>
        <v>4</v>
      </c>
      <c r="R11"/>
      <c r="S11"/>
      <c r="T11"/>
    </row>
    <row r="12" spans="1:20">
      <c r="A12" s="440" t="s">
        <v>9</v>
      </c>
      <c r="B12" s="435">
        <v>200</v>
      </c>
      <c r="C12" s="441">
        <f t="shared" si="0"/>
        <v>0</v>
      </c>
      <c r="D12" s="435">
        <v>200</v>
      </c>
      <c r="J12" s="60" t="s">
        <v>91</v>
      </c>
      <c r="K12" s="359">
        <f>1+1+1+1+1+1+1</f>
        <v>7</v>
      </c>
      <c r="L12" s="359">
        <f>1+1</f>
        <v>2</v>
      </c>
      <c r="M12" s="359">
        <v>0</v>
      </c>
      <c r="N12" s="359">
        <v>0</v>
      </c>
      <c r="O12" s="470">
        <f>1</f>
        <v>1</v>
      </c>
      <c r="P12" s="60">
        <f t="shared" si="1"/>
        <v>10</v>
      </c>
      <c r="R12"/>
      <c r="S12"/>
      <c r="T12"/>
    </row>
    <row r="13" spans="1:20">
      <c r="A13" s="440" t="s">
        <v>10</v>
      </c>
      <c r="B13" s="435">
        <v>150</v>
      </c>
      <c r="C13" s="441">
        <f t="shared" si="0"/>
        <v>0</v>
      </c>
      <c r="D13" s="435">
        <v>150</v>
      </c>
      <c r="J13" s="60" t="s">
        <v>92</v>
      </c>
      <c r="K13" s="359">
        <f>1+1</f>
        <v>2</v>
      </c>
      <c r="L13" s="470">
        <v>0</v>
      </c>
      <c r="M13" s="359">
        <v>0</v>
      </c>
      <c r="N13" s="359">
        <f>1</f>
        <v>1</v>
      </c>
      <c r="O13" s="470">
        <f>3</f>
        <v>3</v>
      </c>
      <c r="P13" s="60">
        <f t="shared" si="1"/>
        <v>6</v>
      </c>
      <c r="R13"/>
      <c r="S13"/>
      <c r="T13"/>
    </row>
    <row r="14" spans="1:20">
      <c r="A14" s="440" t="s">
        <v>11</v>
      </c>
      <c r="B14" s="435">
        <v>250</v>
      </c>
      <c r="C14" s="441">
        <f t="shared" si="0"/>
        <v>0</v>
      </c>
      <c r="D14" s="435">
        <v>250</v>
      </c>
      <c r="J14" s="60" t="s">
        <v>93</v>
      </c>
      <c r="K14" s="359">
        <f>1</f>
        <v>1</v>
      </c>
      <c r="L14" s="359">
        <f>1</f>
        <v>1</v>
      </c>
      <c r="M14" s="359">
        <v>0</v>
      </c>
      <c r="N14" s="470">
        <v>0</v>
      </c>
      <c r="O14" s="470">
        <f>3</f>
        <v>3</v>
      </c>
      <c r="P14" s="60">
        <f t="shared" si="1"/>
        <v>5</v>
      </c>
      <c r="R14"/>
      <c r="S14"/>
      <c r="T14"/>
    </row>
    <row r="15" spans="1:20">
      <c r="A15" s="440" t="s">
        <v>12</v>
      </c>
      <c r="B15" s="435">
        <v>300</v>
      </c>
      <c r="C15" s="441">
        <f t="shared" si="0"/>
        <v>0</v>
      </c>
      <c r="D15" s="435">
        <v>300</v>
      </c>
      <c r="J15" s="60" t="s">
        <v>94</v>
      </c>
      <c r="K15" s="359">
        <f>1+1+1</f>
        <v>3</v>
      </c>
      <c r="L15" s="359">
        <f>1</f>
        <v>1</v>
      </c>
      <c r="M15" s="470">
        <v>0</v>
      </c>
      <c r="N15" s="470">
        <v>0</v>
      </c>
      <c r="O15" s="470">
        <f>3</f>
        <v>3</v>
      </c>
      <c r="P15" s="60">
        <f t="shared" si="1"/>
        <v>7</v>
      </c>
      <c r="R15"/>
      <c r="S15"/>
      <c r="T15"/>
    </row>
    <row r="16" spans="1:20">
      <c r="A16" s="440" t="s">
        <v>13</v>
      </c>
      <c r="B16" s="435">
        <v>100</v>
      </c>
      <c r="C16" s="441">
        <f t="shared" si="0"/>
        <v>0</v>
      </c>
      <c r="D16" s="435">
        <v>100</v>
      </c>
      <c r="J16" s="366" t="s">
        <v>482</v>
      </c>
      <c r="K16" s="359">
        <f>1</f>
        <v>1</v>
      </c>
      <c r="L16" s="367">
        <v>0</v>
      </c>
      <c r="M16" s="367">
        <f>1</f>
        <v>1</v>
      </c>
      <c r="N16" s="367">
        <v>0</v>
      </c>
      <c r="O16" s="367">
        <v>0</v>
      </c>
      <c r="P16" s="366">
        <f t="shared" si="1"/>
        <v>2</v>
      </c>
      <c r="R16"/>
      <c r="S16"/>
      <c r="T16"/>
    </row>
    <row r="17" spans="1:20">
      <c r="A17" s="440" t="s">
        <v>14</v>
      </c>
      <c r="B17" s="435">
        <v>650</v>
      </c>
      <c r="C17" s="441">
        <f t="shared" si="0"/>
        <v>0</v>
      </c>
      <c r="D17" s="435">
        <v>650</v>
      </c>
      <c r="J17" s="270" t="s">
        <v>493</v>
      </c>
      <c r="K17" s="368">
        <f t="shared" ref="K17:P17" si="2">SUM(K5:K16)</f>
        <v>34</v>
      </c>
      <c r="L17" s="368">
        <f t="shared" si="2"/>
        <v>6</v>
      </c>
      <c r="M17" s="368">
        <f t="shared" si="2"/>
        <v>6</v>
      </c>
      <c r="N17" s="368">
        <f t="shared" si="2"/>
        <v>8</v>
      </c>
      <c r="O17" s="368">
        <f t="shared" si="2"/>
        <v>34</v>
      </c>
      <c r="P17" s="369">
        <f t="shared" si="2"/>
        <v>88</v>
      </c>
      <c r="R17"/>
      <c r="S17"/>
      <c r="T17"/>
    </row>
    <row r="18" spans="1:20">
      <c r="A18" s="440" t="s">
        <v>15</v>
      </c>
      <c r="B18" s="435">
        <v>300</v>
      </c>
      <c r="C18" s="441">
        <f t="shared" si="0"/>
        <v>0</v>
      </c>
      <c r="D18" s="435">
        <v>300</v>
      </c>
      <c r="J18" s="270" t="s">
        <v>492</v>
      </c>
      <c r="K18" s="370">
        <f>PRODUCT(K17*T4)</f>
        <v>510</v>
      </c>
      <c r="L18" s="418">
        <f>PRODUCT(L17*T5)</f>
        <v>98.213400000000007</v>
      </c>
      <c r="M18" s="418">
        <f>PRODUCT(M17*T6)</f>
        <v>100.4802</v>
      </c>
      <c r="N18" s="418">
        <f>PRODUCT(N17*T7)</f>
        <v>135.09280000000001</v>
      </c>
      <c r="O18" s="418">
        <f>PRODUCT(O17*T8)</f>
        <v>578</v>
      </c>
      <c r="P18" s="419">
        <f>SUM(K18:O18)</f>
        <v>1421.7864</v>
      </c>
      <c r="R18"/>
      <c r="S18"/>
      <c r="T18"/>
    </row>
    <row r="19" spans="1:20">
      <c r="A19" s="440" t="s">
        <v>16</v>
      </c>
      <c r="B19" s="435">
        <v>350</v>
      </c>
      <c r="C19" s="441">
        <f t="shared" si="0"/>
        <v>0</v>
      </c>
      <c r="D19" s="435">
        <v>350</v>
      </c>
      <c r="J19" s="270" t="s">
        <v>526</v>
      </c>
      <c r="K19" s="370">
        <f>K17*S4</f>
        <v>3400</v>
      </c>
      <c r="L19" s="370">
        <f>L17*S5</f>
        <v>900</v>
      </c>
      <c r="M19" s="370">
        <f>M17*S6</f>
        <v>1200</v>
      </c>
      <c r="N19" s="370">
        <f>N17*S7</f>
        <v>2000</v>
      </c>
      <c r="O19" s="370">
        <f>O17*S8</f>
        <v>10200</v>
      </c>
      <c r="P19" s="270">
        <f>SUM(K19:O19)</f>
        <v>17700</v>
      </c>
      <c r="R19"/>
      <c r="S19"/>
      <c r="T19"/>
    </row>
    <row r="20" spans="1:20">
      <c r="A20" s="440" t="s">
        <v>17</v>
      </c>
      <c r="B20" s="435">
        <v>400</v>
      </c>
      <c r="C20" s="441">
        <f t="shared" si="0"/>
        <v>0</v>
      </c>
      <c r="D20" s="435">
        <v>400</v>
      </c>
      <c r="N20"/>
      <c r="R20"/>
      <c r="S20"/>
      <c r="T20"/>
    </row>
    <row r="21" spans="1:20">
      <c r="A21" s="440" t="s">
        <v>18</v>
      </c>
      <c r="B21" s="435">
        <v>900</v>
      </c>
      <c r="C21" s="441">
        <f t="shared" si="0"/>
        <v>0</v>
      </c>
      <c r="D21" s="435">
        <v>900</v>
      </c>
      <c r="N21"/>
      <c r="R21"/>
      <c r="S21"/>
      <c r="T21"/>
    </row>
    <row r="22" spans="1:20">
      <c r="A22" s="440" t="s">
        <v>19</v>
      </c>
      <c r="B22" s="435">
        <v>900</v>
      </c>
      <c r="C22" s="441">
        <f t="shared" si="0"/>
        <v>0</v>
      </c>
      <c r="D22" s="435">
        <v>900</v>
      </c>
      <c r="N22"/>
      <c r="R22"/>
      <c r="S22"/>
      <c r="T22"/>
    </row>
    <row r="23" spans="1:20">
      <c r="A23" s="440" t="s">
        <v>20</v>
      </c>
      <c r="B23" s="435">
        <v>1050</v>
      </c>
      <c r="C23" s="441">
        <f t="shared" si="0"/>
        <v>0</v>
      </c>
      <c r="D23" s="435">
        <v>1050</v>
      </c>
      <c r="K23" s="5"/>
      <c r="L23" s="5"/>
      <c r="M23" s="5"/>
      <c r="R23"/>
      <c r="S23"/>
      <c r="T23"/>
    </row>
    <row r="24" spans="1:20">
      <c r="A24" s="440" t="s">
        <v>21</v>
      </c>
      <c r="B24" s="435">
        <v>200</v>
      </c>
      <c r="C24" s="441">
        <f t="shared" si="0"/>
        <v>0</v>
      </c>
      <c r="D24" s="435">
        <v>200</v>
      </c>
      <c r="K24" s="5"/>
      <c r="L24" s="5"/>
      <c r="M24" s="5"/>
      <c r="R24"/>
      <c r="S24"/>
      <c r="T24"/>
    </row>
    <row r="25" spans="1:20">
      <c r="A25" s="440" t="s">
        <v>22</v>
      </c>
      <c r="B25" s="435">
        <v>100</v>
      </c>
      <c r="C25" s="441">
        <f t="shared" si="0"/>
        <v>0</v>
      </c>
      <c r="D25" s="435">
        <v>100</v>
      </c>
      <c r="J25" s="446"/>
      <c r="K25" s="245"/>
      <c r="L25" s="245"/>
      <c r="M25" s="245"/>
      <c r="N25" s="245"/>
      <c r="O25" s="245"/>
      <c r="P25" s="245"/>
      <c r="R25"/>
      <c r="S25"/>
      <c r="T25"/>
    </row>
    <row r="26" spans="1:20">
      <c r="A26" s="440" t="s">
        <v>23</v>
      </c>
      <c r="B26" s="435">
        <v>100</v>
      </c>
      <c r="C26" s="441">
        <f t="shared" si="0"/>
        <v>0</v>
      </c>
      <c r="D26" s="435">
        <v>100</v>
      </c>
      <c r="J26" s="245"/>
      <c r="K26" s="411"/>
      <c r="L26" s="411"/>
      <c r="M26" s="411"/>
      <c r="N26" s="411"/>
      <c r="O26" s="411"/>
      <c r="P26" s="411"/>
      <c r="R26"/>
      <c r="S26"/>
      <c r="T26"/>
    </row>
    <row r="27" spans="1:20">
      <c r="A27" s="447" t="s">
        <v>24</v>
      </c>
      <c r="B27" s="435">
        <v>100</v>
      </c>
      <c r="C27" s="441">
        <f t="shared" si="0"/>
        <v>0</v>
      </c>
      <c r="D27" s="435">
        <v>100</v>
      </c>
      <c r="J27" s="379"/>
      <c r="K27" s="380"/>
      <c r="L27" s="380"/>
      <c r="M27" s="380"/>
      <c r="N27" s="410"/>
      <c r="O27" s="410"/>
      <c r="P27" s="410"/>
      <c r="R27"/>
      <c r="S27"/>
      <c r="T27"/>
    </row>
    <row r="28" spans="1:20">
      <c r="A28" s="440" t="s">
        <v>25</v>
      </c>
      <c r="B28" s="435">
        <v>100</v>
      </c>
      <c r="C28" s="441">
        <f t="shared" si="0"/>
        <v>0</v>
      </c>
      <c r="D28" s="435">
        <v>100</v>
      </c>
      <c r="J28" s="413"/>
      <c r="K28" s="359"/>
      <c r="L28" s="359"/>
      <c r="M28" s="359"/>
      <c r="N28" s="359"/>
      <c r="O28" s="408"/>
      <c r="P28" s="413"/>
      <c r="R28"/>
      <c r="S28"/>
      <c r="T28"/>
    </row>
    <row r="29" spans="1:20">
      <c r="A29" s="440" t="s">
        <v>26</v>
      </c>
      <c r="B29" s="435">
        <v>100</v>
      </c>
      <c r="C29" s="441">
        <f t="shared" si="0"/>
        <v>0</v>
      </c>
      <c r="D29" s="435">
        <v>100</v>
      </c>
      <c r="J29" s="413"/>
      <c r="K29" s="359"/>
      <c r="L29" s="359"/>
      <c r="M29" s="359"/>
      <c r="N29" s="359"/>
      <c r="O29" s="408"/>
      <c r="P29" s="413"/>
      <c r="R29"/>
      <c r="S29"/>
      <c r="T29"/>
    </row>
    <row r="30" spans="1:20">
      <c r="A30" s="440" t="s">
        <v>27</v>
      </c>
      <c r="B30" s="435">
        <v>150</v>
      </c>
      <c r="C30" s="441">
        <f t="shared" si="0"/>
        <v>0</v>
      </c>
      <c r="D30" s="435">
        <v>150</v>
      </c>
      <c r="J30" s="413"/>
      <c r="K30" s="359"/>
      <c r="L30" s="359"/>
      <c r="M30" s="359"/>
      <c r="N30" s="359"/>
      <c r="O30" s="359"/>
      <c r="P30" s="413"/>
      <c r="R30"/>
      <c r="S30"/>
      <c r="T30"/>
    </row>
    <row r="31" spans="1:20">
      <c r="A31" s="440" t="s">
        <v>28</v>
      </c>
      <c r="B31" s="435">
        <v>100</v>
      </c>
      <c r="C31" s="441">
        <f t="shared" si="0"/>
        <v>0</v>
      </c>
      <c r="D31" s="435">
        <v>100</v>
      </c>
      <c r="J31" s="413"/>
      <c r="K31" s="359"/>
      <c r="L31" s="359"/>
      <c r="M31" s="359"/>
      <c r="N31" s="359"/>
      <c r="O31" s="408"/>
      <c r="P31" s="413"/>
      <c r="R31"/>
      <c r="S31"/>
      <c r="T31"/>
    </row>
    <row r="32" spans="1:20">
      <c r="A32" s="440" t="s">
        <v>29</v>
      </c>
      <c r="B32" s="435">
        <v>100</v>
      </c>
      <c r="C32" s="441">
        <f t="shared" si="0"/>
        <v>0</v>
      </c>
      <c r="D32" s="435">
        <v>100</v>
      </c>
      <c r="J32" s="413"/>
      <c r="K32" s="359"/>
      <c r="L32" s="359"/>
      <c r="M32" s="359"/>
      <c r="N32" s="359"/>
      <c r="O32" s="359"/>
      <c r="P32" s="413"/>
      <c r="R32"/>
      <c r="S32"/>
      <c r="T32"/>
    </row>
    <row r="33" spans="1:20">
      <c r="A33" s="440" t="s">
        <v>30</v>
      </c>
      <c r="B33" s="435">
        <v>100</v>
      </c>
      <c r="C33" s="441">
        <f t="shared" si="0"/>
        <v>0</v>
      </c>
      <c r="D33" s="435">
        <v>100</v>
      </c>
      <c r="J33" s="413"/>
      <c r="K33" s="359"/>
      <c r="L33" s="359"/>
      <c r="M33" s="359"/>
      <c r="N33" s="359"/>
      <c r="O33" s="359"/>
      <c r="P33" s="413"/>
      <c r="R33"/>
      <c r="S33"/>
      <c r="T33"/>
    </row>
    <row r="34" spans="1:20" ht="15.75" thickBot="1">
      <c r="A34" s="447" t="s">
        <v>31</v>
      </c>
      <c r="B34" s="436">
        <v>100</v>
      </c>
      <c r="C34" s="448">
        <f t="shared" si="0"/>
        <v>0</v>
      </c>
      <c r="D34" s="436">
        <v>100</v>
      </c>
      <c r="J34" s="413"/>
      <c r="K34" s="359"/>
      <c r="L34" s="359"/>
      <c r="M34" s="359"/>
      <c r="N34" s="359"/>
      <c r="O34" s="359"/>
      <c r="P34" s="413"/>
      <c r="R34"/>
      <c r="S34"/>
      <c r="T34"/>
    </row>
    <row r="35" spans="1:20" ht="15.75" thickBot="1">
      <c r="A35" s="449" t="s">
        <v>538</v>
      </c>
      <c r="B35" s="450">
        <f>SUM(B4:B34)</f>
        <v>8850</v>
      </c>
      <c r="C35" s="450">
        <f>SUM(C4:C34)</f>
        <v>0</v>
      </c>
      <c r="D35" s="451">
        <f>SUM(D4:D34)</f>
        <v>8850</v>
      </c>
      <c r="J35" s="413"/>
      <c r="K35" s="359"/>
      <c r="L35" s="359"/>
      <c r="M35" s="359"/>
      <c r="N35" s="359"/>
      <c r="O35" s="408"/>
      <c r="P35" s="413"/>
      <c r="R35"/>
      <c r="S35"/>
      <c r="T35"/>
    </row>
  </sheetData>
  <mergeCells count="3">
    <mergeCell ref="A1:D2"/>
    <mergeCell ref="J3:P3"/>
    <mergeCell ref="F3:H3"/>
  </mergeCells>
  <conditionalFormatting sqref="P5:P16">
    <cfRule type="cellIs" dxfId="8" priority="4" operator="greaterThan">
      <formula>0</formula>
    </cfRule>
  </conditionalFormatting>
  <conditionalFormatting sqref="K28:P35">
    <cfRule type="cellIs" dxfId="7" priority="3" operator="greaterThan">
      <formula>0</formula>
    </cfRule>
  </conditionalFormatting>
  <conditionalFormatting sqref="K5:O16">
    <cfRule type="cellIs" dxfId="6" priority="1" operator="greaterThan">
      <formula>0</formula>
    </cfRule>
  </conditionalFormatting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1"/>
  <sheetViews>
    <sheetView topLeftCell="D1" zoomScaleNormal="100" workbookViewId="0">
      <selection activeCell="O31" sqref="O31"/>
    </sheetView>
  </sheetViews>
  <sheetFormatPr defaultRowHeight="15"/>
  <cols>
    <col min="1" max="1" width="16.7109375" customWidth="1"/>
    <col min="2" max="2" width="40.140625" style="405" customWidth="1"/>
    <col min="3" max="3" width="51.140625" style="346" customWidth="1"/>
    <col min="4" max="4" width="34.42578125" style="404" customWidth="1"/>
    <col min="7" max="7" width="21.28515625" customWidth="1"/>
    <col min="8" max="8" width="20.28515625" customWidth="1"/>
  </cols>
  <sheetData>
    <row r="1" spans="1:21">
      <c r="A1" s="538" t="s">
        <v>540</v>
      </c>
      <c r="B1" s="539"/>
      <c r="C1" s="539"/>
      <c r="D1" s="540"/>
    </row>
    <row r="2" spans="1:21" ht="15.75" thickBot="1">
      <c r="A2" s="541"/>
      <c r="B2" s="542"/>
      <c r="C2" s="542"/>
      <c r="D2" s="543"/>
    </row>
    <row r="3" spans="1:21" ht="30.75" thickBot="1">
      <c r="A3" s="455" t="s">
        <v>389</v>
      </c>
      <c r="B3" s="460" t="s">
        <v>521</v>
      </c>
      <c r="C3" s="461" t="s">
        <v>523</v>
      </c>
      <c r="D3" s="462" t="s">
        <v>522</v>
      </c>
      <c r="F3" s="544" t="s">
        <v>527</v>
      </c>
      <c r="G3" s="545"/>
      <c r="H3" s="546"/>
      <c r="K3" s="553" t="s">
        <v>527</v>
      </c>
      <c r="L3" s="554"/>
      <c r="M3" s="554"/>
      <c r="N3" s="554"/>
      <c r="O3" s="554"/>
      <c r="P3" s="554"/>
      <c r="Q3" s="555"/>
      <c r="R3" s="5"/>
      <c r="S3" s="5"/>
      <c r="T3" s="5"/>
      <c r="U3" s="5"/>
    </row>
    <row r="4" spans="1:21" ht="15.75" thickBot="1">
      <c r="A4" s="440" t="s">
        <v>0</v>
      </c>
      <c r="B4" s="428">
        <v>503.68235625000011</v>
      </c>
      <c r="C4" s="428">
        <f>D4-B4</f>
        <v>0</v>
      </c>
      <c r="D4" s="428">
        <v>503.68235624999988</v>
      </c>
      <c r="F4" s="547"/>
      <c r="G4" s="548"/>
      <c r="H4" s="549"/>
      <c r="K4" s="355" t="s">
        <v>484</v>
      </c>
      <c r="L4" s="357" t="s">
        <v>485</v>
      </c>
      <c r="M4" s="357" t="s">
        <v>486</v>
      </c>
      <c r="N4" s="357" t="s">
        <v>487</v>
      </c>
      <c r="O4" s="357" t="s">
        <v>488</v>
      </c>
      <c r="P4" s="358" t="s">
        <v>525</v>
      </c>
      <c r="Q4" s="270" t="s">
        <v>416</v>
      </c>
      <c r="R4" s="5"/>
      <c r="S4" s="5"/>
      <c r="T4" s="5"/>
      <c r="U4" s="5"/>
    </row>
    <row r="5" spans="1:21">
      <c r="A5" s="440" t="s">
        <v>2</v>
      </c>
      <c r="B5" s="428">
        <v>102.010125</v>
      </c>
      <c r="C5" s="428">
        <f>D5-B5</f>
        <v>0</v>
      </c>
      <c r="D5" s="428">
        <v>102.010125</v>
      </c>
      <c r="F5" s="243" t="s">
        <v>389</v>
      </c>
      <c r="G5" s="411" t="s">
        <v>388</v>
      </c>
      <c r="H5" s="244" t="s">
        <v>387</v>
      </c>
      <c r="K5" s="60" t="s">
        <v>84</v>
      </c>
      <c r="L5" s="408">
        <v>0</v>
      </c>
      <c r="M5" s="408">
        <v>0</v>
      </c>
      <c r="N5" s="408">
        <v>0</v>
      </c>
      <c r="O5" s="360">
        <v>0</v>
      </c>
      <c r="P5" s="408">
        <v>0</v>
      </c>
      <c r="Q5" s="361">
        <f>SUM(L5:P5)</f>
        <v>0</v>
      </c>
      <c r="R5" s="5"/>
      <c r="S5" s="5"/>
      <c r="T5" s="5"/>
      <c r="U5" s="5"/>
    </row>
    <row r="6" spans="1:21">
      <c r="A6" s="440" t="s">
        <v>3</v>
      </c>
      <c r="B6" s="428">
        <v>51.651000000000003</v>
      </c>
      <c r="C6" s="428">
        <f t="shared" ref="C6:C34" si="0">D6-B6</f>
        <v>0</v>
      </c>
      <c r="D6" s="428">
        <v>51.651000000000003</v>
      </c>
      <c r="F6" s="400" t="s">
        <v>5</v>
      </c>
      <c r="G6" s="456">
        <v>34</v>
      </c>
      <c r="H6" s="457">
        <f>(G6/245)*100</f>
        <v>13.877551020408163</v>
      </c>
      <c r="K6" s="60" t="s">
        <v>85</v>
      </c>
      <c r="L6" s="408">
        <v>0</v>
      </c>
      <c r="M6" s="408">
        <v>0</v>
      </c>
      <c r="N6" s="408">
        <v>0</v>
      </c>
      <c r="O6" s="359">
        <v>0</v>
      </c>
      <c r="P6" s="408">
        <v>0</v>
      </c>
      <c r="Q6" s="60">
        <f t="shared" ref="Q6:Q16" si="1">SUM(L6:P6)</f>
        <v>0</v>
      </c>
      <c r="R6" s="5"/>
      <c r="S6" s="5"/>
      <c r="T6" s="5"/>
      <c r="U6" s="5"/>
    </row>
    <row r="7" spans="1:21">
      <c r="A7" s="440" t="s">
        <v>4</v>
      </c>
      <c r="B7" s="428">
        <v>129.48862500000001</v>
      </c>
      <c r="C7" s="428">
        <f t="shared" si="0"/>
        <v>0</v>
      </c>
      <c r="D7" s="428">
        <v>129.48862500000001</v>
      </c>
      <c r="F7" s="406" t="s">
        <v>6</v>
      </c>
      <c r="G7" s="456">
        <v>27</v>
      </c>
      <c r="H7" s="457">
        <f>(G7/345)*100</f>
        <v>7.8260869565217401</v>
      </c>
      <c r="K7" s="60" t="s">
        <v>86</v>
      </c>
      <c r="L7" s="408">
        <v>0</v>
      </c>
      <c r="M7" s="408">
        <v>0</v>
      </c>
      <c r="N7" s="408">
        <v>0</v>
      </c>
      <c r="O7" s="359">
        <v>0</v>
      </c>
      <c r="P7" s="408">
        <v>0</v>
      </c>
      <c r="Q7" s="60">
        <f t="shared" si="1"/>
        <v>0</v>
      </c>
      <c r="R7" s="5"/>
      <c r="S7" s="409" t="s">
        <v>490</v>
      </c>
      <c r="T7" s="409" t="s">
        <v>491</v>
      </c>
      <c r="U7" s="363" t="s">
        <v>492</v>
      </c>
    </row>
    <row r="8" spans="1:21">
      <c r="A8" s="440" t="s">
        <v>5</v>
      </c>
      <c r="B8" s="428">
        <v>244.959</v>
      </c>
      <c r="C8" s="428">
        <f t="shared" si="0"/>
        <v>33.861899999999991</v>
      </c>
      <c r="D8" s="428">
        <v>278.82089999999999</v>
      </c>
      <c r="F8" s="406" t="s">
        <v>11</v>
      </c>
      <c r="G8" s="456">
        <v>5</v>
      </c>
      <c r="H8" s="457">
        <f>(G8/165)*100</f>
        <v>3.0303030303030303</v>
      </c>
      <c r="K8" s="60" t="s">
        <v>87</v>
      </c>
      <c r="L8" s="408">
        <v>0</v>
      </c>
      <c r="M8" s="408">
        <v>0</v>
      </c>
      <c r="N8" s="408">
        <v>0</v>
      </c>
      <c r="O8" s="359">
        <v>0</v>
      </c>
      <c r="P8" s="408">
        <v>0</v>
      </c>
      <c r="Q8" s="60">
        <f t="shared" si="1"/>
        <v>0</v>
      </c>
      <c r="R8" s="5"/>
      <c r="S8" s="61" t="s">
        <v>485</v>
      </c>
      <c r="T8" s="61">
        <v>100</v>
      </c>
      <c r="U8" s="62">
        <v>15</v>
      </c>
    </row>
    <row r="9" spans="1:21">
      <c r="A9" s="440" t="s">
        <v>6</v>
      </c>
      <c r="B9" s="428">
        <v>344.96212500000001</v>
      </c>
      <c r="C9" s="428">
        <f t="shared" si="0"/>
        <v>26.911875000000009</v>
      </c>
      <c r="D9" s="428">
        <v>371.87400000000002</v>
      </c>
      <c r="F9" s="406" t="s">
        <v>12</v>
      </c>
      <c r="G9" s="456">
        <v>60</v>
      </c>
      <c r="H9" s="457">
        <f>(G9/227)*100</f>
        <v>26.431718061674008</v>
      </c>
      <c r="K9" s="60" t="s">
        <v>88</v>
      </c>
      <c r="L9" s="408">
        <v>0</v>
      </c>
      <c r="M9" s="408">
        <v>0</v>
      </c>
      <c r="N9" s="408">
        <v>0</v>
      </c>
      <c r="O9" s="359">
        <v>0</v>
      </c>
      <c r="P9" s="408">
        <v>0</v>
      </c>
      <c r="Q9" s="60">
        <f t="shared" si="1"/>
        <v>0</v>
      </c>
      <c r="R9" s="413"/>
      <c r="S9" s="364" t="s">
        <v>486</v>
      </c>
      <c r="T9" s="364">
        <v>150</v>
      </c>
      <c r="U9" s="60">
        <v>16.3689</v>
      </c>
    </row>
    <row r="10" spans="1:21">
      <c r="A10" s="440" t="s">
        <v>7</v>
      </c>
      <c r="B10" s="428">
        <v>226.82512500000001</v>
      </c>
      <c r="C10" s="428">
        <f t="shared" si="0"/>
        <v>0</v>
      </c>
      <c r="D10" s="428">
        <v>226.82512500000001</v>
      </c>
      <c r="F10" s="406" t="s">
        <v>14</v>
      </c>
      <c r="G10" s="456">
        <v>92</v>
      </c>
      <c r="H10" s="457">
        <f>(G10/530)*100</f>
        <v>17.358490566037734</v>
      </c>
      <c r="K10" s="60" t="s">
        <v>89</v>
      </c>
      <c r="L10" s="408">
        <v>0</v>
      </c>
      <c r="M10" s="408">
        <v>0</v>
      </c>
      <c r="N10" s="408">
        <v>0</v>
      </c>
      <c r="O10" s="359">
        <v>0</v>
      </c>
      <c r="P10" s="408">
        <v>0</v>
      </c>
      <c r="Q10" s="60">
        <f t="shared" si="1"/>
        <v>0</v>
      </c>
      <c r="R10" s="410"/>
      <c r="S10" s="364" t="s">
        <v>487</v>
      </c>
      <c r="T10" s="364">
        <v>200</v>
      </c>
      <c r="U10" s="60">
        <v>16.746700000000001</v>
      </c>
    </row>
    <row r="11" spans="1:21">
      <c r="A11" s="440" t="s">
        <v>8</v>
      </c>
      <c r="B11" s="428">
        <v>237.47839285714281</v>
      </c>
      <c r="C11" s="428">
        <f t="shared" si="0"/>
        <v>0</v>
      </c>
      <c r="D11" s="428">
        <v>237.47839285714281</v>
      </c>
      <c r="F11" s="406" t="s">
        <v>16</v>
      </c>
      <c r="G11" s="456">
        <v>82</v>
      </c>
      <c r="H11" s="457">
        <f>(G11/224)*100</f>
        <v>36.607142857142854</v>
      </c>
      <c r="K11" s="60" t="s">
        <v>90</v>
      </c>
      <c r="L11" s="408">
        <v>0</v>
      </c>
      <c r="M11" s="408">
        <v>0</v>
      </c>
      <c r="N11" s="408">
        <v>0</v>
      </c>
      <c r="O11" s="359">
        <v>0</v>
      </c>
      <c r="P11" s="408">
        <v>0</v>
      </c>
      <c r="Q11" s="60">
        <f t="shared" si="1"/>
        <v>0</v>
      </c>
      <c r="R11" s="410"/>
      <c r="S11" s="364" t="s">
        <v>488</v>
      </c>
      <c r="T11" s="364">
        <v>250</v>
      </c>
      <c r="U11" s="60">
        <v>16.886600000000001</v>
      </c>
    </row>
    <row r="12" spans="1:21">
      <c r="A12" s="440" t="s">
        <v>9</v>
      </c>
      <c r="B12" s="428">
        <v>203.54389285714291</v>
      </c>
      <c r="C12" s="428">
        <f t="shared" si="0"/>
        <v>0</v>
      </c>
      <c r="D12" s="428">
        <v>203.54389285714291</v>
      </c>
      <c r="F12" s="406" t="s">
        <v>19</v>
      </c>
      <c r="G12" s="456">
        <v>310</v>
      </c>
      <c r="H12" s="457">
        <f>(G12/556)*100</f>
        <v>55.755395683453237</v>
      </c>
      <c r="K12" s="60" t="s">
        <v>91</v>
      </c>
      <c r="L12" s="408">
        <v>0</v>
      </c>
      <c r="M12" s="408">
        <v>0</v>
      </c>
      <c r="N12" s="408">
        <v>0</v>
      </c>
      <c r="O12" s="408">
        <v>0</v>
      </c>
      <c r="P12" s="408">
        <v>0</v>
      </c>
      <c r="Q12" s="60">
        <f t="shared" si="1"/>
        <v>0</v>
      </c>
      <c r="R12" s="413"/>
      <c r="S12" s="365" t="s">
        <v>525</v>
      </c>
      <c r="T12" s="365">
        <v>300</v>
      </c>
      <c r="U12" s="366">
        <v>17</v>
      </c>
    </row>
    <row r="13" spans="1:21">
      <c r="A13" s="440" t="s">
        <v>10</v>
      </c>
      <c r="B13" s="428">
        <v>182.33812499999999</v>
      </c>
      <c r="C13" s="428">
        <f t="shared" si="0"/>
        <v>0</v>
      </c>
      <c r="D13" s="428">
        <v>182.33812499999999</v>
      </c>
      <c r="F13" s="406" t="s">
        <v>20</v>
      </c>
      <c r="G13" s="456">
        <v>357</v>
      </c>
      <c r="H13" s="457">
        <f>(G13/678)*100</f>
        <v>52.654867256637175</v>
      </c>
      <c r="K13" s="60" t="s">
        <v>92</v>
      </c>
      <c r="L13" s="408">
        <v>0</v>
      </c>
      <c r="M13" s="408">
        <v>0</v>
      </c>
      <c r="N13" s="408">
        <v>0</v>
      </c>
      <c r="O13" s="408">
        <v>0</v>
      </c>
      <c r="P13" s="408">
        <v>0</v>
      </c>
      <c r="Q13" s="60">
        <f t="shared" si="1"/>
        <v>0</v>
      </c>
      <c r="R13" s="413"/>
      <c r="S13" s="413"/>
      <c r="T13" s="413"/>
      <c r="U13" s="5"/>
    </row>
    <row r="14" spans="1:21">
      <c r="A14" s="440" t="s">
        <v>11</v>
      </c>
      <c r="B14" s="428">
        <v>164.62125</v>
      </c>
      <c r="C14" s="428">
        <f t="shared" si="0"/>
        <v>4.9083750000000066</v>
      </c>
      <c r="D14" s="428">
        <v>169.52962500000001</v>
      </c>
      <c r="F14" s="406" t="s">
        <v>21</v>
      </c>
      <c r="G14" s="456">
        <v>47</v>
      </c>
      <c r="H14" s="457">
        <f>(G14/155)*100</f>
        <v>30.322580645161288</v>
      </c>
      <c r="K14" s="60" t="s">
        <v>93</v>
      </c>
      <c r="L14" s="408">
        <v>0</v>
      </c>
      <c r="M14" s="408">
        <v>0</v>
      </c>
      <c r="N14" s="408">
        <v>0</v>
      </c>
      <c r="O14" s="408">
        <v>0</v>
      </c>
      <c r="P14" s="408">
        <v>0</v>
      </c>
      <c r="Q14" s="60">
        <f t="shared" si="1"/>
        <v>0</v>
      </c>
      <c r="R14" s="413"/>
      <c r="S14" s="413"/>
      <c r="T14" s="413"/>
      <c r="U14" s="5"/>
    </row>
    <row r="15" spans="1:21" ht="15.75" thickBot="1">
      <c r="A15" s="440" t="s">
        <v>12</v>
      </c>
      <c r="B15" s="428">
        <v>226.83740624999999</v>
      </c>
      <c r="C15" s="428">
        <f t="shared" si="0"/>
        <v>59.702593750000034</v>
      </c>
      <c r="D15" s="428">
        <v>286.54000000000002</v>
      </c>
      <c r="F15" s="406" t="s">
        <v>22</v>
      </c>
      <c r="G15" s="456">
        <v>25</v>
      </c>
      <c r="H15" s="457">
        <f>(G15/64)*100</f>
        <v>39.0625</v>
      </c>
      <c r="K15" s="60" t="s">
        <v>94</v>
      </c>
      <c r="L15" s="408">
        <v>0</v>
      </c>
      <c r="M15" s="408">
        <v>0</v>
      </c>
      <c r="N15" s="408">
        <v>0</v>
      </c>
      <c r="O15" s="408">
        <v>0</v>
      </c>
      <c r="P15" s="408">
        <v>0</v>
      </c>
      <c r="Q15" s="60">
        <f t="shared" si="1"/>
        <v>0</v>
      </c>
      <c r="R15" s="18"/>
      <c r="S15" s="18"/>
      <c r="T15" s="413"/>
      <c r="U15" s="5"/>
    </row>
    <row r="16" spans="1:21">
      <c r="A16" s="440" t="s">
        <v>13</v>
      </c>
      <c r="B16" s="428">
        <v>24.882750000000009</v>
      </c>
      <c r="C16" s="428">
        <f t="shared" si="0"/>
        <v>0</v>
      </c>
      <c r="D16" s="428">
        <v>24.882750000000001</v>
      </c>
      <c r="F16" s="401" t="s">
        <v>416</v>
      </c>
      <c r="G16" s="402">
        <f>SUM(G7:G15)</f>
        <v>1005</v>
      </c>
      <c r="H16" s="403"/>
      <c r="K16" s="366" t="s">
        <v>482</v>
      </c>
      <c r="L16" s="367">
        <v>0</v>
      </c>
      <c r="M16" s="367">
        <v>0</v>
      </c>
      <c r="N16" s="367">
        <v>0</v>
      </c>
      <c r="O16" s="367">
        <v>0</v>
      </c>
      <c r="P16" s="367">
        <v>0</v>
      </c>
      <c r="Q16" s="366">
        <f t="shared" si="1"/>
        <v>0</v>
      </c>
      <c r="R16" s="413"/>
      <c r="T16" s="413"/>
      <c r="U16" s="5"/>
    </row>
    <row r="17" spans="1:21" ht="15.75" thickBot="1">
      <c r="A17" s="440" t="s">
        <v>14</v>
      </c>
      <c r="B17" s="428">
        <v>530.08406249999996</v>
      </c>
      <c r="C17" s="428">
        <f t="shared" si="0"/>
        <v>92.070937500000014</v>
      </c>
      <c r="D17" s="428">
        <v>622.15499999999997</v>
      </c>
      <c r="F17" s="458" t="s">
        <v>365</v>
      </c>
      <c r="G17" s="459">
        <f>G16/7220</f>
        <v>0.13919667590027701</v>
      </c>
      <c r="H17" s="407"/>
      <c r="I17" s="245"/>
      <c r="K17" s="270" t="s">
        <v>493</v>
      </c>
      <c r="L17" s="368">
        <f t="shared" ref="L17:Q17" si="2">SUM(L5:L16)</f>
        <v>0</v>
      </c>
      <c r="M17" s="368">
        <f t="shared" si="2"/>
        <v>0</v>
      </c>
      <c r="N17" s="368">
        <f t="shared" si="2"/>
        <v>0</v>
      </c>
      <c r="O17" s="368">
        <f t="shared" si="2"/>
        <v>0</v>
      </c>
      <c r="P17" s="368">
        <f t="shared" si="2"/>
        <v>0</v>
      </c>
      <c r="Q17" s="369">
        <f t="shared" si="2"/>
        <v>0</v>
      </c>
      <c r="R17" s="413"/>
      <c r="T17" s="413"/>
      <c r="U17" s="5"/>
    </row>
    <row r="18" spans="1:21">
      <c r="A18" s="440" t="s">
        <v>15</v>
      </c>
      <c r="B18" s="428">
        <v>340.84660714285718</v>
      </c>
      <c r="C18" s="428">
        <f t="shared" si="0"/>
        <v>0</v>
      </c>
      <c r="D18" s="428">
        <v>340.84660714285718</v>
      </c>
      <c r="H18" s="245"/>
      <c r="I18" s="245"/>
      <c r="K18" s="270" t="s">
        <v>492</v>
      </c>
      <c r="L18" s="370">
        <f>PRODUCT(L17*U8)</f>
        <v>0</v>
      </c>
      <c r="M18" s="370">
        <f>PRODUCT(M17*U9)</f>
        <v>0</v>
      </c>
      <c r="N18" s="370">
        <f>PRODUCT(N17*U10)</f>
        <v>0</v>
      </c>
      <c r="O18" s="370">
        <f>PRODUCT(O17*U11)</f>
        <v>0</v>
      </c>
      <c r="P18" s="370">
        <f>PRODUCT(P17*U12)</f>
        <v>0</v>
      </c>
      <c r="Q18" s="270">
        <f>SUM(L18:P18)</f>
        <v>0</v>
      </c>
      <c r="R18" s="413"/>
      <c r="T18" s="413"/>
      <c r="U18" s="5"/>
    </row>
    <row r="19" spans="1:21">
      <c r="A19" s="440" t="s">
        <v>16</v>
      </c>
      <c r="B19" s="428">
        <v>223.66594642857149</v>
      </c>
      <c r="C19" s="428">
        <f t="shared" si="0"/>
        <v>82.31905357142864</v>
      </c>
      <c r="D19" s="428">
        <v>305.98500000000013</v>
      </c>
      <c r="H19" s="245"/>
      <c r="I19" s="245"/>
      <c r="K19" s="270" t="s">
        <v>491</v>
      </c>
      <c r="L19" s="370">
        <f>L17*T8</f>
        <v>0</v>
      </c>
      <c r="M19" s="370">
        <f>M17*T9</f>
        <v>0</v>
      </c>
      <c r="N19" s="370">
        <f>N17*T10</f>
        <v>0</v>
      </c>
      <c r="O19" s="370">
        <f>O17*T11</f>
        <v>0</v>
      </c>
      <c r="P19" s="370">
        <f>P17*T12</f>
        <v>0</v>
      </c>
      <c r="Q19" s="270">
        <f>SUM(L19:P19)</f>
        <v>0</v>
      </c>
      <c r="R19" s="413"/>
      <c r="T19" s="413"/>
      <c r="U19" s="5"/>
    </row>
    <row r="20" spans="1:21">
      <c r="A20" s="440" t="s">
        <v>17</v>
      </c>
      <c r="B20" s="428">
        <v>364.02900000000011</v>
      </c>
      <c r="C20" s="428">
        <f t="shared" si="0"/>
        <v>0</v>
      </c>
      <c r="D20" s="428">
        <v>364.02900000000011</v>
      </c>
      <c r="H20" s="245"/>
      <c r="I20" s="245"/>
      <c r="L20" s="412"/>
      <c r="M20" s="412"/>
      <c r="N20" s="412"/>
    </row>
    <row r="21" spans="1:21">
      <c r="A21" s="440" t="s">
        <v>18</v>
      </c>
      <c r="B21" s="428">
        <v>950.05133928571433</v>
      </c>
      <c r="C21" s="428">
        <f t="shared" si="0"/>
        <v>0</v>
      </c>
      <c r="D21" s="428">
        <v>950.05133928571433</v>
      </c>
      <c r="H21" s="245"/>
      <c r="I21" s="245"/>
    </row>
    <row r="22" spans="1:21">
      <c r="A22" s="440" t="s">
        <v>19</v>
      </c>
      <c r="B22" s="428">
        <v>555.80932500000006</v>
      </c>
      <c r="C22" s="428">
        <f t="shared" si="0"/>
        <v>310.44317500000011</v>
      </c>
      <c r="D22" s="428">
        <v>866.25250000000017</v>
      </c>
      <c r="H22" s="245"/>
      <c r="I22" s="245"/>
    </row>
    <row r="23" spans="1:21">
      <c r="A23" s="440" t="s">
        <v>20</v>
      </c>
      <c r="B23" s="428">
        <v>677.95106250000015</v>
      </c>
      <c r="C23" s="428">
        <f t="shared" si="0"/>
        <v>356.90393749999987</v>
      </c>
      <c r="D23" s="428">
        <v>1034.855</v>
      </c>
      <c r="H23" s="245"/>
      <c r="I23" s="245"/>
    </row>
    <row r="24" spans="1:21">
      <c r="A24" s="440" t="s">
        <v>21</v>
      </c>
      <c r="B24" s="428">
        <v>155.41050000000001</v>
      </c>
      <c r="C24" s="428">
        <f t="shared" si="0"/>
        <v>47.245499999999993</v>
      </c>
      <c r="D24" s="428">
        <v>202.65600000000001</v>
      </c>
      <c r="H24" s="245"/>
      <c r="I24" s="245"/>
    </row>
    <row r="25" spans="1:21">
      <c r="A25" s="440" t="s">
        <v>22</v>
      </c>
      <c r="B25" s="428">
        <v>64.467107142857131</v>
      </c>
      <c r="C25" s="428">
        <f t="shared" si="0"/>
        <v>25.434142857142859</v>
      </c>
      <c r="D25" s="428">
        <v>89.90124999999999</v>
      </c>
      <c r="H25" s="245"/>
      <c r="I25" s="245"/>
    </row>
    <row r="26" spans="1:21">
      <c r="A26" s="440" t="s">
        <v>23</v>
      </c>
      <c r="B26" s="428">
        <v>24.603857142857141</v>
      </c>
      <c r="C26" s="428">
        <f t="shared" si="0"/>
        <v>0</v>
      </c>
      <c r="D26" s="428">
        <v>24.603857142857141</v>
      </c>
      <c r="H26" s="245"/>
      <c r="I26" s="245"/>
    </row>
    <row r="27" spans="1:21">
      <c r="A27" s="440" t="s">
        <v>24</v>
      </c>
      <c r="B27" s="428">
        <v>62.246250000000003</v>
      </c>
      <c r="C27" s="428">
        <f t="shared" si="0"/>
        <v>0</v>
      </c>
      <c r="D27" s="428">
        <v>62.246250000000003</v>
      </c>
      <c r="H27" s="245"/>
      <c r="I27" s="245"/>
    </row>
    <row r="28" spans="1:21">
      <c r="A28" s="440" t="s">
        <v>25</v>
      </c>
      <c r="B28" s="428">
        <v>78.239249999999984</v>
      </c>
      <c r="C28" s="428">
        <f t="shared" si="0"/>
        <v>0</v>
      </c>
      <c r="D28" s="428">
        <v>78.239250000000013</v>
      </c>
      <c r="H28" s="245"/>
      <c r="I28" s="245"/>
    </row>
    <row r="29" spans="1:21">
      <c r="A29" s="440" t="s">
        <v>26</v>
      </c>
      <c r="B29" s="428">
        <v>78.776999999999987</v>
      </c>
      <c r="C29" s="428">
        <f t="shared" si="0"/>
        <v>0</v>
      </c>
      <c r="D29" s="428">
        <v>78.777000000000001</v>
      </c>
      <c r="H29" s="245"/>
      <c r="I29" s="245"/>
    </row>
    <row r="30" spans="1:21">
      <c r="A30" s="440" t="s">
        <v>27</v>
      </c>
      <c r="B30" s="428">
        <v>126.60525</v>
      </c>
      <c r="C30" s="428">
        <f t="shared" si="0"/>
        <v>0</v>
      </c>
      <c r="D30" s="428">
        <v>126.60525</v>
      </c>
    </row>
    <row r="31" spans="1:21">
      <c r="A31" s="440" t="s">
        <v>28</v>
      </c>
      <c r="B31" s="428">
        <v>125.7435</v>
      </c>
      <c r="C31" s="428">
        <f t="shared" si="0"/>
        <v>0</v>
      </c>
      <c r="D31" s="428">
        <v>125.7435</v>
      </c>
      <c r="H31" s="245"/>
    </row>
    <row r="32" spans="1:21">
      <c r="A32" s="440" t="s">
        <v>29</v>
      </c>
      <c r="B32" s="428">
        <v>57.986250000000013</v>
      </c>
      <c r="C32" s="428">
        <f t="shared" si="0"/>
        <v>0</v>
      </c>
      <c r="D32" s="428">
        <v>57.986249999999998</v>
      </c>
      <c r="H32" s="245"/>
    </row>
    <row r="33" spans="1:21">
      <c r="A33" s="440" t="s">
        <v>30</v>
      </c>
      <c r="B33" s="428">
        <v>110.91374999999999</v>
      </c>
      <c r="C33" s="428">
        <f t="shared" si="0"/>
        <v>0</v>
      </c>
      <c r="D33" s="428">
        <v>110.91374999999999</v>
      </c>
      <c r="F33" s="245"/>
      <c r="G33" s="245"/>
      <c r="H33" s="245"/>
      <c r="I33" s="245"/>
    </row>
    <row r="34" spans="1:21" ht="15.75" thickBot="1">
      <c r="A34" s="447" t="s">
        <v>31</v>
      </c>
      <c r="B34" s="431">
        <v>49.595249999999993</v>
      </c>
      <c r="C34" s="431">
        <f t="shared" si="0"/>
        <v>0</v>
      </c>
      <c r="D34" s="431">
        <v>49.59525</v>
      </c>
    </row>
    <row r="35" spans="1:21" ht="15.75" thickBot="1">
      <c r="A35" s="449" t="s">
        <v>538</v>
      </c>
      <c r="B35" s="450">
        <f>SUM(B4:B34)</f>
        <v>7220.305480357144</v>
      </c>
      <c r="C35" s="450">
        <f>SUM(C4:C34)</f>
        <v>1039.8014901785714</v>
      </c>
      <c r="D35" s="451">
        <f>SUM(D4:D34)</f>
        <v>8260.1069705357149</v>
      </c>
    </row>
    <row r="37" spans="1:21">
      <c r="T37" s="397"/>
      <c r="U37" s="5"/>
    </row>
    <row r="38" spans="1:21">
      <c r="T38" s="397"/>
      <c r="U38" s="5"/>
    </row>
    <row r="39" spans="1:21">
      <c r="T39" s="397"/>
      <c r="U39" s="5"/>
    </row>
    <row r="40" spans="1:21">
      <c r="T40" s="397"/>
      <c r="U40" s="5"/>
    </row>
    <row r="41" spans="1:21">
      <c r="T41" s="397"/>
      <c r="U41" s="5"/>
    </row>
  </sheetData>
  <mergeCells count="3">
    <mergeCell ref="A1:D2"/>
    <mergeCell ref="F3:H4"/>
    <mergeCell ref="K3:Q3"/>
  </mergeCells>
  <conditionalFormatting sqref="L37:Q38">
    <cfRule type="cellIs" dxfId="5" priority="2" operator="greaterThan">
      <formula>0</formula>
    </cfRule>
  </conditionalFormatting>
  <conditionalFormatting sqref="L5:Q16">
    <cfRule type="cellIs" dxfId="4" priority="1" operator="greaterThan">
      <formula>0</formula>
    </cfRule>
  </conditionalFormatting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48"/>
  <sheetViews>
    <sheetView topLeftCell="E1" zoomScale="90" zoomScaleNormal="90" workbookViewId="0">
      <selection activeCell="U33" sqref="U33"/>
    </sheetView>
  </sheetViews>
  <sheetFormatPr defaultRowHeight="15"/>
  <cols>
    <col min="1" max="1" width="16.7109375" customWidth="1"/>
    <col min="2" max="2" width="40.140625" style="405" customWidth="1"/>
    <col min="3" max="3" width="51.140625" style="346" customWidth="1"/>
    <col min="4" max="4" width="34.42578125" style="404" customWidth="1"/>
    <col min="7" max="7" width="17.85546875" customWidth="1"/>
    <col min="8" max="8" width="23.140625" customWidth="1"/>
    <col min="9" max="9" width="20.5703125" customWidth="1"/>
    <col min="12" max="12" width="12.42578125" customWidth="1"/>
    <col min="20" max="20" width="17.85546875" customWidth="1"/>
    <col min="21" max="21" width="17.5703125" customWidth="1"/>
    <col min="22" max="22" width="15.42578125" customWidth="1"/>
  </cols>
  <sheetData>
    <row r="1" spans="1:21" ht="15.75" thickBot="1">
      <c r="A1" s="538" t="s">
        <v>529</v>
      </c>
      <c r="B1" s="539"/>
      <c r="C1" s="539"/>
      <c r="D1" s="540"/>
    </row>
    <row r="2" spans="1:21">
      <c r="A2" s="541"/>
      <c r="B2" s="542"/>
      <c r="C2" s="542"/>
      <c r="D2" s="543"/>
      <c r="F2" s="544" t="s">
        <v>529</v>
      </c>
      <c r="G2" s="545"/>
      <c r="H2" s="546"/>
    </row>
    <row r="3" spans="1:21" ht="30.75" thickBot="1">
      <c r="A3" s="455" t="s">
        <v>389</v>
      </c>
      <c r="B3" s="460" t="s">
        <v>521</v>
      </c>
      <c r="C3" s="461" t="s">
        <v>523</v>
      </c>
      <c r="D3" s="462" t="s">
        <v>522</v>
      </c>
      <c r="F3" s="556"/>
      <c r="G3" s="557"/>
      <c r="H3" s="558"/>
      <c r="K3" s="553" t="s">
        <v>541</v>
      </c>
      <c r="L3" s="554"/>
      <c r="M3" s="554"/>
      <c r="N3" s="554"/>
      <c r="O3" s="554"/>
      <c r="P3" s="554"/>
      <c r="Q3" s="555"/>
      <c r="R3" s="5"/>
      <c r="S3" s="5"/>
      <c r="T3" s="5"/>
      <c r="U3" s="5"/>
    </row>
    <row r="4" spans="1:21">
      <c r="A4" s="440" t="s">
        <v>0</v>
      </c>
      <c r="B4" s="466">
        <v>500</v>
      </c>
      <c r="C4" s="465">
        <f>D4-B4</f>
        <v>0</v>
      </c>
      <c r="D4" s="466">
        <v>500</v>
      </c>
      <c r="F4" s="131" t="s">
        <v>389</v>
      </c>
      <c r="G4" s="130" t="s">
        <v>388</v>
      </c>
      <c r="H4" s="129" t="s">
        <v>387</v>
      </c>
      <c r="K4" s="355" t="s">
        <v>484</v>
      </c>
      <c r="L4" s="356" t="s">
        <v>485</v>
      </c>
      <c r="M4" s="356" t="s">
        <v>486</v>
      </c>
      <c r="N4" s="356" t="s">
        <v>487</v>
      </c>
      <c r="O4" s="357" t="s">
        <v>488</v>
      </c>
      <c r="P4" s="358" t="s">
        <v>525</v>
      </c>
      <c r="Q4" s="270" t="s">
        <v>416</v>
      </c>
      <c r="R4" s="5"/>
      <c r="S4" s="5"/>
      <c r="T4" s="5"/>
      <c r="U4" s="5"/>
    </row>
    <row r="5" spans="1:21">
      <c r="A5" s="440" t="s">
        <v>2</v>
      </c>
      <c r="B5" s="466">
        <v>100</v>
      </c>
      <c r="C5" s="465">
        <f t="shared" ref="C5:C34" si="0">D5-B5</f>
        <v>0</v>
      </c>
      <c r="D5" s="466">
        <v>100</v>
      </c>
      <c r="F5" s="400" t="s">
        <v>3</v>
      </c>
      <c r="G5" s="456">
        <v>5</v>
      </c>
      <c r="H5" s="457">
        <f>(G5/95)*100</f>
        <v>5.2631578947368416</v>
      </c>
      <c r="K5" s="60" t="s">
        <v>84</v>
      </c>
      <c r="L5" s="359">
        <f>1+1+1</f>
        <v>3</v>
      </c>
      <c r="M5" s="359"/>
      <c r="N5" s="360"/>
      <c r="O5" s="360">
        <f>2</f>
        <v>2</v>
      </c>
      <c r="P5" s="470"/>
      <c r="Q5" s="361">
        <f>SUM(L5:P5)</f>
        <v>5</v>
      </c>
      <c r="R5" s="5"/>
      <c r="S5" s="5"/>
      <c r="T5" s="5"/>
      <c r="U5" s="5"/>
    </row>
    <row r="6" spans="1:21">
      <c r="A6" s="440" t="s">
        <v>3</v>
      </c>
      <c r="B6" s="466">
        <v>95.281249999999602</v>
      </c>
      <c r="C6" s="465">
        <f t="shared" si="0"/>
        <v>4.7187500000003979</v>
      </c>
      <c r="D6" s="466">
        <v>100</v>
      </c>
      <c r="F6" s="400" t="s">
        <v>5</v>
      </c>
      <c r="G6" s="456">
        <v>51</v>
      </c>
      <c r="H6" s="457">
        <f>(G6/249)*100</f>
        <v>20.481927710843372</v>
      </c>
      <c r="K6" s="60" t="s">
        <v>85</v>
      </c>
      <c r="L6" s="359">
        <f>1</f>
        <v>1</v>
      </c>
      <c r="M6" s="359">
        <f>1</f>
        <v>1</v>
      </c>
      <c r="N6" s="359">
        <f>1</f>
        <v>1</v>
      </c>
      <c r="O6" s="359">
        <f>1+1</f>
        <v>2</v>
      </c>
      <c r="P6" s="359">
        <f>1+1+1</f>
        <v>3</v>
      </c>
      <c r="Q6" s="60">
        <f t="shared" ref="Q6:Q15" si="1">SUM(L6:P6)</f>
        <v>8</v>
      </c>
      <c r="R6" s="5"/>
      <c r="S6" s="5"/>
      <c r="T6" s="5"/>
      <c r="U6" s="5"/>
    </row>
    <row r="7" spans="1:21">
      <c r="A7" s="440" t="s">
        <v>4</v>
      </c>
      <c r="B7" s="466">
        <v>100</v>
      </c>
      <c r="C7" s="465">
        <f t="shared" si="0"/>
        <v>0</v>
      </c>
      <c r="D7" s="466">
        <v>100</v>
      </c>
      <c r="F7" s="400" t="s">
        <v>6</v>
      </c>
      <c r="G7" s="456">
        <v>47</v>
      </c>
      <c r="H7" s="457">
        <f>(G7/353)*100</f>
        <v>13.314447592067987</v>
      </c>
      <c r="K7" s="60" t="s">
        <v>86</v>
      </c>
      <c r="L7" s="359">
        <f>1</f>
        <v>1</v>
      </c>
      <c r="M7" s="359"/>
      <c r="N7" s="359"/>
      <c r="O7" s="359"/>
      <c r="P7" s="359">
        <f>1+1</f>
        <v>2</v>
      </c>
      <c r="Q7" s="60">
        <f t="shared" si="1"/>
        <v>3</v>
      </c>
      <c r="R7" s="5"/>
      <c r="S7" s="409" t="s">
        <v>490</v>
      </c>
      <c r="T7" s="409" t="s">
        <v>491</v>
      </c>
      <c r="U7" s="363" t="s">
        <v>492</v>
      </c>
    </row>
    <row r="8" spans="1:21">
      <c r="A8" s="440" t="s">
        <v>5</v>
      </c>
      <c r="B8" s="466">
        <v>248.71799999999999</v>
      </c>
      <c r="C8" s="465">
        <f t="shared" si="0"/>
        <v>51.282000000000011</v>
      </c>
      <c r="D8" s="466">
        <v>300</v>
      </c>
      <c r="F8" s="406" t="s">
        <v>7</v>
      </c>
      <c r="G8" s="456">
        <v>18</v>
      </c>
      <c r="H8" s="457">
        <f>(G8/232)*100</f>
        <v>7.7586206896551726</v>
      </c>
      <c r="K8" s="60" t="s">
        <v>87</v>
      </c>
      <c r="L8" s="359">
        <f>1+1+1+1</f>
        <v>4</v>
      </c>
      <c r="M8" s="359">
        <f>1</f>
        <v>1</v>
      </c>
      <c r="N8" s="359">
        <f>1</f>
        <v>1</v>
      </c>
      <c r="O8" s="359">
        <f>2+1+1</f>
        <v>4</v>
      </c>
      <c r="P8" s="470">
        <f>1+1+1+1+1+3+3+3</f>
        <v>14</v>
      </c>
      <c r="Q8" s="60">
        <f t="shared" si="1"/>
        <v>24</v>
      </c>
      <c r="R8" s="5"/>
      <c r="S8" s="61" t="s">
        <v>485</v>
      </c>
      <c r="T8" s="61">
        <v>100</v>
      </c>
      <c r="U8" s="420">
        <v>15</v>
      </c>
    </row>
    <row r="9" spans="1:21">
      <c r="A9" s="440" t="s">
        <v>6</v>
      </c>
      <c r="B9" s="466">
        <v>353.08425000000022</v>
      </c>
      <c r="C9" s="465">
        <f t="shared" si="0"/>
        <v>46.915749999999775</v>
      </c>
      <c r="D9" s="466">
        <v>400</v>
      </c>
      <c r="F9" s="400" t="s">
        <v>9</v>
      </c>
      <c r="G9" s="456">
        <v>5</v>
      </c>
      <c r="H9" s="457">
        <f>(G9/195)*100</f>
        <v>2.5641025641025639</v>
      </c>
      <c r="K9" s="60" t="s">
        <v>88</v>
      </c>
      <c r="L9" s="359">
        <f>1+1+1+1+1+1</f>
        <v>6</v>
      </c>
      <c r="M9" s="359"/>
      <c r="N9" s="359"/>
      <c r="O9" s="359">
        <f>1+1</f>
        <v>2</v>
      </c>
      <c r="P9" s="359">
        <f>1</f>
        <v>1</v>
      </c>
      <c r="Q9" s="60">
        <f t="shared" si="1"/>
        <v>9</v>
      </c>
      <c r="R9" s="413"/>
      <c r="S9" s="364" t="s">
        <v>486</v>
      </c>
      <c r="T9" s="364">
        <v>150</v>
      </c>
      <c r="U9" s="421">
        <v>16.3689</v>
      </c>
    </row>
    <row r="10" spans="1:21">
      <c r="A10" s="440" t="s">
        <v>7</v>
      </c>
      <c r="B10" s="466">
        <v>232.13274999999999</v>
      </c>
      <c r="C10" s="465">
        <f t="shared" si="0"/>
        <v>17.867250000000013</v>
      </c>
      <c r="D10" s="466">
        <v>250</v>
      </c>
      <c r="F10" s="406" t="s">
        <v>10</v>
      </c>
      <c r="G10" s="456">
        <v>5</v>
      </c>
      <c r="H10" s="457">
        <f>(G10/145)*100</f>
        <v>3.4482758620689653</v>
      </c>
      <c r="K10" s="60" t="s">
        <v>89</v>
      </c>
      <c r="L10" s="359">
        <f>1+1+1</f>
        <v>3</v>
      </c>
      <c r="M10" s="359"/>
      <c r="N10" s="359"/>
      <c r="O10" s="359"/>
      <c r="P10" s="359">
        <f>1+1</f>
        <v>2</v>
      </c>
      <c r="Q10" s="60">
        <f t="shared" si="1"/>
        <v>5</v>
      </c>
      <c r="R10" s="410"/>
      <c r="S10" s="364" t="s">
        <v>487</v>
      </c>
      <c r="T10" s="364">
        <v>200</v>
      </c>
      <c r="U10" s="421">
        <v>16.746700000000001</v>
      </c>
    </row>
    <row r="11" spans="1:21">
      <c r="A11" s="440" t="s">
        <v>8</v>
      </c>
      <c r="B11" s="466">
        <v>300</v>
      </c>
      <c r="C11" s="465">
        <f t="shared" si="0"/>
        <v>0</v>
      </c>
      <c r="D11" s="466">
        <v>300</v>
      </c>
      <c r="F11" s="400" t="s">
        <v>11</v>
      </c>
      <c r="G11" s="456">
        <v>31</v>
      </c>
      <c r="H11" s="457">
        <f>(G11/219)*100</f>
        <v>14.15525114155251</v>
      </c>
      <c r="K11" s="60" t="s">
        <v>90</v>
      </c>
      <c r="L11" s="359">
        <f>1+1</f>
        <v>2</v>
      </c>
      <c r="M11" s="359"/>
      <c r="N11" s="359">
        <f>1</f>
        <v>1</v>
      </c>
      <c r="O11" s="359">
        <f>1</f>
        <v>1</v>
      </c>
      <c r="P11" s="359"/>
      <c r="Q11" s="60">
        <f t="shared" si="1"/>
        <v>4</v>
      </c>
      <c r="R11" s="410"/>
      <c r="S11" s="364" t="s">
        <v>488</v>
      </c>
      <c r="T11" s="364">
        <v>250</v>
      </c>
      <c r="U11" s="421">
        <v>16.886600000000001</v>
      </c>
    </row>
    <row r="12" spans="1:21">
      <c r="A12" s="440" t="s">
        <v>9</v>
      </c>
      <c r="B12" s="466">
        <v>194.8261666666665</v>
      </c>
      <c r="C12" s="465">
        <f t="shared" si="0"/>
        <v>5.1738333333335049</v>
      </c>
      <c r="D12" s="466">
        <v>200</v>
      </c>
      <c r="F12" s="406" t="s">
        <v>12</v>
      </c>
      <c r="G12" s="456">
        <v>81</v>
      </c>
      <c r="H12" s="457">
        <f>(G12/219)*100</f>
        <v>36.986301369863014</v>
      </c>
      <c r="K12" s="60" t="s">
        <v>91</v>
      </c>
      <c r="L12" s="359">
        <f>1+1+1+1+1+1+1</f>
        <v>7</v>
      </c>
      <c r="M12" s="359">
        <f>1+1</f>
        <v>2</v>
      </c>
      <c r="N12" s="359"/>
      <c r="O12" s="359"/>
      <c r="P12" s="359">
        <f>1</f>
        <v>1</v>
      </c>
      <c r="Q12" s="60">
        <f t="shared" si="1"/>
        <v>10</v>
      </c>
      <c r="R12" s="413"/>
      <c r="S12" s="365" t="s">
        <v>525</v>
      </c>
      <c r="T12" s="365">
        <v>300</v>
      </c>
      <c r="U12" s="422">
        <v>17</v>
      </c>
    </row>
    <row r="13" spans="1:21">
      <c r="A13" s="440" t="s">
        <v>10</v>
      </c>
      <c r="B13" s="466">
        <v>144.6882499999999</v>
      </c>
      <c r="C13" s="465">
        <f t="shared" si="0"/>
        <v>5.311750000000103</v>
      </c>
      <c r="D13" s="466">
        <v>150</v>
      </c>
      <c r="F13" s="406" t="s">
        <v>13</v>
      </c>
      <c r="G13" s="456">
        <v>74</v>
      </c>
      <c r="H13" s="457">
        <f>(G13/26)*100</f>
        <v>284.61538461538464</v>
      </c>
      <c r="K13" s="60" t="s">
        <v>92</v>
      </c>
      <c r="L13" s="359">
        <f>1+1</f>
        <v>2</v>
      </c>
      <c r="M13" s="470"/>
      <c r="N13" s="359"/>
      <c r="O13" s="359">
        <f>1</f>
        <v>1</v>
      </c>
      <c r="P13" s="470">
        <f>3</f>
        <v>3</v>
      </c>
      <c r="Q13" s="60">
        <f t="shared" si="1"/>
        <v>6</v>
      </c>
      <c r="R13" s="413"/>
      <c r="S13" s="413"/>
      <c r="T13" s="413"/>
      <c r="U13" s="5"/>
    </row>
    <row r="14" spans="1:21">
      <c r="A14" s="440" t="s">
        <v>11</v>
      </c>
      <c r="B14" s="466">
        <v>219.444166666667</v>
      </c>
      <c r="C14" s="465">
        <f t="shared" si="0"/>
        <v>30.555833333332998</v>
      </c>
      <c r="D14" s="466">
        <v>250</v>
      </c>
      <c r="F14" s="406" t="s">
        <v>14</v>
      </c>
      <c r="G14" s="456">
        <v>117</v>
      </c>
      <c r="H14" s="457">
        <f>(G14/533)*100</f>
        <v>21.951219512195124</v>
      </c>
      <c r="K14" s="60" t="s">
        <v>93</v>
      </c>
      <c r="L14" s="359">
        <f>1</f>
        <v>1</v>
      </c>
      <c r="M14" s="359">
        <f>1</f>
        <v>1</v>
      </c>
      <c r="N14" s="359"/>
      <c r="O14" s="470"/>
      <c r="P14" s="470">
        <f>3</f>
        <v>3</v>
      </c>
      <c r="Q14" s="60">
        <f t="shared" si="1"/>
        <v>5</v>
      </c>
      <c r="R14" s="413"/>
      <c r="S14" s="413"/>
      <c r="T14" s="413"/>
      <c r="U14" s="5"/>
    </row>
    <row r="15" spans="1:21">
      <c r="A15" s="440" t="s">
        <v>12</v>
      </c>
      <c r="B15" s="466">
        <v>219.23474999999999</v>
      </c>
      <c r="C15" s="465">
        <f t="shared" si="0"/>
        <v>80.765250000000009</v>
      </c>
      <c r="D15" s="466">
        <v>300</v>
      </c>
      <c r="F15" s="406" t="s">
        <v>16</v>
      </c>
      <c r="G15" s="456">
        <v>118</v>
      </c>
      <c r="H15" s="457">
        <f>(G15/232)*100</f>
        <v>50.862068965517238</v>
      </c>
      <c r="K15" s="60" t="s">
        <v>94</v>
      </c>
      <c r="L15" s="359">
        <f>1+1+1</f>
        <v>3</v>
      </c>
      <c r="M15" s="359">
        <f>1</f>
        <v>1</v>
      </c>
      <c r="N15" s="470"/>
      <c r="O15" s="470"/>
      <c r="P15" s="470">
        <f>3</f>
        <v>3</v>
      </c>
      <c r="Q15" s="60">
        <f t="shared" si="1"/>
        <v>7</v>
      </c>
      <c r="R15" s="18"/>
      <c r="S15" s="18"/>
      <c r="T15" s="413"/>
      <c r="U15" s="5"/>
    </row>
    <row r="16" spans="1:21">
      <c r="A16" s="440" t="s">
        <v>13</v>
      </c>
      <c r="B16" s="466">
        <v>26.478000000000002</v>
      </c>
      <c r="C16" s="465">
        <f t="shared" si="0"/>
        <v>73.521999999999991</v>
      </c>
      <c r="D16" s="466">
        <v>100</v>
      </c>
      <c r="F16" s="406" t="s">
        <v>17</v>
      </c>
      <c r="G16" s="456">
        <v>22</v>
      </c>
      <c r="H16" s="457">
        <f>(G16/378)*100</f>
        <v>5.8201058201058196</v>
      </c>
      <c r="K16" s="366" t="s">
        <v>482</v>
      </c>
      <c r="L16" s="359">
        <f>1</f>
        <v>1</v>
      </c>
      <c r="M16" s="367"/>
      <c r="N16" s="367">
        <f>1</f>
        <v>1</v>
      </c>
      <c r="O16" s="367"/>
      <c r="P16" s="367"/>
      <c r="Q16" s="366">
        <f>SUM(L16:P16)</f>
        <v>2</v>
      </c>
    </row>
    <row r="17" spans="1:22">
      <c r="A17" s="440" t="s">
        <v>14</v>
      </c>
      <c r="B17" s="466">
        <v>533.26691666666659</v>
      </c>
      <c r="C17" s="465">
        <f t="shared" si="0"/>
        <v>116.73308333333341</v>
      </c>
      <c r="D17" s="466">
        <v>650</v>
      </c>
      <c r="F17" s="400" t="s">
        <v>19</v>
      </c>
      <c r="G17" s="456">
        <v>287</v>
      </c>
      <c r="H17" s="457">
        <f>(G17/613)*100</f>
        <v>46.818923327895597</v>
      </c>
      <c r="K17" s="270" t="s">
        <v>493</v>
      </c>
      <c r="L17" s="368">
        <f t="shared" ref="L17:Q17" si="2">SUM(L5:L16)</f>
        <v>34</v>
      </c>
      <c r="M17" s="368">
        <f t="shared" si="2"/>
        <v>6</v>
      </c>
      <c r="N17" s="368">
        <f t="shared" si="2"/>
        <v>4</v>
      </c>
      <c r="O17" s="368">
        <f t="shared" si="2"/>
        <v>12</v>
      </c>
      <c r="P17" s="368">
        <f t="shared" si="2"/>
        <v>32</v>
      </c>
      <c r="Q17" s="369">
        <f t="shared" si="2"/>
        <v>88</v>
      </c>
    </row>
    <row r="18" spans="1:22">
      <c r="A18" s="440" t="s">
        <v>15</v>
      </c>
      <c r="B18" s="466">
        <v>299.99999999999989</v>
      </c>
      <c r="C18" s="465">
        <f t="shared" si="0"/>
        <v>0</v>
      </c>
      <c r="D18" s="466">
        <v>300</v>
      </c>
      <c r="F18" s="400" t="s">
        <v>20</v>
      </c>
      <c r="G18" s="456">
        <v>384</v>
      </c>
      <c r="H18" s="457">
        <f>(G18/666)*100</f>
        <v>57.657657657657658</v>
      </c>
      <c r="K18" s="270" t="s">
        <v>492</v>
      </c>
      <c r="L18" s="370">
        <f>PRODUCT(L17*U8)</f>
        <v>510</v>
      </c>
      <c r="M18" s="418">
        <f>PRODUCT(M17*U9)</f>
        <v>98.213400000000007</v>
      </c>
      <c r="N18" s="418">
        <f>PRODUCT(N17*U10)</f>
        <v>66.986800000000002</v>
      </c>
      <c r="O18" s="418">
        <f>PRODUCT(O17*U11)</f>
        <v>202.63920000000002</v>
      </c>
      <c r="P18" s="418">
        <f>PRODUCT(P17*U12)</f>
        <v>544</v>
      </c>
      <c r="Q18" s="419">
        <f>SUM(L18:P18)</f>
        <v>1421.8394000000001</v>
      </c>
    </row>
    <row r="19" spans="1:22">
      <c r="A19" s="440" t="s">
        <v>16</v>
      </c>
      <c r="B19" s="466">
        <v>232.3610833333332</v>
      </c>
      <c r="C19" s="465">
        <f t="shared" si="0"/>
        <v>117.6389166666668</v>
      </c>
      <c r="D19" s="466">
        <v>350</v>
      </c>
      <c r="F19" s="400" t="s">
        <v>21</v>
      </c>
      <c r="G19" s="456">
        <v>43</v>
      </c>
      <c r="H19" s="457">
        <f>(G19/157)*100</f>
        <v>27.388535031847134</v>
      </c>
      <c r="K19" s="270" t="s">
        <v>491</v>
      </c>
      <c r="L19" s="370">
        <f>L17*T8</f>
        <v>3400</v>
      </c>
      <c r="M19" s="370">
        <f>M17*T9</f>
        <v>900</v>
      </c>
      <c r="N19" s="370">
        <f>N17*T10</f>
        <v>800</v>
      </c>
      <c r="O19" s="370">
        <f>O17*T11</f>
        <v>3000</v>
      </c>
      <c r="P19" s="370">
        <f>P17*T12</f>
        <v>9600</v>
      </c>
      <c r="Q19" s="270">
        <f>SUM(L19:P19)</f>
        <v>17700</v>
      </c>
    </row>
    <row r="20" spans="1:22">
      <c r="A20" s="440" t="s">
        <v>17</v>
      </c>
      <c r="B20" s="466">
        <v>377.76225000000011</v>
      </c>
      <c r="C20" s="465">
        <f t="shared" si="0"/>
        <v>22.237749999999892</v>
      </c>
      <c r="D20" s="466">
        <v>400</v>
      </c>
      <c r="F20" s="400" t="s">
        <v>22</v>
      </c>
      <c r="G20" s="456">
        <v>27</v>
      </c>
      <c r="H20" s="457">
        <f>(G20/73)*100</f>
        <v>36.986301369863014</v>
      </c>
    </row>
    <row r="21" spans="1:22">
      <c r="A21" s="440" t="s">
        <v>18</v>
      </c>
      <c r="B21" s="466">
        <v>900</v>
      </c>
      <c r="C21" s="465">
        <f t="shared" si="0"/>
        <v>0</v>
      </c>
      <c r="D21" s="466">
        <v>900</v>
      </c>
      <c r="F21" s="400" t="s">
        <v>23</v>
      </c>
      <c r="G21" s="456">
        <v>62</v>
      </c>
      <c r="H21" s="457">
        <f>(G21/38)*100</f>
        <v>163.15789473684211</v>
      </c>
    </row>
    <row r="22" spans="1:22">
      <c r="A22" s="440" t="s">
        <v>19</v>
      </c>
      <c r="B22" s="466">
        <v>613.03300000000002</v>
      </c>
      <c r="C22" s="465">
        <f t="shared" si="0"/>
        <v>286.96699999999998</v>
      </c>
      <c r="D22" s="466">
        <v>900</v>
      </c>
      <c r="F22" s="400" t="s">
        <v>24</v>
      </c>
      <c r="G22" s="456">
        <v>39</v>
      </c>
      <c r="H22" s="457">
        <f>(G22/61)*100</f>
        <v>63.934426229508205</v>
      </c>
    </row>
    <row r="23" spans="1:22">
      <c r="A23" s="440" t="s">
        <v>20</v>
      </c>
      <c r="B23" s="466">
        <v>665.72900000000016</v>
      </c>
      <c r="C23" s="465">
        <f t="shared" si="0"/>
        <v>384.27099999999984</v>
      </c>
      <c r="D23" s="466">
        <v>1050</v>
      </c>
      <c r="F23" s="400" t="s">
        <v>25</v>
      </c>
      <c r="G23" s="456">
        <v>6</v>
      </c>
      <c r="H23" s="457">
        <f>(G23/94)*100</f>
        <v>6.3829787234042552</v>
      </c>
    </row>
    <row r="24" spans="1:22">
      <c r="A24" s="440" t="s">
        <v>21</v>
      </c>
      <c r="B24" s="466">
        <v>156.5505</v>
      </c>
      <c r="C24" s="465">
        <f t="shared" si="0"/>
        <v>43.4495</v>
      </c>
      <c r="D24" s="466">
        <v>200</v>
      </c>
      <c r="F24" s="400" t="s">
        <v>27</v>
      </c>
      <c r="G24" s="456">
        <v>16</v>
      </c>
      <c r="H24" s="457">
        <f>(G24/134)*100</f>
        <v>11.940298507462686</v>
      </c>
    </row>
    <row r="25" spans="1:22">
      <c r="A25" s="440" t="s">
        <v>22</v>
      </c>
      <c r="B25" s="466">
        <v>72.876000000000005</v>
      </c>
      <c r="C25" s="465">
        <f t="shared" si="0"/>
        <v>27.123999999999995</v>
      </c>
      <c r="D25" s="466">
        <v>100</v>
      </c>
      <c r="F25" s="400" t="s">
        <v>29</v>
      </c>
      <c r="G25" s="456">
        <v>40</v>
      </c>
      <c r="H25" s="457">
        <f>(G25/60)*100</f>
        <v>66.666666666666657</v>
      </c>
    </row>
    <row r="26" spans="1:22" ht="15.75" thickBot="1">
      <c r="A26" s="440" t="s">
        <v>23</v>
      </c>
      <c r="B26" s="466">
        <v>38.386499999999351</v>
      </c>
      <c r="C26" s="465">
        <f t="shared" si="0"/>
        <v>61.613500000000649</v>
      </c>
      <c r="D26" s="466">
        <v>100</v>
      </c>
      <c r="F26" s="400" t="s">
        <v>31</v>
      </c>
      <c r="G26" s="456">
        <v>78</v>
      </c>
      <c r="H26" s="457">
        <f>(G26/22)*100</f>
        <v>354.54545454545456</v>
      </c>
      <c r="R26" s="446"/>
      <c r="S26" s="245"/>
      <c r="T26" s="245"/>
      <c r="U26" s="245"/>
      <c r="V26" s="245"/>
    </row>
    <row r="27" spans="1:22">
      <c r="A27" s="440" t="s">
        <v>24</v>
      </c>
      <c r="B27" s="466">
        <v>60.634499999999363</v>
      </c>
      <c r="C27" s="465">
        <f t="shared" si="0"/>
        <v>39.365500000000637</v>
      </c>
      <c r="D27" s="466">
        <v>100</v>
      </c>
      <c r="F27" s="401" t="s">
        <v>416</v>
      </c>
      <c r="G27" s="463">
        <f>SUM(G5:G26)</f>
        <v>1556</v>
      </c>
      <c r="H27" s="403"/>
      <c r="R27" s="245"/>
      <c r="S27" s="411"/>
      <c r="T27" s="411"/>
      <c r="U27" s="411"/>
      <c r="V27" s="411"/>
    </row>
    <row r="28" spans="1:22" ht="15.75" thickBot="1">
      <c r="A28" s="440" t="s">
        <v>25</v>
      </c>
      <c r="B28" s="466">
        <v>94.135249999999687</v>
      </c>
      <c r="C28" s="465">
        <f t="shared" si="0"/>
        <v>5.8647500000003134</v>
      </c>
      <c r="D28" s="466">
        <v>100</v>
      </c>
      <c r="F28" s="458" t="s">
        <v>365</v>
      </c>
      <c r="G28" s="459">
        <f>G27/7295</f>
        <v>0.21329677861549007</v>
      </c>
      <c r="H28" s="407"/>
      <c r="R28" s="379"/>
      <c r="S28" s="380"/>
      <c r="T28" s="380"/>
      <c r="U28" s="380"/>
      <c r="V28" s="410"/>
    </row>
    <row r="29" spans="1:22">
      <c r="A29" s="440" t="s">
        <v>26</v>
      </c>
      <c r="B29" s="466">
        <v>100</v>
      </c>
      <c r="C29" s="465">
        <f t="shared" si="0"/>
        <v>0</v>
      </c>
      <c r="D29" s="466">
        <v>100</v>
      </c>
      <c r="H29" s="245"/>
      <c r="R29" s="413"/>
      <c r="S29" s="359"/>
      <c r="T29" s="359"/>
      <c r="U29" s="359"/>
      <c r="V29" s="359"/>
    </row>
    <row r="30" spans="1:22">
      <c r="A30" s="440" t="s">
        <v>27</v>
      </c>
      <c r="B30" s="466">
        <v>133.92700000000019</v>
      </c>
      <c r="C30" s="465">
        <f t="shared" si="0"/>
        <v>16.072999999999809</v>
      </c>
      <c r="D30" s="466">
        <v>150</v>
      </c>
      <c r="H30" s="245"/>
      <c r="R30" s="413"/>
      <c r="S30" s="359"/>
      <c r="T30" s="359"/>
      <c r="U30" s="359"/>
      <c r="V30" s="359"/>
    </row>
    <row r="31" spans="1:22" ht="14.25" customHeight="1">
      <c r="A31" s="440" t="s">
        <v>28</v>
      </c>
      <c r="B31" s="466">
        <v>99.999999999999986</v>
      </c>
      <c r="C31" s="465">
        <f t="shared" si="0"/>
        <v>0</v>
      </c>
      <c r="D31" s="466">
        <v>100</v>
      </c>
      <c r="F31" s="464"/>
      <c r="G31" s="245"/>
      <c r="H31" s="245"/>
      <c r="R31" s="413"/>
      <c r="S31" s="359"/>
      <c r="T31" s="359"/>
      <c r="U31" s="359"/>
      <c r="V31" s="359"/>
    </row>
    <row r="32" spans="1:22">
      <c r="A32" s="440" t="s">
        <v>29</v>
      </c>
      <c r="B32" s="466">
        <v>59.978250000000003</v>
      </c>
      <c r="C32" s="465">
        <f t="shared" si="0"/>
        <v>40.021749999999997</v>
      </c>
      <c r="D32" s="466">
        <v>100</v>
      </c>
      <c r="I32" s="245"/>
      <c r="R32" s="413"/>
      <c r="S32" s="359"/>
      <c r="T32" s="359"/>
      <c r="U32" s="359"/>
      <c r="V32" s="359"/>
    </row>
    <row r="33" spans="1:22">
      <c r="A33" s="440" t="s">
        <v>30</v>
      </c>
      <c r="B33" s="466">
        <v>100</v>
      </c>
      <c r="C33" s="465">
        <f t="shared" si="0"/>
        <v>0</v>
      </c>
      <c r="D33" s="466">
        <v>100</v>
      </c>
      <c r="R33" s="413"/>
      <c r="S33" s="359"/>
      <c r="T33" s="359"/>
      <c r="U33" s="359"/>
      <c r="V33" s="359"/>
    </row>
    <row r="34" spans="1:22" ht="15.75" thickBot="1">
      <c r="A34" s="447" t="s">
        <v>31</v>
      </c>
      <c r="B34" s="467">
        <v>22.024999999999871</v>
      </c>
      <c r="C34" s="468">
        <f t="shared" si="0"/>
        <v>77.975000000000136</v>
      </c>
      <c r="D34" s="467">
        <v>100</v>
      </c>
      <c r="R34" s="413"/>
      <c r="S34" s="359"/>
      <c r="T34" s="359"/>
      <c r="U34" s="359"/>
      <c r="V34" s="359"/>
    </row>
    <row r="35" spans="1:22" ht="15.75" thickBot="1">
      <c r="A35" s="449" t="s">
        <v>538</v>
      </c>
      <c r="B35" s="450">
        <f>SUM(B4:B34)</f>
        <v>7294.5528333333323</v>
      </c>
      <c r="C35" s="469">
        <f>SUM(C4:C34)</f>
        <v>1555.4471666666684</v>
      </c>
      <c r="D35" s="451">
        <f>SUM(D4:D34)</f>
        <v>8850</v>
      </c>
      <c r="R35" s="413"/>
      <c r="S35" s="359"/>
      <c r="T35" s="359"/>
      <c r="U35" s="359"/>
      <c r="V35" s="359"/>
    </row>
    <row r="36" spans="1:22">
      <c r="B36"/>
      <c r="C36"/>
      <c r="D36"/>
      <c r="F36" s="346"/>
      <c r="G36" s="404"/>
      <c r="R36" s="413"/>
      <c r="S36" s="359"/>
      <c r="T36" s="359"/>
      <c r="U36" s="359"/>
      <c r="V36" s="359"/>
    </row>
    <row r="37" spans="1:22">
      <c r="B37"/>
      <c r="C37"/>
      <c r="D37"/>
      <c r="F37" s="346"/>
      <c r="G37" s="404"/>
      <c r="R37" s="413"/>
      <c r="S37" s="359"/>
      <c r="T37" s="408"/>
      <c r="U37" s="359"/>
      <c r="V37" s="359"/>
    </row>
    <row r="38" spans="1:22">
      <c r="B38"/>
      <c r="C38"/>
      <c r="D38"/>
      <c r="F38" s="346"/>
      <c r="G38" s="404"/>
      <c r="R38" s="413"/>
      <c r="S38" s="359"/>
      <c r="T38" s="359"/>
      <c r="U38" s="359"/>
      <c r="V38" s="408"/>
    </row>
    <row r="39" spans="1:22">
      <c r="B39"/>
      <c r="C39"/>
      <c r="D39"/>
      <c r="F39" s="346"/>
      <c r="G39" s="404"/>
      <c r="R39" s="413"/>
      <c r="S39" s="359"/>
      <c r="T39" s="359"/>
      <c r="U39" s="408"/>
      <c r="V39" s="408"/>
    </row>
    <row r="40" spans="1:22">
      <c r="B40"/>
      <c r="C40"/>
      <c r="D40"/>
      <c r="F40" s="346"/>
      <c r="G40" s="404"/>
      <c r="R40" s="413"/>
      <c r="S40" s="359"/>
      <c r="T40" s="408"/>
      <c r="U40" s="408"/>
      <c r="V40" s="408"/>
    </row>
    <row r="41" spans="1:22">
      <c r="B41"/>
      <c r="C41"/>
      <c r="D41"/>
      <c r="F41" s="346"/>
      <c r="G41" s="404"/>
      <c r="P41" s="412"/>
      <c r="Q41" s="412"/>
      <c r="R41" s="410"/>
      <c r="S41" s="408"/>
      <c r="T41" s="408"/>
      <c r="U41" s="408"/>
      <c r="V41" s="408"/>
    </row>
    <row r="42" spans="1:22">
      <c r="B42"/>
      <c r="C42"/>
      <c r="D42"/>
      <c r="F42" s="346"/>
      <c r="G42" s="404"/>
      <c r="R42" s="410"/>
      <c r="S42" s="413"/>
      <c r="T42" s="413"/>
      <c r="U42" s="413"/>
      <c r="V42" s="413"/>
    </row>
    <row r="43" spans="1:22">
      <c r="B43"/>
      <c r="C43"/>
      <c r="D43"/>
      <c r="F43" s="346"/>
      <c r="G43" s="404"/>
      <c r="R43" s="410"/>
      <c r="S43" s="413"/>
      <c r="T43" s="413"/>
      <c r="U43" s="413"/>
      <c r="V43" s="413"/>
    </row>
    <row r="44" spans="1:22">
      <c r="B44"/>
      <c r="C44"/>
      <c r="D44"/>
      <c r="F44" s="346"/>
      <c r="G44" s="404"/>
    </row>
    <row r="45" spans="1:22">
      <c r="B45"/>
      <c r="C45"/>
      <c r="D45"/>
      <c r="F45" s="346"/>
      <c r="G45" s="404"/>
    </row>
    <row r="46" spans="1:22">
      <c r="B46"/>
      <c r="C46"/>
      <c r="D46"/>
      <c r="F46" s="346"/>
      <c r="G46" s="404"/>
    </row>
    <row r="47" spans="1:22">
      <c r="B47"/>
      <c r="C47"/>
      <c r="D47"/>
      <c r="F47" s="346"/>
      <c r="G47" s="404"/>
    </row>
    <row r="48" spans="1:22">
      <c r="B48"/>
      <c r="C48"/>
      <c r="D48"/>
    </row>
  </sheetData>
  <mergeCells count="3">
    <mergeCell ref="A1:D2"/>
    <mergeCell ref="F2:H3"/>
    <mergeCell ref="K3:Q3"/>
  </mergeCells>
  <conditionalFormatting sqref="Q5:Q16">
    <cfRule type="cellIs" dxfId="3" priority="4" operator="greaterThan">
      <formula>0</formula>
    </cfRule>
  </conditionalFormatting>
  <conditionalFormatting sqref="S29:V40">
    <cfRule type="cellIs" dxfId="2" priority="3" operator="greaterThan">
      <formula>0</formula>
    </cfRule>
  </conditionalFormatting>
  <conditionalFormatting sqref="L5:P16">
    <cfRule type="cellIs" dxfId="1" priority="1" operator="greaterThan">
      <formula>0</formula>
    </cfRule>
  </conditionalFormatting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X82"/>
  <sheetViews>
    <sheetView tabSelected="1" topLeftCell="A22" zoomScale="70" zoomScaleNormal="70" workbookViewId="0">
      <selection activeCell="S53" sqref="S53"/>
    </sheetView>
  </sheetViews>
  <sheetFormatPr defaultRowHeight="15"/>
  <cols>
    <col min="2" max="2" width="43.85546875" customWidth="1"/>
    <col min="3" max="3" width="24.7109375" customWidth="1"/>
    <col min="4" max="4" width="22.42578125" customWidth="1"/>
    <col min="7" max="7" width="21.140625" customWidth="1"/>
    <col min="8" max="8" width="23.85546875" customWidth="1"/>
    <col min="9" max="9" width="22.7109375" customWidth="1"/>
    <col min="13" max="13" width="20.85546875" customWidth="1"/>
    <col min="14" max="14" width="20.140625" customWidth="1"/>
    <col min="16" max="16" width="14" customWidth="1"/>
    <col min="17" max="17" width="23.85546875" customWidth="1"/>
    <col min="18" max="19" width="25.42578125" customWidth="1"/>
    <col min="20" max="20" width="23.85546875" customWidth="1"/>
    <col min="21" max="21" width="21.42578125" customWidth="1"/>
  </cols>
  <sheetData>
    <row r="2" spans="2:24">
      <c r="V2" s="294"/>
      <c r="W2" s="246"/>
      <c r="X2" s="294"/>
    </row>
    <row r="3" spans="2:24">
      <c r="F3" s="226"/>
      <c r="G3" s="226"/>
      <c r="H3" s="226"/>
      <c r="V3" s="294"/>
      <c r="W3" s="294"/>
      <c r="X3" s="294"/>
    </row>
    <row r="4" spans="2:24">
      <c r="B4" s="500"/>
      <c r="C4" s="500"/>
      <c r="D4" s="500"/>
      <c r="F4" s="500"/>
      <c r="G4" s="500"/>
      <c r="H4" s="16"/>
      <c r="L4" s="383"/>
      <c r="M4" s="58"/>
      <c r="N4" s="5"/>
      <c r="V4" s="294"/>
      <c r="W4" s="294"/>
      <c r="X4" s="294"/>
    </row>
    <row r="5" spans="2:24">
      <c r="B5" s="385"/>
      <c r="C5" s="385"/>
      <c r="D5" s="385"/>
      <c r="F5" s="11"/>
      <c r="G5" s="385"/>
      <c r="H5" s="385"/>
      <c r="I5" s="226"/>
      <c r="J5" s="226"/>
      <c r="K5" s="226"/>
      <c r="L5" s="527"/>
      <c r="M5" s="527"/>
      <c r="N5" s="527"/>
      <c r="O5" s="226"/>
      <c r="P5" s="385"/>
      <c r="Q5" s="246"/>
      <c r="R5" s="385"/>
      <c r="S5" s="5"/>
      <c r="T5" s="527"/>
      <c r="U5" s="527"/>
      <c r="V5" s="293"/>
      <c r="W5" s="293"/>
      <c r="X5" s="293"/>
    </row>
    <row r="6" spans="2:24">
      <c r="B6" s="384"/>
      <c r="C6" s="384"/>
      <c r="D6" s="384"/>
      <c r="F6" s="16"/>
      <c r="G6" s="385"/>
      <c r="H6" s="385"/>
      <c r="I6" s="385"/>
      <c r="J6" s="385"/>
      <c r="K6" s="385"/>
      <c r="L6" s="385"/>
      <c r="M6" s="385"/>
      <c r="N6" s="385"/>
      <c r="O6" s="226"/>
      <c r="P6" s="527"/>
      <c r="Q6" s="527"/>
      <c r="R6" s="527"/>
      <c r="S6" s="250"/>
      <c r="T6" s="329"/>
      <c r="U6" s="329"/>
      <c r="V6" s="294"/>
      <c r="W6" s="294"/>
      <c r="X6" s="294"/>
    </row>
    <row r="7" spans="2:24">
      <c r="B7" s="385"/>
      <c r="C7" s="385"/>
      <c r="D7" s="385"/>
      <c r="F7" s="11"/>
      <c r="G7" s="500"/>
      <c r="H7" s="500"/>
      <c r="I7" s="500"/>
      <c r="J7" s="384"/>
      <c r="K7" s="384"/>
      <c r="L7" s="384"/>
      <c r="M7" s="384"/>
      <c r="N7" s="384"/>
      <c r="O7" s="226"/>
      <c r="P7" s="385"/>
      <c r="Q7" s="385"/>
      <c r="R7" s="385"/>
      <c r="S7" s="250"/>
      <c r="T7" s="328"/>
      <c r="U7" s="328"/>
      <c r="V7" s="294"/>
      <c r="W7" s="294"/>
      <c r="X7" s="294"/>
    </row>
    <row r="8" spans="2:24">
      <c r="B8" s="270" t="s">
        <v>506</v>
      </c>
      <c r="C8" s="270" t="s">
        <v>517</v>
      </c>
      <c r="D8" s="270" t="s">
        <v>518</v>
      </c>
      <c r="F8" s="11"/>
      <c r="G8" s="385"/>
      <c r="H8" s="385"/>
      <c r="I8" s="385"/>
      <c r="J8" s="385"/>
      <c r="K8" s="385"/>
      <c r="L8" s="385"/>
      <c r="M8" s="385"/>
      <c r="N8" s="385"/>
      <c r="O8" s="226"/>
      <c r="P8" s="384"/>
      <c r="Q8" s="384"/>
      <c r="R8" s="384"/>
      <c r="S8" s="184"/>
      <c r="T8" s="328"/>
      <c r="U8" s="328"/>
      <c r="V8" s="294"/>
      <c r="W8" s="294"/>
      <c r="X8" s="294"/>
    </row>
    <row r="9" spans="2:24">
      <c r="B9" s="271" t="s">
        <v>512</v>
      </c>
      <c r="C9" s="271">
        <v>3150</v>
      </c>
      <c r="D9" s="271">
        <v>388.8313</v>
      </c>
      <c r="F9" s="11"/>
      <c r="G9" s="384"/>
      <c r="H9" s="384"/>
      <c r="I9" s="384"/>
      <c r="J9" s="384"/>
      <c r="K9" s="384"/>
      <c r="L9" s="385"/>
      <c r="M9" s="385"/>
      <c r="N9" s="385"/>
      <c r="O9" s="226"/>
      <c r="P9" s="385"/>
      <c r="Q9" s="385"/>
      <c r="R9" s="385"/>
      <c r="S9" s="250"/>
      <c r="T9" s="328"/>
      <c r="U9" s="328"/>
      <c r="V9" s="294"/>
      <c r="W9" s="294"/>
      <c r="X9" s="294"/>
    </row>
    <row r="10" spans="2:24">
      <c r="B10" s="271" t="s">
        <v>513</v>
      </c>
      <c r="C10" s="271">
        <v>500</v>
      </c>
      <c r="D10" s="271">
        <v>75</v>
      </c>
      <c r="F10" s="11"/>
      <c r="G10" s="385"/>
      <c r="H10" s="385"/>
      <c r="I10" s="385"/>
      <c r="J10" s="385"/>
      <c r="K10" s="385"/>
      <c r="L10" s="385"/>
      <c r="M10" s="385"/>
      <c r="N10" s="385"/>
      <c r="O10" s="226"/>
      <c r="P10" s="385"/>
      <c r="Q10" s="385"/>
      <c r="R10" s="385"/>
      <c r="S10" s="250"/>
      <c r="T10" s="328"/>
      <c r="U10" s="328"/>
      <c r="V10" s="294"/>
      <c r="W10" s="294"/>
      <c r="X10" s="294"/>
    </row>
    <row r="11" spans="2:24">
      <c r="B11" s="271" t="s">
        <v>498</v>
      </c>
      <c r="C11" s="271">
        <v>600</v>
      </c>
      <c r="D11" s="271">
        <v>77.737799999999993</v>
      </c>
      <c r="F11" s="11"/>
      <c r="G11" s="385"/>
      <c r="H11" s="385"/>
      <c r="I11" s="385"/>
      <c r="J11" s="385"/>
      <c r="K11" s="385"/>
      <c r="L11" s="385"/>
      <c r="M11" s="385"/>
      <c r="N11" s="385"/>
      <c r="O11" s="226"/>
      <c r="P11" s="385"/>
      <c r="Q11" s="385"/>
      <c r="R11" s="385"/>
      <c r="S11" s="250"/>
      <c r="T11" s="328"/>
      <c r="U11" s="328"/>
      <c r="V11" s="294"/>
      <c r="W11" s="294"/>
      <c r="X11" s="294"/>
    </row>
    <row r="12" spans="2:24">
      <c r="B12" s="271" t="s">
        <v>514</v>
      </c>
      <c r="C12" s="271">
        <v>1400</v>
      </c>
      <c r="D12" s="271">
        <v>197.73779999999999</v>
      </c>
      <c r="F12" s="11"/>
      <c r="G12" s="385"/>
      <c r="H12" s="385"/>
      <c r="I12" s="385"/>
      <c r="J12" s="385"/>
      <c r="K12" s="385"/>
      <c r="L12" s="385"/>
      <c r="M12" s="385"/>
      <c r="N12" s="385"/>
      <c r="O12" s="226"/>
      <c r="P12" s="385"/>
      <c r="Q12" s="385"/>
      <c r="R12" s="385"/>
      <c r="S12" s="250"/>
      <c r="T12" s="328"/>
      <c r="U12" s="328"/>
      <c r="V12" s="294"/>
      <c r="W12" s="294"/>
      <c r="X12" s="294"/>
    </row>
    <row r="13" spans="2:24">
      <c r="B13" s="271" t="s">
        <v>515</v>
      </c>
      <c r="C13" s="271">
        <v>0</v>
      </c>
      <c r="D13" s="271">
        <v>0</v>
      </c>
      <c r="F13" s="11"/>
      <c r="G13" s="385"/>
      <c r="H13" s="385"/>
      <c r="I13" s="385"/>
      <c r="J13" s="385"/>
      <c r="K13" s="385"/>
      <c r="L13" s="385"/>
      <c r="M13" s="385"/>
      <c r="N13" s="385"/>
      <c r="O13" s="226"/>
      <c r="P13" s="385"/>
      <c r="Q13" s="385"/>
      <c r="R13" s="385"/>
      <c r="S13" s="250"/>
      <c r="T13" s="328"/>
      <c r="U13" s="328"/>
      <c r="V13" s="294"/>
      <c r="W13" s="294"/>
      <c r="X13" s="294"/>
    </row>
    <row r="14" spans="2:24">
      <c r="B14" s="271" t="s">
        <v>516</v>
      </c>
      <c r="C14" s="271">
        <v>1800</v>
      </c>
      <c r="D14" s="271">
        <v>220.9512</v>
      </c>
      <c r="F14" s="11"/>
      <c r="G14" s="385"/>
      <c r="H14" s="385"/>
      <c r="I14" s="385"/>
      <c r="J14" s="385"/>
      <c r="K14" s="385"/>
      <c r="L14" s="385"/>
      <c r="M14" s="385"/>
      <c r="N14" s="385"/>
      <c r="O14" s="226"/>
      <c r="P14" s="18"/>
      <c r="Q14" s="18"/>
      <c r="R14" s="226"/>
      <c r="T14" s="328"/>
      <c r="U14" s="328"/>
      <c r="V14" s="294"/>
      <c r="W14" s="294"/>
      <c r="X14" s="294"/>
    </row>
    <row r="15" spans="2:24">
      <c r="B15" s="271" t="s">
        <v>507</v>
      </c>
      <c r="C15" s="271">
        <v>800</v>
      </c>
      <c r="D15" s="271">
        <v>107.73779999999999</v>
      </c>
      <c r="F15" s="18"/>
      <c r="G15" s="385"/>
      <c r="H15" s="385"/>
      <c r="I15" s="385"/>
      <c r="J15" s="385"/>
      <c r="K15" s="385"/>
      <c r="L15" s="385"/>
      <c r="M15" s="385"/>
      <c r="N15" s="226"/>
      <c r="O15" s="226"/>
      <c r="P15" s="18"/>
      <c r="Q15" s="18"/>
      <c r="R15" s="226"/>
      <c r="T15" s="328"/>
      <c r="U15" s="328"/>
      <c r="V15" s="294"/>
      <c r="W15" s="294"/>
      <c r="X15" s="294"/>
    </row>
    <row r="16" spans="2:24">
      <c r="B16" s="271" t="s">
        <v>508</v>
      </c>
      <c r="C16" s="271">
        <v>500</v>
      </c>
      <c r="D16" s="271">
        <v>75</v>
      </c>
      <c r="F16" s="17"/>
      <c r="G16" s="18"/>
      <c r="H16" s="18"/>
      <c r="I16" s="226"/>
      <c r="J16" s="226"/>
      <c r="K16" s="226"/>
      <c r="L16" s="385"/>
      <c r="M16" s="385"/>
      <c r="N16" s="226"/>
      <c r="O16" s="226"/>
      <c r="P16" s="226"/>
      <c r="Q16" s="226"/>
      <c r="R16" s="226"/>
      <c r="T16" s="328"/>
      <c r="U16" s="328"/>
      <c r="V16" s="294"/>
      <c r="W16" s="294"/>
      <c r="X16" s="294"/>
    </row>
    <row r="17" spans="2:24">
      <c r="B17" s="271" t="s">
        <v>509</v>
      </c>
      <c r="C17" s="271">
        <v>500</v>
      </c>
      <c r="D17" s="271">
        <v>75</v>
      </c>
      <c r="F17" s="5"/>
      <c r="G17" s="18"/>
      <c r="H17" s="18"/>
      <c r="I17" s="226"/>
      <c r="J17" s="226"/>
      <c r="K17" s="226"/>
      <c r="L17" s="18"/>
      <c r="M17" s="18"/>
      <c r="N17" s="385"/>
      <c r="O17" s="226"/>
      <c r="P17" s="226"/>
      <c r="Q17" s="226"/>
      <c r="R17" s="226"/>
      <c r="T17" s="328"/>
      <c r="U17" s="328"/>
      <c r="V17" s="294"/>
      <c r="W17" s="294"/>
      <c r="X17" s="294"/>
    </row>
    <row r="18" spans="2:24">
      <c r="B18" s="271" t="s">
        <v>510</v>
      </c>
      <c r="C18" s="271">
        <v>0</v>
      </c>
      <c r="D18" s="271">
        <v>0</v>
      </c>
      <c r="G18" s="385"/>
      <c r="H18" s="385"/>
      <c r="I18" s="385"/>
      <c r="J18" s="226"/>
      <c r="K18" s="226"/>
      <c r="L18" s="18"/>
      <c r="M18" s="18"/>
      <c r="N18" s="385"/>
      <c r="O18" s="226"/>
      <c r="P18" s="226"/>
      <c r="Q18" s="226"/>
      <c r="R18" s="226"/>
      <c r="T18" s="328"/>
      <c r="U18" s="328"/>
      <c r="V18" s="294"/>
      <c r="W18" s="294"/>
      <c r="X18" s="294"/>
    </row>
    <row r="19" spans="2:24">
      <c r="B19" s="271" t="s">
        <v>511</v>
      </c>
      <c r="C19" s="271">
        <v>0</v>
      </c>
      <c r="D19" s="271">
        <v>0</v>
      </c>
      <c r="G19" s="500"/>
      <c r="H19" s="500"/>
      <c r="I19" s="500"/>
      <c r="J19" s="226"/>
      <c r="K19" s="226"/>
      <c r="L19" s="385"/>
      <c r="M19" s="385"/>
      <c r="N19" s="226"/>
      <c r="O19" s="226"/>
      <c r="P19" s="226"/>
      <c r="Q19" s="385"/>
      <c r="R19" s="246"/>
      <c r="S19" s="246"/>
      <c r="T19" s="11"/>
      <c r="V19" s="294"/>
      <c r="W19" s="294"/>
      <c r="X19" s="294"/>
    </row>
    <row r="20" spans="2:24">
      <c r="B20" s="271" t="s">
        <v>528</v>
      </c>
      <c r="C20" s="271">
        <v>0</v>
      </c>
      <c r="D20" s="271">
        <v>0</v>
      </c>
      <c r="G20" s="385"/>
      <c r="H20" s="385"/>
      <c r="I20" s="385"/>
      <c r="J20" s="226"/>
      <c r="K20" s="226"/>
      <c r="L20" s="385"/>
      <c r="M20" s="385"/>
      <c r="N20" s="226"/>
      <c r="O20" s="226"/>
      <c r="P20" s="226"/>
      <c r="Q20" s="527"/>
      <c r="R20" s="527"/>
      <c r="S20" s="249"/>
      <c r="T20" s="11"/>
      <c r="V20" s="294"/>
      <c r="W20" s="294"/>
      <c r="X20" s="294"/>
    </row>
    <row r="21" spans="2:24">
      <c r="B21" s="271" t="s">
        <v>527</v>
      </c>
      <c r="C21" s="271">
        <v>0</v>
      </c>
      <c r="D21" s="271">
        <v>0</v>
      </c>
      <c r="G21" s="384"/>
      <c r="H21" s="384"/>
      <c r="I21" s="384"/>
      <c r="J21" s="226"/>
      <c r="K21" s="226"/>
      <c r="L21" s="385"/>
      <c r="M21" s="385"/>
      <c r="N21" s="226"/>
      <c r="O21" s="226"/>
      <c r="P21" s="226"/>
      <c r="Q21" s="385"/>
      <c r="R21" s="385"/>
      <c r="S21" s="249"/>
      <c r="T21" s="11"/>
      <c r="V21" s="294"/>
      <c r="W21" s="294"/>
      <c r="X21" s="294"/>
    </row>
    <row r="22" spans="2:24">
      <c r="B22" s="271" t="s">
        <v>530</v>
      </c>
      <c r="C22" s="271">
        <v>0</v>
      </c>
      <c r="D22" s="271">
        <v>0</v>
      </c>
      <c r="G22" s="333"/>
      <c r="H22" s="333"/>
      <c r="I22" s="333"/>
      <c r="J22" s="245"/>
      <c r="K22" s="245"/>
      <c r="L22" s="294"/>
      <c r="M22" s="294"/>
      <c r="N22" s="226"/>
      <c r="Q22" s="294"/>
      <c r="R22" s="246"/>
      <c r="S22" s="246"/>
      <c r="T22" s="294"/>
      <c r="V22" s="294"/>
      <c r="W22" s="294"/>
      <c r="X22" s="294"/>
    </row>
    <row r="23" spans="2:24">
      <c r="B23" s="271" t="s">
        <v>529</v>
      </c>
      <c r="C23" s="271">
        <v>0</v>
      </c>
      <c r="D23" s="271">
        <v>0</v>
      </c>
      <c r="G23" s="333"/>
      <c r="H23" s="333"/>
      <c r="I23" s="333"/>
      <c r="J23" s="245"/>
      <c r="K23" s="245"/>
      <c r="L23" s="294"/>
      <c r="M23" s="294"/>
      <c r="N23" s="226"/>
      <c r="Q23" s="527"/>
      <c r="R23" s="527"/>
      <c r="S23" s="527"/>
      <c r="T23" s="527"/>
      <c r="V23" s="294"/>
      <c r="W23" s="294"/>
      <c r="X23" s="294"/>
    </row>
    <row r="24" spans="2:24">
      <c r="B24" s="18"/>
      <c r="C24" s="385"/>
      <c r="D24" s="385"/>
      <c r="G24" s="333"/>
      <c r="H24" s="333"/>
      <c r="I24" s="333"/>
      <c r="J24" s="245"/>
      <c r="Q24" s="294"/>
      <c r="R24" s="294"/>
      <c r="V24" s="294"/>
      <c r="W24" s="294"/>
      <c r="X24" s="294"/>
    </row>
    <row r="25" spans="2:24">
      <c r="B25" s="226"/>
      <c r="C25" s="226"/>
      <c r="D25" s="226"/>
      <c r="G25" s="333"/>
      <c r="H25" s="333"/>
      <c r="I25" s="333"/>
      <c r="J25" s="245"/>
      <c r="Q25" s="328"/>
      <c r="R25" s="328"/>
      <c r="V25" s="294"/>
      <c r="W25" s="294"/>
      <c r="X25" s="294"/>
    </row>
    <row r="26" spans="2:24">
      <c r="B26" s="380"/>
      <c r="C26" s="380"/>
      <c r="D26" s="380"/>
      <c r="E26" s="226"/>
      <c r="G26" s="333"/>
      <c r="H26" s="333"/>
      <c r="I26" s="333"/>
      <c r="J26" s="245"/>
      <c r="Q26" s="329"/>
      <c r="R26" s="329"/>
      <c r="V26" s="18"/>
      <c r="W26" s="18"/>
      <c r="X26" s="294"/>
    </row>
    <row r="27" spans="2:24">
      <c r="B27" s="410"/>
      <c r="C27" s="410"/>
      <c r="D27" s="410"/>
      <c r="G27" s="413"/>
      <c r="H27" s="413"/>
      <c r="I27" s="413"/>
      <c r="Q27" s="527"/>
      <c r="R27" s="527"/>
      <c r="V27" s="18"/>
      <c r="W27" s="18"/>
      <c r="X27" s="294"/>
    </row>
    <row r="28" spans="2:24">
      <c r="B28" s="413"/>
      <c r="C28" s="413"/>
      <c r="D28" s="413"/>
      <c r="G28" s="413"/>
      <c r="H28" s="413"/>
      <c r="I28" s="413"/>
      <c r="Q28" s="329"/>
      <c r="R28" s="329"/>
    </row>
    <row r="29" spans="2:24">
      <c r="B29" s="413"/>
      <c r="C29" s="413"/>
      <c r="D29" s="413"/>
      <c r="G29" s="413"/>
      <c r="H29" s="413"/>
      <c r="I29" s="413"/>
      <c r="Q29" s="328"/>
      <c r="R29" s="328"/>
    </row>
    <row r="30" spans="2:24">
      <c r="B30" s="413"/>
      <c r="C30" s="413"/>
      <c r="D30" s="413"/>
      <c r="G30" s="413"/>
      <c r="H30" s="413"/>
      <c r="I30" s="413"/>
      <c r="Q30" s="328"/>
      <c r="R30" s="328"/>
    </row>
    <row r="31" spans="2:24">
      <c r="B31" s="413"/>
      <c r="C31" s="413"/>
      <c r="D31" s="413"/>
      <c r="G31" s="413"/>
      <c r="H31" s="413"/>
      <c r="I31" s="413"/>
      <c r="Q31" s="328"/>
      <c r="R31" s="328"/>
    </row>
    <row r="32" spans="2:24">
      <c r="B32" s="18"/>
      <c r="C32" s="18"/>
      <c r="D32" s="413"/>
      <c r="G32" s="413"/>
      <c r="H32" s="413"/>
      <c r="I32" s="413"/>
      <c r="Q32" s="328"/>
      <c r="R32" s="328"/>
    </row>
    <row r="33" spans="2:20">
      <c r="B33" s="270" t="s">
        <v>506</v>
      </c>
      <c r="C33" s="270" t="s">
        <v>531</v>
      </c>
      <c r="D33" s="270" t="s">
        <v>532</v>
      </c>
      <c r="E33" s="270" t="s">
        <v>533</v>
      </c>
      <c r="Q33" s="328"/>
      <c r="R33" s="328"/>
    </row>
    <row r="34" spans="2:20">
      <c r="B34" s="271" t="s">
        <v>512</v>
      </c>
      <c r="C34" s="271">
        <v>22400</v>
      </c>
      <c r="D34" s="271">
        <v>3150</v>
      </c>
      <c r="E34" s="271">
        <f>SUM(C34:D34)</f>
        <v>25550</v>
      </c>
      <c r="Q34" s="328"/>
      <c r="R34" s="328"/>
    </row>
    <row r="35" spans="2:20">
      <c r="B35" s="271" t="s">
        <v>513</v>
      </c>
      <c r="C35" s="271">
        <v>22400</v>
      </c>
      <c r="D35" s="271">
        <v>500</v>
      </c>
      <c r="E35" s="271">
        <f t="shared" ref="E35:E47" si="0">SUM(C35:D35)</f>
        <v>22900</v>
      </c>
      <c r="Q35" s="328"/>
      <c r="R35" s="328"/>
    </row>
    <row r="36" spans="2:20">
      <c r="B36" s="271" t="s">
        <v>498</v>
      </c>
      <c r="C36" s="271">
        <v>22400</v>
      </c>
      <c r="D36" s="271">
        <v>600</v>
      </c>
      <c r="E36" s="271">
        <f t="shared" si="0"/>
        <v>23000</v>
      </c>
      <c r="Q36" s="328"/>
      <c r="R36" s="328"/>
    </row>
    <row r="37" spans="2:20">
      <c r="B37" s="271" t="s">
        <v>514</v>
      </c>
      <c r="C37" s="271">
        <v>22400</v>
      </c>
      <c r="D37" s="271">
        <v>1400</v>
      </c>
      <c r="E37" s="271">
        <f t="shared" si="0"/>
        <v>23800</v>
      </c>
      <c r="Q37" s="328"/>
      <c r="R37" s="328"/>
    </row>
    <row r="38" spans="2:20">
      <c r="B38" s="271" t="s">
        <v>515</v>
      </c>
      <c r="C38" s="271">
        <v>22400</v>
      </c>
      <c r="D38" s="271">
        <v>0</v>
      </c>
      <c r="E38" s="271">
        <f t="shared" si="0"/>
        <v>22400</v>
      </c>
      <c r="Q38" s="328"/>
      <c r="R38" s="328"/>
      <c r="S38" s="294"/>
      <c r="T38" s="328"/>
    </row>
    <row r="39" spans="2:20">
      <c r="B39" s="271" t="s">
        <v>516</v>
      </c>
      <c r="C39" s="271">
        <v>22400</v>
      </c>
      <c r="D39" s="271">
        <v>1800</v>
      </c>
      <c r="E39" s="271">
        <f t="shared" si="0"/>
        <v>24200</v>
      </c>
      <c r="Q39" s="328"/>
      <c r="R39" s="328"/>
      <c r="S39" s="294"/>
      <c r="T39" s="328"/>
    </row>
    <row r="40" spans="2:20">
      <c r="B40" s="271" t="s">
        <v>507</v>
      </c>
      <c r="C40" s="271">
        <v>22400</v>
      </c>
      <c r="D40" s="271">
        <v>800</v>
      </c>
      <c r="E40" s="271">
        <f t="shared" si="0"/>
        <v>23200</v>
      </c>
      <c r="Q40" s="328"/>
      <c r="R40" s="328"/>
      <c r="S40" s="294"/>
      <c r="T40" s="328"/>
    </row>
    <row r="41" spans="2:20">
      <c r="B41" s="271" t="s">
        <v>534</v>
      </c>
      <c r="C41" s="271">
        <v>22400</v>
      </c>
      <c r="D41" s="271">
        <v>500</v>
      </c>
      <c r="E41" s="271">
        <f t="shared" si="0"/>
        <v>22900</v>
      </c>
      <c r="Q41" s="385"/>
      <c r="R41" s="385"/>
      <c r="S41" s="294"/>
      <c r="T41" s="328"/>
    </row>
    <row r="42" spans="2:20">
      <c r="B42" s="271" t="s">
        <v>509</v>
      </c>
      <c r="C42" s="271">
        <v>22400</v>
      </c>
      <c r="D42" s="271">
        <v>500</v>
      </c>
      <c r="E42" s="271">
        <f t="shared" si="0"/>
        <v>22900</v>
      </c>
      <c r="Q42" s="294"/>
      <c r="R42" s="294"/>
      <c r="S42" s="294"/>
      <c r="T42" s="328"/>
    </row>
    <row r="43" spans="2:20">
      <c r="B43" s="271" t="s">
        <v>510</v>
      </c>
      <c r="C43" s="271">
        <v>22400</v>
      </c>
      <c r="D43" s="271">
        <v>0</v>
      </c>
      <c r="E43" s="271">
        <f t="shared" si="0"/>
        <v>22400</v>
      </c>
      <c r="Q43" s="18"/>
      <c r="R43" s="18"/>
      <c r="S43" s="18"/>
      <c r="T43" s="328"/>
    </row>
    <row r="44" spans="2:20">
      <c r="B44" s="271" t="s">
        <v>511</v>
      </c>
      <c r="C44" s="271">
        <v>22400</v>
      </c>
      <c r="D44" s="271">
        <v>0</v>
      </c>
      <c r="E44" s="271">
        <f t="shared" si="0"/>
        <v>22400</v>
      </c>
      <c r="Q44" s="18"/>
      <c r="R44" s="18"/>
      <c r="S44" s="18"/>
      <c r="T44" s="328"/>
    </row>
    <row r="45" spans="2:20">
      <c r="B45" s="271" t="s">
        <v>528</v>
      </c>
      <c r="C45" s="271"/>
      <c r="D45" s="271"/>
      <c r="E45" s="271">
        <f t="shared" si="0"/>
        <v>0</v>
      </c>
    </row>
    <row r="46" spans="2:20">
      <c r="B46" s="271" t="s">
        <v>530</v>
      </c>
      <c r="C46" s="271"/>
      <c r="D46" s="271"/>
      <c r="E46" s="271">
        <v>17700</v>
      </c>
    </row>
    <row r="47" spans="2:20">
      <c r="B47" s="271" t="s">
        <v>527</v>
      </c>
      <c r="C47" s="271"/>
      <c r="D47" s="271"/>
      <c r="E47" s="271">
        <f t="shared" si="0"/>
        <v>0</v>
      </c>
    </row>
    <row r="48" spans="2:20">
      <c r="B48" s="271" t="s">
        <v>529</v>
      </c>
      <c r="C48" s="271"/>
      <c r="D48" s="271"/>
      <c r="E48" s="271">
        <v>17700</v>
      </c>
    </row>
    <row r="49" spans="2:4">
      <c r="B49" s="412"/>
      <c r="C49" s="412"/>
      <c r="D49" s="412"/>
    </row>
    <row r="50" spans="2:4">
      <c r="B50" s="411"/>
      <c r="C50" s="412"/>
      <c r="D50" s="412"/>
    </row>
    <row r="51" spans="2:4">
      <c r="B51" s="270" t="s">
        <v>506</v>
      </c>
      <c r="C51" s="270" t="s">
        <v>533</v>
      </c>
      <c r="D51" s="270" t="s">
        <v>518</v>
      </c>
    </row>
    <row r="52" spans="2:4">
      <c r="B52" s="271" t="s">
        <v>512</v>
      </c>
      <c r="C52" s="271">
        <v>25550</v>
      </c>
      <c r="D52" s="271">
        <v>2319</v>
      </c>
    </row>
    <row r="53" spans="2:4">
      <c r="B53" s="271" t="s">
        <v>513</v>
      </c>
      <c r="C53" s="271">
        <v>22900</v>
      </c>
      <c r="D53" s="271">
        <v>2005</v>
      </c>
    </row>
    <row r="54" spans="2:4">
      <c r="B54" s="271" t="s">
        <v>498</v>
      </c>
      <c r="C54" s="271">
        <v>23000</v>
      </c>
      <c r="D54" s="271">
        <v>2008</v>
      </c>
    </row>
    <row r="55" spans="2:4">
      <c r="B55" s="271" t="s">
        <v>514</v>
      </c>
      <c r="C55" s="271">
        <v>23800</v>
      </c>
      <c r="D55" s="271">
        <v>2128</v>
      </c>
    </row>
    <row r="56" spans="2:4">
      <c r="B56" s="271" t="s">
        <v>515</v>
      </c>
      <c r="C56" s="271">
        <v>22400</v>
      </c>
      <c r="D56" s="271">
        <v>1930</v>
      </c>
    </row>
    <row r="57" spans="2:4">
      <c r="B57" s="271" t="s">
        <v>516</v>
      </c>
      <c r="C57" s="271">
        <v>24200</v>
      </c>
      <c r="D57" s="271">
        <v>2151</v>
      </c>
    </row>
    <row r="58" spans="2:4">
      <c r="B58" s="271" t="s">
        <v>507</v>
      </c>
      <c r="C58" s="271">
        <v>23200</v>
      </c>
      <c r="D58" s="271">
        <v>2038</v>
      </c>
    </row>
    <row r="59" spans="2:4">
      <c r="B59" s="271" t="s">
        <v>534</v>
      </c>
      <c r="C59" s="271">
        <v>22900</v>
      </c>
      <c r="D59" s="271">
        <v>2005</v>
      </c>
    </row>
    <row r="60" spans="2:4">
      <c r="B60" s="271" t="s">
        <v>509</v>
      </c>
      <c r="C60" s="271">
        <v>22900</v>
      </c>
      <c r="D60" s="271">
        <v>2005</v>
      </c>
    </row>
    <row r="61" spans="2:4">
      <c r="B61" s="271" t="s">
        <v>510</v>
      </c>
      <c r="C61" s="271">
        <v>22400</v>
      </c>
      <c r="D61" s="271">
        <v>1930</v>
      </c>
    </row>
    <row r="62" spans="2:4">
      <c r="B62" s="271" t="s">
        <v>511</v>
      </c>
      <c r="C62" s="271">
        <v>22400</v>
      </c>
      <c r="D62" s="271">
        <v>1930</v>
      </c>
    </row>
    <row r="63" spans="2:4">
      <c r="B63" s="271" t="s">
        <v>528</v>
      </c>
      <c r="C63" s="271">
        <f>SUM(A63:B63)</f>
        <v>0</v>
      </c>
      <c r="D63" s="271"/>
    </row>
    <row r="64" spans="2:4">
      <c r="B64" s="271" t="s">
        <v>530</v>
      </c>
      <c r="C64" s="271">
        <v>17700</v>
      </c>
      <c r="D64" s="271">
        <v>1422</v>
      </c>
    </row>
    <row r="65" spans="2:9">
      <c r="B65" s="271" t="s">
        <v>527</v>
      </c>
      <c r="C65" s="271">
        <f>SUM(A65:B65)</f>
        <v>0</v>
      </c>
      <c r="D65" s="271"/>
    </row>
    <row r="66" spans="2:9">
      <c r="B66" s="271" t="s">
        <v>529</v>
      </c>
      <c r="C66" s="271">
        <v>17700</v>
      </c>
      <c r="D66" s="271">
        <v>1422</v>
      </c>
    </row>
    <row r="79" spans="2:9">
      <c r="G79" s="413"/>
      <c r="H79" s="413"/>
      <c r="I79" s="413"/>
    </row>
    <row r="80" spans="2:9">
      <c r="G80" s="413"/>
      <c r="H80" s="413"/>
      <c r="I80" s="413"/>
    </row>
    <row r="81" spans="7:9">
      <c r="G81" s="413"/>
      <c r="H81" s="413"/>
      <c r="I81" s="413"/>
    </row>
    <row r="82" spans="7:9">
      <c r="G82" s="413"/>
      <c r="H82" s="413"/>
      <c r="I82" s="413"/>
    </row>
  </sheetData>
  <mergeCells count="10">
    <mergeCell ref="T5:U5"/>
    <mergeCell ref="Q27:R27"/>
    <mergeCell ref="G19:I19"/>
    <mergeCell ref="Q23:T23"/>
    <mergeCell ref="Q20:R20"/>
    <mergeCell ref="B4:D4"/>
    <mergeCell ref="F4:G4"/>
    <mergeCell ref="G7:I7"/>
    <mergeCell ref="L5:N5"/>
    <mergeCell ref="P6:R6"/>
  </mergeCells>
  <conditionalFormatting sqref="M45:M56">
    <cfRule type="cellIs" dxfId="0" priority="1" operator="greaterThan">
      <formula>0</formula>
    </cfRule>
  </conditionalFormatting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53"/>
  <sheetViews>
    <sheetView workbookViewId="0">
      <selection activeCell="R7" sqref="R7"/>
    </sheetView>
  </sheetViews>
  <sheetFormatPr defaultRowHeight="15"/>
  <cols>
    <col min="2" max="2" width="16.140625" customWidth="1"/>
    <col min="3" max="3" width="12.5703125" customWidth="1"/>
    <col min="4" max="4" width="11.42578125" customWidth="1"/>
    <col min="5" max="5" width="16.42578125" customWidth="1"/>
    <col min="7" max="7" width="13.140625" customWidth="1"/>
    <col min="8" max="8" width="15.7109375" customWidth="1"/>
    <col min="9" max="9" width="13.28515625" customWidth="1"/>
    <col min="10" max="10" width="14.85546875" customWidth="1"/>
    <col min="11" max="11" width="15.28515625" customWidth="1"/>
    <col min="12" max="12" width="13.28515625" customWidth="1"/>
    <col min="13" max="13" width="14" customWidth="1"/>
    <col min="14" max="14" width="15.7109375" customWidth="1"/>
  </cols>
  <sheetData>
    <row r="1" spans="1:15">
      <c r="A1" s="22"/>
      <c r="B1" s="22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</row>
    <row r="2" spans="1:15">
      <c r="A2" s="22"/>
      <c r="B2" s="52" t="s">
        <v>81</v>
      </c>
      <c r="C2" s="34" t="s">
        <v>82</v>
      </c>
      <c r="D2" s="34" t="s">
        <v>82</v>
      </c>
      <c r="E2" s="34" t="s">
        <v>82</v>
      </c>
      <c r="F2" s="34" t="s">
        <v>82</v>
      </c>
      <c r="G2" s="34" t="s">
        <v>82</v>
      </c>
      <c r="H2" s="34" t="s">
        <v>82</v>
      </c>
      <c r="I2" s="34" t="s">
        <v>82</v>
      </c>
      <c r="J2" s="34" t="s">
        <v>82</v>
      </c>
      <c r="K2" s="34" t="s">
        <v>82</v>
      </c>
      <c r="L2" s="34" t="s">
        <v>82</v>
      </c>
      <c r="M2" s="34" t="s">
        <v>82</v>
      </c>
      <c r="N2" s="34" t="s">
        <v>82</v>
      </c>
      <c r="O2" s="36"/>
    </row>
    <row r="3" spans="1:15">
      <c r="A3" s="22"/>
      <c r="B3" s="33" t="s">
        <v>83</v>
      </c>
      <c r="C3" s="35" t="s">
        <v>84</v>
      </c>
      <c r="D3" s="35" t="s">
        <v>85</v>
      </c>
      <c r="E3" s="35" t="s">
        <v>86</v>
      </c>
      <c r="F3" s="35" t="s">
        <v>87</v>
      </c>
      <c r="G3" s="35" t="s">
        <v>88</v>
      </c>
      <c r="H3" s="35" t="s">
        <v>89</v>
      </c>
      <c r="I3" s="35" t="s">
        <v>90</v>
      </c>
      <c r="J3" s="35" t="s">
        <v>91</v>
      </c>
      <c r="K3" s="35" t="s">
        <v>92</v>
      </c>
      <c r="L3" s="35" t="s">
        <v>93</v>
      </c>
      <c r="M3" s="35" t="s">
        <v>94</v>
      </c>
      <c r="N3" s="35" t="s">
        <v>95</v>
      </c>
      <c r="O3" s="36"/>
    </row>
    <row r="4" spans="1:15">
      <c r="A4" s="24" t="s">
        <v>96</v>
      </c>
      <c r="B4" s="23" t="s">
        <v>97</v>
      </c>
      <c r="C4" s="40">
        <v>0</v>
      </c>
      <c r="D4" s="41">
        <v>46014</v>
      </c>
      <c r="E4" s="41">
        <v>8457</v>
      </c>
      <c r="F4" s="41">
        <v>160501</v>
      </c>
      <c r="G4" s="41">
        <v>30828</v>
      </c>
      <c r="H4" s="41">
        <v>10992</v>
      </c>
      <c r="I4" s="41">
        <v>3859</v>
      </c>
      <c r="J4" s="41">
        <v>16578</v>
      </c>
      <c r="K4" s="41">
        <v>31065</v>
      </c>
      <c r="L4" s="41">
        <v>62829</v>
      </c>
      <c r="M4" s="41">
        <v>11073</v>
      </c>
      <c r="N4" s="42">
        <v>2825</v>
      </c>
      <c r="O4" s="43"/>
    </row>
    <row r="5" spans="1:15">
      <c r="A5" s="22"/>
      <c r="B5" s="56" t="s">
        <v>98</v>
      </c>
      <c r="C5" s="44"/>
      <c r="D5" s="25" t="s">
        <v>99</v>
      </c>
      <c r="E5" s="37" t="s">
        <v>100</v>
      </c>
      <c r="F5" s="37" t="s">
        <v>101</v>
      </c>
      <c r="G5" s="37" t="s">
        <v>102</v>
      </c>
      <c r="H5" s="37" t="s">
        <v>103</v>
      </c>
      <c r="I5" s="37" t="s">
        <v>104</v>
      </c>
      <c r="J5" s="37" t="s">
        <v>105</v>
      </c>
      <c r="K5" s="37" t="s">
        <v>106</v>
      </c>
      <c r="L5" s="37" t="s">
        <v>107</v>
      </c>
      <c r="M5" s="37" t="s">
        <v>108</v>
      </c>
      <c r="N5" s="38" t="s">
        <v>109</v>
      </c>
      <c r="O5" s="34"/>
    </row>
    <row r="6" spans="1:15">
      <c r="A6" s="22"/>
      <c r="B6" s="56" t="s">
        <v>110</v>
      </c>
      <c r="C6" s="44"/>
      <c r="D6" s="37" t="s">
        <v>111</v>
      </c>
      <c r="E6" s="37" t="s">
        <v>112</v>
      </c>
      <c r="F6" s="25"/>
      <c r="G6" s="25"/>
      <c r="H6" s="25"/>
      <c r="I6" s="37" t="s">
        <v>113</v>
      </c>
      <c r="J6" s="25"/>
      <c r="K6" s="37" t="s">
        <v>114</v>
      </c>
      <c r="L6" s="37" t="s">
        <v>115</v>
      </c>
      <c r="M6" s="37" t="s">
        <v>116</v>
      </c>
      <c r="N6" s="38" t="s">
        <v>117</v>
      </c>
      <c r="O6" s="43"/>
    </row>
    <row r="7" spans="1:15">
      <c r="A7" s="22"/>
      <c r="B7" s="54" t="s">
        <v>118</v>
      </c>
      <c r="C7" s="44"/>
      <c r="D7" s="37" t="s">
        <v>119</v>
      </c>
      <c r="E7" s="25"/>
      <c r="F7" s="25"/>
      <c r="G7" s="25"/>
      <c r="H7" s="25"/>
      <c r="I7" s="25"/>
      <c r="J7" s="25"/>
      <c r="K7" s="25"/>
      <c r="L7" s="25"/>
      <c r="M7" s="25"/>
      <c r="N7" s="45"/>
      <c r="O7" s="43"/>
    </row>
    <row r="8" spans="1:15">
      <c r="A8" s="22"/>
      <c r="B8" s="54" t="s">
        <v>120</v>
      </c>
      <c r="C8" s="44"/>
      <c r="D8" s="37" t="s">
        <v>121</v>
      </c>
      <c r="E8" s="39"/>
      <c r="F8" s="25"/>
      <c r="G8" s="25"/>
      <c r="H8" s="25"/>
      <c r="I8" s="25"/>
      <c r="J8" s="25"/>
      <c r="K8" s="25"/>
      <c r="L8" s="25"/>
      <c r="M8" s="25"/>
      <c r="N8" s="45"/>
      <c r="O8" s="43"/>
    </row>
    <row r="9" spans="1:15">
      <c r="A9" s="22"/>
      <c r="B9" s="53"/>
      <c r="C9" s="44"/>
      <c r="D9" s="39"/>
      <c r="E9" s="39"/>
      <c r="F9" s="25"/>
      <c r="G9" s="25"/>
      <c r="H9" s="25"/>
      <c r="I9" s="25"/>
      <c r="J9" s="25"/>
      <c r="K9" s="25"/>
      <c r="L9" s="25"/>
      <c r="M9" s="25"/>
      <c r="N9" s="45"/>
      <c r="O9" s="43"/>
    </row>
    <row r="10" spans="1:15">
      <c r="A10" s="24" t="s">
        <v>96</v>
      </c>
      <c r="B10" s="23" t="s">
        <v>122</v>
      </c>
      <c r="C10" s="46">
        <v>66416</v>
      </c>
      <c r="D10" s="47">
        <v>0</v>
      </c>
      <c r="E10" s="47">
        <v>289284</v>
      </c>
      <c r="F10" s="47">
        <v>153338</v>
      </c>
      <c r="G10" s="47">
        <v>129031</v>
      </c>
      <c r="H10" s="47">
        <v>288209</v>
      </c>
      <c r="I10" s="47">
        <v>202853</v>
      </c>
      <c r="J10" s="47">
        <v>94177</v>
      </c>
      <c r="K10" s="47">
        <v>57798</v>
      </c>
      <c r="L10" s="47">
        <v>33491</v>
      </c>
      <c r="M10" s="47">
        <v>61408</v>
      </c>
      <c r="N10" s="48">
        <v>9404</v>
      </c>
      <c r="O10" s="43"/>
    </row>
    <row r="11" spans="1:15">
      <c r="A11" s="22"/>
      <c r="B11" s="56" t="s">
        <v>98</v>
      </c>
      <c r="C11" s="29" t="s">
        <v>123</v>
      </c>
      <c r="D11" s="28"/>
      <c r="E11" s="26" t="s">
        <v>124</v>
      </c>
      <c r="F11" s="26" t="s">
        <v>125</v>
      </c>
      <c r="G11" s="26" t="s">
        <v>126</v>
      </c>
      <c r="H11" s="26" t="s">
        <v>127</v>
      </c>
      <c r="I11" s="26" t="s">
        <v>128</v>
      </c>
      <c r="J11" s="26" t="s">
        <v>129</v>
      </c>
      <c r="K11" s="26" t="s">
        <v>130</v>
      </c>
      <c r="L11" s="26" t="s">
        <v>131</v>
      </c>
      <c r="M11" s="26" t="s">
        <v>132</v>
      </c>
      <c r="N11" s="27" t="s">
        <v>133</v>
      </c>
      <c r="O11" s="34"/>
    </row>
    <row r="12" spans="1:15">
      <c r="A12" s="22"/>
      <c r="B12" s="56" t="s">
        <v>110</v>
      </c>
      <c r="C12" s="29" t="s">
        <v>134</v>
      </c>
      <c r="D12" s="28"/>
      <c r="E12" s="28"/>
      <c r="F12" s="28"/>
      <c r="G12" s="28"/>
      <c r="H12" s="28"/>
      <c r="I12" s="28"/>
      <c r="J12" s="28"/>
      <c r="K12" s="28"/>
      <c r="L12" s="26" t="s">
        <v>135</v>
      </c>
      <c r="M12" s="26" t="s">
        <v>136</v>
      </c>
      <c r="N12" s="27" t="s">
        <v>137</v>
      </c>
      <c r="O12" s="43"/>
    </row>
    <row r="13" spans="1:15">
      <c r="A13" s="22"/>
      <c r="B13" s="54" t="s">
        <v>118</v>
      </c>
      <c r="C13" s="29" t="s">
        <v>138</v>
      </c>
      <c r="D13" s="28"/>
      <c r="E13" s="28"/>
      <c r="F13" s="28"/>
      <c r="G13" s="28"/>
      <c r="H13" s="28"/>
      <c r="I13" s="28"/>
      <c r="J13" s="28"/>
      <c r="K13" s="28"/>
      <c r="L13" s="28"/>
      <c r="M13" s="26" t="s">
        <v>139</v>
      </c>
      <c r="N13" s="30"/>
      <c r="O13" s="43"/>
    </row>
    <row r="14" spans="1:15">
      <c r="A14" s="22"/>
      <c r="B14" s="54" t="s">
        <v>120</v>
      </c>
      <c r="C14" s="29" t="s">
        <v>140</v>
      </c>
      <c r="D14" s="28"/>
      <c r="E14" s="28"/>
      <c r="F14" s="28"/>
      <c r="G14" s="28"/>
      <c r="H14" s="28"/>
      <c r="I14" s="28"/>
      <c r="J14" s="28"/>
      <c r="K14" s="28"/>
      <c r="L14" s="28"/>
      <c r="M14" s="28"/>
      <c r="N14" s="30"/>
      <c r="O14" s="43"/>
    </row>
    <row r="15" spans="1:15">
      <c r="A15" s="22"/>
      <c r="B15" s="22"/>
      <c r="C15" s="31"/>
      <c r="D15" s="28"/>
      <c r="E15" s="28"/>
      <c r="F15" s="28"/>
      <c r="G15" s="28"/>
      <c r="H15" s="28"/>
      <c r="I15" s="28"/>
      <c r="J15" s="28"/>
      <c r="K15" s="28"/>
      <c r="L15" s="28"/>
      <c r="M15" s="28"/>
      <c r="N15" s="30"/>
      <c r="O15" s="43"/>
    </row>
    <row r="16" spans="1:15">
      <c r="A16" s="24" t="s">
        <v>96</v>
      </c>
      <c r="B16" s="23" t="s">
        <v>141</v>
      </c>
      <c r="C16" s="46">
        <v>1300</v>
      </c>
      <c r="D16" s="47">
        <v>20517</v>
      </c>
      <c r="E16" s="47">
        <v>0</v>
      </c>
      <c r="F16" s="47">
        <v>30950</v>
      </c>
      <c r="G16" s="47">
        <v>2570</v>
      </c>
      <c r="H16" s="47">
        <v>1392</v>
      </c>
      <c r="I16" s="47">
        <v>2056</v>
      </c>
      <c r="J16" s="47">
        <v>1381</v>
      </c>
      <c r="K16" s="47">
        <v>4927</v>
      </c>
      <c r="L16" s="47">
        <v>1987</v>
      </c>
      <c r="M16" s="47">
        <v>3137</v>
      </c>
      <c r="N16" s="48">
        <v>959</v>
      </c>
      <c r="O16" s="43"/>
    </row>
    <row r="17" spans="1:15">
      <c r="A17" s="22"/>
      <c r="B17" s="56" t="s">
        <v>98</v>
      </c>
      <c r="C17" s="32" t="s">
        <v>142</v>
      </c>
      <c r="D17" s="28" t="s">
        <v>143</v>
      </c>
      <c r="E17" s="28"/>
      <c r="F17" s="28" t="s">
        <v>144</v>
      </c>
      <c r="G17" s="28" t="s">
        <v>145</v>
      </c>
      <c r="H17" s="28" t="s">
        <v>146</v>
      </c>
      <c r="I17" s="28" t="s">
        <v>147</v>
      </c>
      <c r="J17" s="28" t="s">
        <v>148</v>
      </c>
      <c r="K17" s="28" t="s">
        <v>149</v>
      </c>
      <c r="L17" s="28" t="s">
        <v>150</v>
      </c>
      <c r="M17" s="28" t="s">
        <v>151</v>
      </c>
      <c r="N17" s="30" t="s">
        <v>152</v>
      </c>
      <c r="O17" s="43"/>
    </row>
    <row r="18" spans="1:15">
      <c r="A18" s="22"/>
      <c r="B18" s="56" t="s">
        <v>110</v>
      </c>
      <c r="C18" s="32" t="s">
        <v>153</v>
      </c>
      <c r="D18" s="28"/>
      <c r="E18" s="28"/>
      <c r="F18" s="28"/>
      <c r="G18" s="28"/>
      <c r="H18" s="28" t="s">
        <v>154</v>
      </c>
      <c r="I18" s="28" t="s">
        <v>155</v>
      </c>
      <c r="J18" s="28" t="s">
        <v>156</v>
      </c>
      <c r="K18" s="28" t="s">
        <v>157</v>
      </c>
      <c r="L18" s="28"/>
      <c r="M18" s="28"/>
      <c r="N18" s="30"/>
      <c r="O18" s="43"/>
    </row>
    <row r="19" spans="1:15">
      <c r="A19" s="22"/>
      <c r="B19" s="54" t="s">
        <v>118</v>
      </c>
      <c r="C19" s="32"/>
      <c r="D19" s="28"/>
      <c r="E19" s="28"/>
      <c r="F19" s="28"/>
      <c r="G19" s="28"/>
      <c r="H19" s="28" t="s">
        <v>158</v>
      </c>
      <c r="I19" s="28" t="s">
        <v>159</v>
      </c>
      <c r="J19" s="28" t="s">
        <v>160</v>
      </c>
      <c r="K19" s="28"/>
      <c r="L19" s="28"/>
      <c r="M19" s="28"/>
      <c r="N19" s="30"/>
      <c r="O19" s="43"/>
    </row>
    <row r="20" spans="1:15">
      <c r="A20" s="22"/>
      <c r="B20" s="55"/>
      <c r="C20" s="32"/>
      <c r="D20" s="28"/>
      <c r="E20" s="28"/>
      <c r="F20" s="28"/>
      <c r="G20" s="28"/>
      <c r="H20" s="28"/>
      <c r="I20" s="28"/>
      <c r="J20" s="28"/>
      <c r="K20" s="28"/>
      <c r="L20" s="28"/>
      <c r="M20" s="28"/>
      <c r="N20" s="30"/>
      <c r="O20" s="43"/>
    </row>
    <row r="21" spans="1:15">
      <c r="A21" s="24" t="s">
        <v>96</v>
      </c>
      <c r="B21" s="23" t="s">
        <v>161</v>
      </c>
      <c r="C21" s="46">
        <v>326552</v>
      </c>
      <c r="D21" s="47">
        <v>187586</v>
      </c>
      <c r="E21" s="47">
        <v>248705</v>
      </c>
      <c r="F21" s="47">
        <v>0</v>
      </c>
      <c r="G21" s="47">
        <v>585106</v>
      </c>
      <c r="H21" s="47">
        <v>251547</v>
      </c>
      <c r="I21" s="47">
        <v>197741</v>
      </c>
      <c r="J21" s="47">
        <v>437475</v>
      </c>
      <c r="K21" s="47">
        <v>815546</v>
      </c>
      <c r="L21" s="47">
        <v>573542</v>
      </c>
      <c r="M21" s="47">
        <v>726204</v>
      </c>
      <c r="N21" s="48">
        <v>162990</v>
      </c>
      <c r="O21" s="43"/>
    </row>
    <row r="22" spans="1:15">
      <c r="A22" s="22"/>
      <c r="B22" s="57" t="s">
        <v>98</v>
      </c>
      <c r="C22" s="32" t="s">
        <v>162</v>
      </c>
      <c r="D22" s="28" t="s">
        <v>163</v>
      </c>
      <c r="E22" s="28" t="s">
        <v>164</v>
      </c>
      <c r="F22" s="28"/>
      <c r="G22" s="28" t="s">
        <v>165</v>
      </c>
      <c r="H22" s="28" t="s">
        <v>166</v>
      </c>
      <c r="I22" s="28" t="s">
        <v>167</v>
      </c>
      <c r="J22" s="28" t="s">
        <v>168</v>
      </c>
      <c r="K22" s="28" t="s">
        <v>169</v>
      </c>
      <c r="L22" s="28" t="s">
        <v>170</v>
      </c>
      <c r="M22" s="28" t="s">
        <v>171</v>
      </c>
      <c r="N22" s="30" t="s">
        <v>172</v>
      </c>
      <c r="O22" s="43"/>
    </row>
    <row r="23" spans="1:15">
      <c r="A23" s="22"/>
      <c r="B23" s="23"/>
      <c r="C23" s="32"/>
      <c r="D23" s="28"/>
      <c r="E23" s="28"/>
      <c r="F23" s="28"/>
      <c r="G23" s="28"/>
      <c r="H23" s="28"/>
      <c r="I23" s="28"/>
      <c r="J23" s="28"/>
      <c r="K23" s="28"/>
      <c r="L23" s="28"/>
      <c r="M23" s="28"/>
      <c r="N23" s="30"/>
      <c r="O23" s="43"/>
    </row>
    <row r="24" spans="1:15">
      <c r="A24" s="24" t="s">
        <v>96</v>
      </c>
      <c r="B24" s="23" t="s">
        <v>173</v>
      </c>
      <c r="C24" s="46">
        <v>65451</v>
      </c>
      <c r="D24" s="47">
        <v>17912</v>
      </c>
      <c r="E24" s="47">
        <v>7330</v>
      </c>
      <c r="F24" s="47">
        <v>37049</v>
      </c>
      <c r="G24" s="47">
        <v>0</v>
      </c>
      <c r="H24" s="47">
        <v>20275</v>
      </c>
      <c r="I24" s="47">
        <v>7220</v>
      </c>
      <c r="J24" s="47">
        <v>4477</v>
      </c>
      <c r="K24" s="47">
        <v>11310</v>
      </c>
      <c r="L24" s="47">
        <v>4413</v>
      </c>
      <c r="M24" s="47">
        <v>7492</v>
      </c>
      <c r="N24" s="48">
        <v>1652</v>
      </c>
      <c r="O24" s="43"/>
    </row>
    <row r="25" spans="1:15">
      <c r="A25" s="22"/>
      <c r="B25" s="56" t="s">
        <v>98</v>
      </c>
      <c r="C25" s="32" t="s">
        <v>174</v>
      </c>
      <c r="D25" s="28" t="s">
        <v>175</v>
      </c>
      <c r="E25" s="28" t="s">
        <v>176</v>
      </c>
      <c r="F25" s="28" t="s">
        <v>177</v>
      </c>
      <c r="G25" s="28"/>
      <c r="H25" s="28" t="s">
        <v>178</v>
      </c>
      <c r="I25" s="28" t="s">
        <v>179</v>
      </c>
      <c r="J25" s="28" t="s">
        <v>180</v>
      </c>
      <c r="K25" s="28" t="s">
        <v>181</v>
      </c>
      <c r="L25" s="28" t="s">
        <v>182</v>
      </c>
      <c r="M25" s="28" t="s">
        <v>183</v>
      </c>
      <c r="N25" s="30" t="s">
        <v>184</v>
      </c>
      <c r="O25" s="43"/>
    </row>
    <row r="26" spans="1:15">
      <c r="A26" s="22"/>
      <c r="B26" s="56" t="s">
        <v>110</v>
      </c>
      <c r="C26" s="32"/>
      <c r="D26" s="28"/>
      <c r="E26" s="28"/>
      <c r="F26" s="28"/>
      <c r="G26" s="28"/>
      <c r="H26" s="28"/>
      <c r="I26" s="28"/>
      <c r="J26" s="28"/>
      <c r="K26" s="28" t="s">
        <v>185</v>
      </c>
      <c r="L26" s="28" t="s">
        <v>186</v>
      </c>
      <c r="M26" s="28" t="s">
        <v>187</v>
      </c>
      <c r="N26" s="30" t="s">
        <v>188</v>
      </c>
      <c r="O26" s="43"/>
    </row>
    <row r="27" spans="1:15">
      <c r="A27" s="22"/>
      <c r="B27" s="54" t="s">
        <v>118</v>
      </c>
      <c r="C27" s="32"/>
      <c r="D27" s="28"/>
      <c r="E27" s="28"/>
      <c r="F27" s="28"/>
      <c r="G27" s="28"/>
      <c r="H27" s="28"/>
      <c r="I27" s="28"/>
      <c r="J27" s="28"/>
      <c r="K27" s="28" t="s">
        <v>189</v>
      </c>
      <c r="L27" s="28"/>
      <c r="M27" s="28"/>
      <c r="N27" s="30"/>
      <c r="O27" s="43"/>
    </row>
    <row r="28" spans="1:15">
      <c r="A28" s="22"/>
      <c r="B28" s="23"/>
      <c r="C28" s="32"/>
      <c r="D28" s="28"/>
      <c r="E28" s="28"/>
      <c r="F28" s="28"/>
      <c r="G28" s="28"/>
      <c r="H28" s="28"/>
      <c r="I28" s="28"/>
      <c r="J28" s="28"/>
      <c r="K28" s="28"/>
      <c r="L28" s="28"/>
      <c r="M28" s="28"/>
      <c r="N28" s="30"/>
      <c r="O28" s="43"/>
    </row>
    <row r="29" spans="1:15">
      <c r="A29" s="24" t="s">
        <v>96</v>
      </c>
      <c r="B29" s="23" t="s">
        <v>190</v>
      </c>
      <c r="C29" s="46">
        <v>40659</v>
      </c>
      <c r="D29" s="47">
        <v>64446</v>
      </c>
      <c r="E29" s="47">
        <v>12488</v>
      </c>
      <c r="F29" s="47">
        <v>107971</v>
      </c>
      <c r="G29" s="47">
        <v>51646</v>
      </c>
      <c r="H29" s="47">
        <v>0</v>
      </c>
      <c r="I29" s="47">
        <v>9051</v>
      </c>
      <c r="J29" s="47">
        <v>29511</v>
      </c>
      <c r="K29" s="47">
        <v>31521</v>
      </c>
      <c r="L29" s="47">
        <v>19068</v>
      </c>
      <c r="M29" s="47">
        <v>22522</v>
      </c>
      <c r="N29" s="48">
        <v>3887</v>
      </c>
      <c r="O29" s="43"/>
    </row>
    <row r="30" spans="1:15">
      <c r="A30" s="22"/>
      <c r="B30" s="56" t="s">
        <v>98</v>
      </c>
      <c r="C30" s="32" t="s">
        <v>191</v>
      </c>
      <c r="D30" s="28" t="s">
        <v>192</v>
      </c>
      <c r="E30" s="28" t="s">
        <v>193</v>
      </c>
      <c r="F30" s="28" t="s">
        <v>194</v>
      </c>
      <c r="G30" s="28" t="s">
        <v>195</v>
      </c>
      <c r="H30" s="28"/>
      <c r="I30" s="28" t="s">
        <v>196</v>
      </c>
      <c r="J30" s="28" t="s">
        <v>197</v>
      </c>
      <c r="K30" s="28" t="s">
        <v>198</v>
      </c>
      <c r="L30" s="28" t="s">
        <v>199</v>
      </c>
      <c r="M30" s="28" t="s">
        <v>200</v>
      </c>
      <c r="N30" s="30" t="s">
        <v>201</v>
      </c>
      <c r="O30" s="43"/>
    </row>
    <row r="31" spans="1:15">
      <c r="A31" s="22"/>
      <c r="B31" s="56" t="s">
        <v>110</v>
      </c>
      <c r="C31" s="32"/>
      <c r="D31" s="28"/>
      <c r="E31" s="28" t="s">
        <v>202</v>
      </c>
      <c r="F31" s="28"/>
      <c r="G31" s="28"/>
      <c r="H31" s="28"/>
      <c r="I31" s="28" t="s">
        <v>203</v>
      </c>
      <c r="J31" s="28"/>
      <c r="K31" s="28" t="s">
        <v>204</v>
      </c>
      <c r="L31" s="28" t="s">
        <v>205</v>
      </c>
      <c r="M31" s="28" t="s">
        <v>206</v>
      </c>
      <c r="N31" s="30" t="s">
        <v>207</v>
      </c>
      <c r="O31" s="43"/>
    </row>
    <row r="32" spans="1:15">
      <c r="A32" s="22"/>
      <c r="B32" s="54" t="s">
        <v>118</v>
      </c>
      <c r="C32" s="32"/>
      <c r="D32" s="28"/>
      <c r="E32" s="28" t="s">
        <v>208</v>
      </c>
      <c r="F32" s="28"/>
      <c r="G32" s="28"/>
      <c r="H32" s="28"/>
      <c r="I32" s="28" t="s">
        <v>209</v>
      </c>
      <c r="J32" s="28"/>
      <c r="K32" s="28" t="s">
        <v>210</v>
      </c>
      <c r="L32" s="28"/>
      <c r="M32" s="28"/>
      <c r="N32" s="30"/>
      <c r="O32" s="43"/>
    </row>
    <row r="33" spans="1:15">
      <c r="A33" s="22"/>
      <c r="B33" s="23"/>
      <c r="C33" s="32"/>
      <c r="D33" s="28"/>
      <c r="E33" s="28"/>
      <c r="F33" s="28"/>
      <c r="G33" s="28"/>
      <c r="H33" s="28"/>
      <c r="I33" s="28"/>
      <c r="J33" s="28"/>
      <c r="K33" s="28"/>
      <c r="L33" s="28"/>
      <c r="M33" s="28"/>
      <c r="N33" s="30"/>
      <c r="O33" s="43"/>
    </row>
    <row r="34" spans="1:15">
      <c r="A34" s="24" t="s">
        <v>96</v>
      </c>
      <c r="B34" s="23" t="s">
        <v>211</v>
      </c>
      <c r="C34" s="46">
        <v>1519</v>
      </c>
      <c r="D34" s="47">
        <v>16110</v>
      </c>
      <c r="E34" s="47">
        <v>2888</v>
      </c>
      <c r="F34" s="47">
        <v>29009</v>
      </c>
      <c r="G34" s="47">
        <v>3951</v>
      </c>
      <c r="H34" s="47">
        <v>2316</v>
      </c>
      <c r="I34" s="47">
        <v>0</v>
      </c>
      <c r="J34" s="47">
        <v>2270</v>
      </c>
      <c r="K34" s="47">
        <v>5667</v>
      </c>
      <c r="L34" s="47">
        <v>2235</v>
      </c>
      <c r="M34" s="47">
        <v>4199</v>
      </c>
      <c r="N34" s="48">
        <v>1109</v>
      </c>
      <c r="O34" s="43"/>
    </row>
    <row r="35" spans="1:15">
      <c r="A35" s="22"/>
      <c r="B35" s="56" t="s">
        <v>98</v>
      </c>
      <c r="C35" s="32" t="s">
        <v>212</v>
      </c>
      <c r="D35" s="28" t="s">
        <v>213</v>
      </c>
      <c r="E35" s="28" t="s">
        <v>214</v>
      </c>
      <c r="F35" s="28" t="s">
        <v>215</v>
      </c>
      <c r="G35" s="25" t="s">
        <v>216</v>
      </c>
      <c r="H35" s="28" t="s">
        <v>217</v>
      </c>
      <c r="I35" s="28"/>
      <c r="J35" s="28" t="s">
        <v>218</v>
      </c>
      <c r="K35" s="28" t="s">
        <v>219</v>
      </c>
      <c r="L35" s="28" t="s">
        <v>220</v>
      </c>
      <c r="M35" s="28" t="s">
        <v>221</v>
      </c>
      <c r="N35" s="30" t="s">
        <v>222</v>
      </c>
      <c r="O35" s="43"/>
    </row>
    <row r="36" spans="1:15">
      <c r="A36" s="22"/>
      <c r="B36" s="56" t="s">
        <v>110</v>
      </c>
      <c r="C36" s="32" t="s">
        <v>223</v>
      </c>
      <c r="D36" s="28"/>
      <c r="E36" s="28" t="s">
        <v>224</v>
      </c>
      <c r="F36" s="28"/>
      <c r="G36" s="28"/>
      <c r="H36" s="28" t="s">
        <v>225</v>
      </c>
      <c r="I36" s="28"/>
      <c r="J36" s="28" t="s">
        <v>226</v>
      </c>
      <c r="K36" s="28" t="s">
        <v>227</v>
      </c>
      <c r="L36" s="28"/>
      <c r="M36" s="28"/>
      <c r="N36" s="30"/>
      <c r="O36" s="43"/>
    </row>
    <row r="37" spans="1:15">
      <c r="A37" s="22"/>
      <c r="B37" s="54" t="s">
        <v>118</v>
      </c>
      <c r="C37" s="32"/>
      <c r="D37" s="28"/>
      <c r="E37" s="28" t="s">
        <v>228</v>
      </c>
      <c r="F37" s="28"/>
      <c r="G37" s="28"/>
      <c r="H37" s="28" t="s">
        <v>229</v>
      </c>
      <c r="I37" s="28"/>
      <c r="J37" s="28" t="s">
        <v>230</v>
      </c>
      <c r="K37" s="28"/>
      <c r="L37" s="28"/>
      <c r="M37" s="28"/>
      <c r="N37" s="30"/>
      <c r="O37" s="43"/>
    </row>
    <row r="38" spans="1:15">
      <c r="A38" s="22"/>
      <c r="B38" s="23"/>
      <c r="C38" s="32"/>
      <c r="D38" s="28"/>
      <c r="E38" s="28"/>
      <c r="F38" s="28"/>
      <c r="G38" s="28"/>
      <c r="H38" s="28"/>
      <c r="I38" s="28"/>
      <c r="J38" s="28"/>
      <c r="K38" s="28"/>
      <c r="L38" s="28"/>
      <c r="M38" s="28"/>
      <c r="N38" s="30"/>
      <c r="O38" s="43"/>
    </row>
    <row r="39" spans="1:15">
      <c r="A39" s="24" t="s">
        <v>96</v>
      </c>
      <c r="B39" s="23" t="s">
        <v>231</v>
      </c>
      <c r="C39" s="46">
        <v>50190</v>
      </c>
      <c r="D39" s="47">
        <v>11570</v>
      </c>
      <c r="E39" s="47">
        <v>7769</v>
      </c>
      <c r="F39" s="47">
        <v>47897</v>
      </c>
      <c r="G39" s="47">
        <v>14302</v>
      </c>
      <c r="H39" s="47">
        <v>15278</v>
      </c>
      <c r="I39" s="47">
        <v>6891</v>
      </c>
      <c r="J39" s="47">
        <v>0</v>
      </c>
      <c r="K39" s="47">
        <v>30372</v>
      </c>
      <c r="L39" s="47">
        <v>16226</v>
      </c>
      <c r="M39" s="47">
        <v>13667</v>
      </c>
      <c r="N39" s="48">
        <v>3142</v>
      </c>
      <c r="O39" s="43"/>
    </row>
    <row r="40" spans="1:15">
      <c r="A40" s="22"/>
      <c r="B40" s="56" t="s">
        <v>98</v>
      </c>
      <c r="C40" s="32" t="s">
        <v>232</v>
      </c>
      <c r="D40" s="28" t="s">
        <v>233</v>
      </c>
      <c r="E40" s="28" t="s">
        <v>234</v>
      </c>
      <c r="F40" s="28" t="s">
        <v>235</v>
      </c>
      <c r="G40" s="28" t="s">
        <v>236</v>
      </c>
      <c r="H40" s="28" t="s">
        <v>237</v>
      </c>
      <c r="I40" s="28" t="s">
        <v>238</v>
      </c>
      <c r="J40" s="28"/>
      <c r="K40" s="28" t="s">
        <v>239</v>
      </c>
      <c r="L40" s="28" t="s">
        <v>240</v>
      </c>
      <c r="M40" s="28" t="s">
        <v>241</v>
      </c>
      <c r="N40" s="30" t="s">
        <v>242</v>
      </c>
      <c r="O40" s="43"/>
    </row>
    <row r="41" spans="1:15">
      <c r="A41" s="22"/>
      <c r="B41" s="56" t="s">
        <v>110</v>
      </c>
      <c r="C41" s="32"/>
      <c r="D41" s="28"/>
      <c r="E41" s="28" t="s">
        <v>243</v>
      </c>
      <c r="F41" s="28"/>
      <c r="G41" s="28"/>
      <c r="H41" s="28"/>
      <c r="I41" s="28" t="s">
        <v>244</v>
      </c>
      <c r="J41" s="28"/>
      <c r="K41" s="28"/>
      <c r="L41" s="28"/>
      <c r="M41" s="28"/>
      <c r="N41" s="30"/>
      <c r="O41" s="43"/>
    </row>
    <row r="42" spans="1:15">
      <c r="A42" s="22"/>
      <c r="B42" s="54" t="s">
        <v>118</v>
      </c>
      <c r="C42" s="32"/>
      <c r="D42" s="28"/>
      <c r="E42" s="28" t="s">
        <v>245</v>
      </c>
      <c r="F42" s="28"/>
      <c r="G42" s="28"/>
      <c r="H42" s="28"/>
      <c r="I42" s="28" t="s">
        <v>246</v>
      </c>
      <c r="J42" s="28"/>
      <c r="K42" s="28"/>
      <c r="L42" s="28"/>
      <c r="M42" s="28"/>
      <c r="N42" s="30"/>
      <c r="O42" s="43"/>
    </row>
    <row r="43" spans="1:15">
      <c r="A43" s="22"/>
      <c r="B43" s="23"/>
      <c r="C43" s="32"/>
      <c r="D43" s="28"/>
      <c r="E43" s="28"/>
      <c r="F43" s="28"/>
      <c r="G43" s="28"/>
      <c r="H43" s="28"/>
      <c r="I43" s="28"/>
      <c r="J43" s="28"/>
      <c r="K43" s="28"/>
      <c r="L43" s="28"/>
      <c r="M43" s="28"/>
      <c r="N43" s="30"/>
      <c r="O43" s="43"/>
    </row>
    <row r="44" spans="1:15">
      <c r="A44" s="24" t="s">
        <v>96</v>
      </c>
      <c r="B44" s="23" t="s">
        <v>247</v>
      </c>
      <c r="C44" s="46">
        <v>23902</v>
      </c>
      <c r="D44" s="47">
        <v>49682</v>
      </c>
      <c r="E44" s="47">
        <v>16896</v>
      </c>
      <c r="F44" s="47">
        <v>193599</v>
      </c>
      <c r="G44" s="47">
        <v>63875</v>
      </c>
      <c r="H44" s="47">
        <v>49388</v>
      </c>
      <c r="I44" s="47">
        <v>37546</v>
      </c>
      <c r="J44" s="47">
        <v>35882</v>
      </c>
      <c r="K44" s="47">
        <v>0</v>
      </c>
      <c r="L44" s="47">
        <v>33687</v>
      </c>
      <c r="M44" s="47">
        <v>64169</v>
      </c>
      <c r="N44" s="48">
        <v>19668</v>
      </c>
      <c r="O44" s="43"/>
    </row>
    <row r="45" spans="1:15">
      <c r="A45" s="22"/>
      <c r="B45" s="56" t="s">
        <v>98</v>
      </c>
      <c r="C45" s="32" t="s">
        <v>248</v>
      </c>
      <c r="D45" s="28" t="s">
        <v>249</v>
      </c>
      <c r="E45" s="28" t="s">
        <v>250</v>
      </c>
      <c r="F45" s="28" t="s">
        <v>251</v>
      </c>
      <c r="G45" s="28" t="s">
        <v>252</v>
      </c>
      <c r="H45" s="28" t="s">
        <v>253</v>
      </c>
      <c r="I45" s="28" t="s">
        <v>254</v>
      </c>
      <c r="J45" s="28" t="s">
        <v>255</v>
      </c>
      <c r="K45" s="28"/>
      <c r="L45" s="28" t="s">
        <v>256</v>
      </c>
      <c r="M45" s="28" t="s">
        <v>257</v>
      </c>
      <c r="N45" s="30" t="s">
        <v>258</v>
      </c>
      <c r="O45" s="43"/>
    </row>
    <row r="46" spans="1:15">
      <c r="A46" s="22"/>
      <c r="B46" s="56" t="s">
        <v>110</v>
      </c>
      <c r="C46" s="32" t="s">
        <v>259</v>
      </c>
      <c r="D46" s="28"/>
      <c r="E46" s="28" t="s">
        <v>260</v>
      </c>
      <c r="F46" s="28"/>
      <c r="G46" s="28" t="s">
        <v>261</v>
      </c>
      <c r="H46" s="28" t="s">
        <v>262</v>
      </c>
      <c r="I46" s="28" t="s">
        <v>263</v>
      </c>
      <c r="J46" s="28"/>
      <c r="K46" s="28"/>
      <c r="L46" s="28" t="s">
        <v>264</v>
      </c>
      <c r="M46" s="28"/>
      <c r="N46" s="30" t="s">
        <v>265</v>
      </c>
      <c r="O46" s="43"/>
    </row>
    <row r="47" spans="1:15">
      <c r="A47" s="22"/>
      <c r="B47" s="54" t="s">
        <v>118</v>
      </c>
      <c r="C47" s="32"/>
      <c r="D47" s="28"/>
      <c r="E47" s="28"/>
      <c r="F47" s="28"/>
      <c r="G47" s="28" t="s">
        <v>266</v>
      </c>
      <c r="H47" s="28" t="s">
        <v>267</v>
      </c>
      <c r="I47" s="28"/>
      <c r="J47" s="28"/>
      <c r="K47" s="28"/>
      <c r="L47" s="28" t="s">
        <v>268</v>
      </c>
      <c r="M47" s="28"/>
      <c r="N47" s="30"/>
      <c r="O47" s="43"/>
    </row>
    <row r="48" spans="1:15">
      <c r="A48" s="22"/>
      <c r="B48" s="23"/>
      <c r="C48" s="32"/>
      <c r="D48" s="28"/>
      <c r="E48" s="28"/>
      <c r="F48" s="28"/>
      <c r="G48" s="28"/>
      <c r="H48" s="28"/>
      <c r="I48" s="28"/>
      <c r="J48" s="28"/>
      <c r="K48" s="28"/>
      <c r="L48" s="28"/>
      <c r="M48" s="28"/>
      <c r="N48" s="30"/>
      <c r="O48" s="43"/>
    </row>
    <row r="49" spans="1:15">
      <c r="A49" s="24" t="s">
        <v>96</v>
      </c>
      <c r="B49" s="23" t="s">
        <v>269</v>
      </c>
      <c r="C49" s="46">
        <v>2241</v>
      </c>
      <c r="D49" s="47">
        <v>2068</v>
      </c>
      <c r="E49" s="47">
        <v>3518</v>
      </c>
      <c r="F49" s="47">
        <v>108572</v>
      </c>
      <c r="G49" s="47">
        <v>6689</v>
      </c>
      <c r="H49" s="47">
        <v>4159</v>
      </c>
      <c r="I49" s="47">
        <v>3148</v>
      </c>
      <c r="J49" s="47">
        <v>12367</v>
      </c>
      <c r="K49" s="47">
        <v>15556</v>
      </c>
      <c r="L49" s="47">
        <v>0</v>
      </c>
      <c r="M49" s="47">
        <v>6077</v>
      </c>
      <c r="N49" s="48">
        <v>2524</v>
      </c>
      <c r="O49" s="43"/>
    </row>
    <row r="50" spans="1:15">
      <c r="A50" s="22"/>
      <c r="B50" s="56" t="s">
        <v>98</v>
      </c>
      <c r="C50" s="32" t="s">
        <v>270</v>
      </c>
      <c r="D50" s="28" t="s">
        <v>271</v>
      </c>
      <c r="E50" s="28" t="s">
        <v>272</v>
      </c>
      <c r="F50" s="28" t="s">
        <v>273</v>
      </c>
      <c r="G50" s="28" t="s">
        <v>274</v>
      </c>
      <c r="H50" s="28" t="s">
        <v>275</v>
      </c>
      <c r="I50" s="28" t="s">
        <v>276</v>
      </c>
      <c r="J50" s="28" t="s">
        <v>277</v>
      </c>
      <c r="K50" s="28" t="s">
        <v>278</v>
      </c>
      <c r="L50" s="28"/>
      <c r="M50" s="28" t="s">
        <v>279</v>
      </c>
      <c r="N50" s="30" t="s">
        <v>280</v>
      </c>
      <c r="O50" s="43"/>
    </row>
    <row r="51" spans="1:15">
      <c r="A51" s="22"/>
      <c r="B51" s="56" t="s">
        <v>110</v>
      </c>
      <c r="C51" s="32" t="s">
        <v>281</v>
      </c>
      <c r="D51" s="28" t="s">
        <v>282</v>
      </c>
      <c r="E51" s="28"/>
      <c r="F51" s="28"/>
      <c r="G51" s="28" t="s">
        <v>283</v>
      </c>
      <c r="H51" s="28" t="s">
        <v>284</v>
      </c>
      <c r="I51" s="28"/>
      <c r="J51" s="28"/>
      <c r="K51" s="28" t="s">
        <v>285</v>
      </c>
      <c r="L51" s="28"/>
      <c r="M51" s="28"/>
      <c r="N51" s="30" t="s">
        <v>286</v>
      </c>
      <c r="O51" s="43"/>
    </row>
    <row r="52" spans="1:15">
      <c r="A52" s="22"/>
      <c r="B52" s="54" t="s">
        <v>118</v>
      </c>
      <c r="C52" s="32"/>
      <c r="D52" s="28"/>
      <c r="E52" s="28"/>
      <c r="F52" s="28"/>
      <c r="G52" s="28"/>
      <c r="H52" s="28"/>
      <c r="I52" s="28"/>
      <c r="J52" s="28"/>
      <c r="K52" s="28" t="s">
        <v>287</v>
      </c>
      <c r="L52" s="28"/>
      <c r="M52" s="28"/>
      <c r="N52" s="30"/>
      <c r="O52" s="43"/>
    </row>
    <row r="53" spans="1:15">
      <c r="A53" s="22"/>
      <c r="B53" s="22"/>
      <c r="C53" s="32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30"/>
      <c r="O53" s="43"/>
    </row>
    <row r="54" spans="1:15">
      <c r="A54" s="24" t="s">
        <v>96</v>
      </c>
      <c r="B54" s="23" t="s">
        <v>288</v>
      </c>
      <c r="C54" s="46">
        <v>5141</v>
      </c>
      <c r="D54" s="47">
        <v>4049</v>
      </c>
      <c r="E54" s="47">
        <v>3968</v>
      </c>
      <c r="F54" s="47">
        <v>85524</v>
      </c>
      <c r="G54" s="47">
        <v>9791</v>
      </c>
      <c r="H54" s="47">
        <v>6989</v>
      </c>
      <c r="I54" s="47">
        <v>4852</v>
      </c>
      <c r="J54" s="47">
        <v>15631</v>
      </c>
      <c r="K54" s="47">
        <v>34473</v>
      </c>
      <c r="L54" s="47">
        <v>10807</v>
      </c>
      <c r="M54" s="47">
        <v>0</v>
      </c>
      <c r="N54" s="48">
        <v>3680</v>
      </c>
      <c r="O54" s="43"/>
    </row>
    <row r="55" spans="1:15">
      <c r="A55" s="22"/>
      <c r="B55" s="56" t="s">
        <v>98</v>
      </c>
      <c r="C55" s="32" t="s">
        <v>289</v>
      </c>
      <c r="D55" s="28" t="s">
        <v>290</v>
      </c>
      <c r="E55" s="28" t="s">
        <v>291</v>
      </c>
      <c r="F55" s="28" t="s">
        <v>292</v>
      </c>
      <c r="G55" s="28" t="s">
        <v>293</v>
      </c>
      <c r="H55" s="28" t="s">
        <v>294</v>
      </c>
      <c r="I55" s="28" t="s">
        <v>295</v>
      </c>
      <c r="J55" s="28" t="s">
        <v>296</v>
      </c>
      <c r="K55" s="28" t="s">
        <v>297</v>
      </c>
      <c r="L55" s="28" t="s">
        <v>298</v>
      </c>
      <c r="M55" s="28"/>
      <c r="N55" s="30" t="s">
        <v>299</v>
      </c>
      <c r="O55" s="43"/>
    </row>
    <row r="56" spans="1:15">
      <c r="A56" s="22"/>
      <c r="B56" s="56" t="s">
        <v>110</v>
      </c>
      <c r="C56" s="32" t="s">
        <v>300</v>
      </c>
      <c r="D56" s="28" t="s">
        <v>301</v>
      </c>
      <c r="E56" s="28"/>
      <c r="F56" s="28"/>
      <c r="G56" s="28" t="s">
        <v>302</v>
      </c>
      <c r="H56" s="28" t="s">
        <v>303</v>
      </c>
      <c r="I56" s="28"/>
      <c r="J56" s="28"/>
      <c r="K56" s="28"/>
      <c r="L56" s="28"/>
      <c r="M56" s="28"/>
      <c r="N56" s="30" t="s">
        <v>304</v>
      </c>
      <c r="O56" s="43"/>
    </row>
    <row r="57" spans="1:15">
      <c r="A57" s="22"/>
      <c r="B57" s="54" t="s">
        <v>118</v>
      </c>
      <c r="C57" s="32"/>
      <c r="D57" s="28" t="s">
        <v>305</v>
      </c>
      <c r="E57" s="28"/>
      <c r="F57" s="28"/>
      <c r="G57" s="28"/>
      <c r="H57" s="28"/>
      <c r="I57" s="28"/>
      <c r="J57" s="28"/>
      <c r="K57" s="28"/>
      <c r="L57" s="28"/>
      <c r="M57" s="28"/>
      <c r="N57" s="30"/>
      <c r="O57" s="43"/>
    </row>
    <row r="58" spans="1:15">
      <c r="A58" s="22"/>
      <c r="B58" s="23"/>
      <c r="C58" s="32"/>
      <c r="D58" s="28"/>
      <c r="E58" s="28"/>
      <c r="F58" s="28"/>
      <c r="G58" s="28"/>
      <c r="H58" s="28"/>
      <c r="I58" s="28"/>
      <c r="J58" s="28"/>
      <c r="K58" s="28"/>
      <c r="L58" s="28"/>
      <c r="M58" s="28"/>
      <c r="N58" s="30"/>
      <c r="O58" s="43"/>
    </row>
    <row r="59" spans="1:15">
      <c r="A59" s="24" t="s">
        <v>96</v>
      </c>
      <c r="B59" s="23" t="s">
        <v>306</v>
      </c>
      <c r="C59" s="46">
        <v>2253</v>
      </c>
      <c r="D59" s="47">
        <v>2351</v>
      </c>
      <c r="E59" s="47">
        <v>2443</v>
      </c>
      <c r="F59" s="47">
        <v>27582</v>
      </c>
      <c r="G59" s="47">
        <v>4558</v>
      </c>
      <c r="H59" s="47">
        <v>2905</v>
      </c>
      <c r="I59" s="47">
        <v>2495</v>
      </c>
      <c r="J59" s="47">
        <v>6793</v>
      </c>
      <c r="K59" s="47">
        <v>7804</v>
      </c>
      <c r="L59" s="47">
        <v>2732</v>
      </c>
      <c r="M59" s="47">
        <v>6215</v>
      </c>
      <c r="N59" s="48">
        <v>0</v>
      </c>
      <c r="O59" s="43"/>
    </row>
    <row r="60" spans="1:15">
      <c r="A60" s="22"/>
      <c r="B60" s="56" t="s">
        <v>98</v>
      </c>
      <c r="C60" s="32" t="s">
        <v>307</v>
      </c>
      <c r="D60" s="28" t="s">
        <v>308</v>
      </c>
      <c r="E60" s="28" t="s">
        <v>309</v>
      </c>
      <c r="F60" s="28" t="s">
        <v>310</v>
      </c>
      <c r="G60" s="28" t="s">
        <v>311</v>
      </c>
      <c r="H60" s="28" t="s">
        <v>312</v>
      </c>
      <c r="I60" s="28" t="s">
        <v>313</v>
      </c>
      <c r="J60" s="28" t="s">
        <v>314</v>
      </c>
      <c r="K60" s="28" t="s">
        <v>315</v>
      </c>
      <c r="L60" s="28" t="s">
        <v>316</v>
      </c>
      <c r="M60" s="28" t="s">
        <v>317</v>
      </c>
      <c r="N60" s="30"/>
      <c r="O60" s="34"/>
    </row>
    <row r="61" spans="1:15">
      <c r="A61" s="22"/>
      <c r="B61" s="56" t="s">
        <v>110</v>
      </c>
      <c r="C61" s="49" t="s">
        <v>318</v>
      </c>
      <c r="D61" s="50" t="s">
        <v>319</v>
      </c>
      <c r="E61" s="50"/>
      <c r="F61" s="50"/>
      <c r="G61" s="50" t="s">
        <v>320</v>
      </c>
      <c r="H61" s="50" t="s">
        <v>321</v>
      </c>
      <c r="I61" s="50"/>
      <c r="J61" s="50"/>
      <c r="K61" s="50" t="s">
        <v>322</v>
      </c>
      <c r="L61" s="50" t="s">
        <v>323</v>
      </c>
      <c r="M61" s="50" t="s">
        <v>324</v>
      </c>
      <c r="N61" s="51"/>
      <c r="O61" s="34"/>
    </row>
    <row r="62" spans="1:15">
      <c r="A62" s="22"/>
      <c r="B62" s="54"/>
      <c r="C62" s="36"/>
      <c r="D62" s="36"/>
      <c r="E62" s="36"/>
      <c r="F62" s="36"/>
      <c r="G62" s="36"/>
      <c r="H62" s="36"/>
      <c r="I62" s="36"/>
      <c r="J62" s="36"/>
      <c r="K62" s="36"/>
      <c r="L62" s="36"/>
      <c r="M62" s="36"/>
      <c r="N62" s="36"/>
      <c r="O62" s="34"/>
    </row>
    <row r="63" spans="1:15">
      <c r="A63" s="22"/>
      <c r="B63" s="22"/>
      <c r="C63" s="36"/>
      <c r="D63" s="36"/>
      <c r="E63" s="36"/>
      <c r="F63" s="36"/>
      <c r="G63" s="36"/>
      <c r="H63" s="36"/>
      <c r="I63" s="36"/>
      <c r="J63" s="36"/>
      <c r="K63" s="36"/>
      <c r="L63" s="36"/>
      <c r="M63" s="36"/>
      <c r="N63" s="36"/>
      <c r="O63" s="34"/>
    </row>
    <row r="64" spans="1:15">
      <c r="A64" s="22"/>
      <c r="B64" s="22"/>
      <c r="C64" s="36"/>
      <c r="D64" s="36"/>
      <c r="E64" s="36"/>
      <c r="F64" s="36"/>
      <c r="G64" s="36"/>
      <c r="H64" s="36"/>
      <c r="I64" s="36"/>
      <c r="J64" s="36"/>
      <c r="K64" s="36"/>
      <c r="L64" s="36"/>
      <c r="M64" s="36"/>
      <c r="N64" s="36"/>
      <c r="O64" s="34"/>
    </row>
    <row r="65" spans="3:15">
      <c r="C65" s="34"/>
      <c r="D65" s="34"/>
      <c r="E65" s="34"/>
      <c r="F65" s="34"/>
      <c r="G65" s="34"/>
      <c r="H65" s="34"/>
      <c r="I65" s="34"/>
      <c r="J65" s="34"/>
      <c r="K65" s="34"/>
      <c r="L65" s="34"/>
      <c r="M65" s="34"/>
      <c r="N65" s="34"/>
      <c r="O65" s="34"/>
    </row>
    <row r="66" spans="3:15">
      <c r="C66" s="34"/>
      <c r="D66" s="34"/>
      <c r="E66" s="34"/>
      <c r="F66" s="34"/>
      <c r="G66" s="34"/>
      <c r="H66" s="34"/>
      <c r="I66" s="34"/>
      <c r="J66" s="34"/>
      <c r="K66" s="34"/>
      <c r="L66" s="34"/>
      <c r="M66" s="34"/>
      <c r="N66" s="34"/>
      <c r="O66" s="34"/>
    </row>
    <row r="67" spans="3:15">
      <c r="C67" s="34"/>
      <c r="D67" s="34"/>
      <c r="E67" s="34"/>
      <c r="F67" s="34"/>
      <c r="G67" s="34"/>
      <c r="H67" s="34"/>
      <c r="I67" s="34"/>
      <c r="J67" s="34"/>
      <c r="K67" s="34"/>
      <c r="L67" s="34"/>
      <c r="M67" s="34"/>
      <c r="N67" s="34"/>
      <c r="O67" s="34"/>
    </row>
    <row r="68" spans="3:15">
      <c r="C68" s="34"/>
      <c r="D68" s="34"/>
      <c r="E68" s="34"/>
      <c r="F68" s="34"/>
      <c r="G68" s="34"/>
      <c r="H68" s="34"/>
      <c r="I68" s="34"/>
      <c r="J68" s="34"/>
      <c r="K68" s="34"/>
      <c r="L68" s="34"/>
      <c r="M68" s="34"/>
      <c r="N68" s="34"/>
      <c r="O68" s="34"/>
    </row>
    <row r="69" spans="3:15">
      <c r="C69" s="34"/>
      <c r="D69" s="34"/>
      <c r="E69" s="34"/>
      <c r="F69" s="34"/>
      <c r="G69" s="34"/>
      <c r="H69" s="34"/>
      <c r="I69" s="34"/>
      <c r="J69" s="34"/>
      <c r="K69" s="34"/>
      <c r="L69" s="34"/>
      <c r="M69" s="34"/>
      <c r="N69" s="34"/>
      <c r="O69" s="34"/>
    </row>
    <row r="70" spans="3:15">
      <c r="C70" s="34"/>
      <c r="D70" s="34"/>
      <c r="E70" s="34"/>
      <c r="F70" s="34"/>
      <c r="G70" s="34"/>
      <c r="H70" s="34"/>
      <c r="I70" s="34"/>
      <c r="J70" s="34"/>
      <c r="K70" s="34"/>
      <c r="L70" s="34"/>
      <c r="M70" s="34"/>
      <c r="N70" s="34"/>
      <c r="O70" s="34"/>
    </row>
    <row r="71" spans="3:15">
      <c r="C71" s="34"/>
      <c r="D71" s="34"/>
      <c r="E71" s="34"/>
      <c r="F71" s="34"/>
      <c r="G71" s="34"/>
      <c r="H71" s="34"/>
      <c r="I71" s="34"/>
      <c r="J71" s="34"/>
      <c r="K71" s="34"/>
      <c r="L71" s="34"/>
      <c r="M71" s="34"/>
      <c r="N71" s="34"/>
      <c r="O71" s="34"/>
    </row>
    <row r="72" spans="3:15">
      <c r="C72" s="34"/>
      <c r="D72" s="34"/>
      <c r="E72" s="34"/>
      <c r="F72" s="34"/>
      <c r="G72" s="34"/>
      <c r="H72" s="34"/>
      <c r="I72" s="34"/>
      <c r="J72" s="34"/>
      <c r="K72" s="34"/>
      <c r="L72" s="34"/>
      <c r="M72" s="34"/>
      <c r="N72" s="34"/>
      <c r="O72" s="34"/>
    </row>
    <row r="73" spans="3:15">
      <c r="C73" s="34"/>
      <c r="D73" s="34"/>
      <c r="E73" s="34"/>
      <c r="F73" s="34"/>
      <c r="G73" s="34"/>
      <c r="H73" s="34"/>
      <c r="I73" s="34"/>
      <c r="J73" s="34"/>
      <c r="K73" s="34"/>
      <c r="L73" s="34"/>
      <c r="M73" s="34"/>
      <c r="N73" s="34"/>
      <c r="O73" s="34"/>
    </row>
    <row r="74" spans="3:15">
      <c r="C74" s="34"/>
      <c r="D74" s="34"/>
      <c r="E74" s="34"/>
      <c r="F74" s="34"/>
      <c r="G74" s="34"/>
      <c r="H74" s="34"/>
      <c r="I74" s="34"/>
      <c r="J74" s="34"/>
      <c r="K74" s="34"/>
      <c r="L74" s="34"/>
      <c r="M74" s="34"/>
      <c r="N74" s="34"/>
      <c r="O74" s="34"/>
    </row>
    <row r="75" spans="3:15">
      <c r="C75" s="34"/>
      <c r="D75" s="34"/>
      <c r="E75" s="34"/>
      <c r="F75" s="34"/>
      <c r="G75" s="34"/>
      <c r="H75" s="34"/>
      <c r="I75" s="34"/>
      <c r="J75" s="34"/>
      <c r="K75" s="34"/>
      <c r="L75" s="34"/>
      <c r="M75" s="34"/>
      <c r="N75" s="34"/>
      <c r="O75" s="34"/>
    </row>
    <row r="76" spans="3:15">
      <c r="C76" s="34"/>
      <c r="D76" s="34"/>
      <c r="E76" s="34"/>
      <c r="F76" s="34"/>
      <c r="G76" s="34"/>
      <c r="H76" s="34"/>
      <c r="I76" s="34"/>
      <c r="J76" s="34"/>
      <c r="K76" s="34"/>
      <c r="L76" s="34"/>
      <c r="M76" s="34"/>
      <c r="N76" s="34"/>
      <c r="O76" s="34"/>
    </row>
    <row r="77" spans="3:15">
      <c r="C77" s="34"/>
      <c r="D77" s="34"/>
      <c r="E77" s="34"/>
      <c r="F77" s="34"/>
      <c r="G77" s="34"/>
      <c r="H77" s="34"/>
      <c r="I77" s="34"/>
      <c r="J77" s="34"/>
      <c r="K77" s="34"/>
      <c r="L77" s="34"/>
      <c r="M77" s="34"/>
      <c r="N77" s="34"/>
      <c r="O77" s="34"/>
    </row>
    <row r="78" spans="3:15">
      <c r="C78" s="34"/>
      <c r="D78" s="34"/>
      <c r="E78" s="34"/>
      <c r="F78" s="34"/>
      <c r="G78" s="34"/>
      <c r="H78" s="34"/>
      <c r="I78" s="34"/>
      <c r="J78" s="34"/>
      <c r="K78" s="34"/>
      <c r="L78" s="34"/>
      <c r="M78" s="34"/>
      <c r="N78" s="34"/>
      <c r="O78" s="34"/>
    </row>
    <row r="79" spans="3:15">
      <c r="C79" s="34"/>
      <c r="D79" s="34"/>
      <c r="E79" s="34"/>
      <c r="F79" s="34"/>
      <c r="G79" s="34"/>
      <c r="H79" s="34"/>
      <c r="I79" s="34"/>
      <c r="J79" s="34"/>
      <c r="K79" s="34"/>
      <c r="L79" s="34"/>
      <c r="M79" s="34"/>
      <c r="N79" s="34"/>
      <c r="O79" s="34"/>
    </row>
    <row r="80" spans="3:15">
      <c r="C80" s="34"/>
      <c r="D80" s="34"/>
      <c r="E80" s="34"/>
      <c r="F80" s="34"/>
      <c r="G80" s="34"/>
      <c r="H80" s="34"/>
      <c r="I80" s="34"/>
      <c r="J80" s="34"/>
      <c r="K80" s="34"/>
      <c r="L80" s="34"/>
      <c r="M80" s="34"/>
      <c r="N80" s="34"/>
      <c r="O80" s="34"/>
    </row>
    <row r="81" spans="3:15">
      <c r="C81" s="34"/>
      <c r="D81" s="34"/>
      <c r="E81" s="34"/>
      <c r="F81" s="34"/>
      <c r="G81" s="34"/>
      <c r="H81" s="34"/>
      <c r="I81" s="34"/>
      <c r="J81" s="34"/>
      <c r="K81" s="34"/>
      <c r="L81" s="34"/>
      <c r="M81" s="34"/>
      <c r="N81" s="34"/>
      <c r="O81" s="34"/>
    </row>
    <row r="82" spans="3:15">
      <c r="C82" s="34"/>
      <c r="D82" s="34"/>
      <c r="E82" s="34"/>
      <c r="F82" s="34"/>
      <c r="G82" s="34"/>
      <c r="H82" s="34"/>
      <c r="I82" s="34"/>
      <c r="J82" s="34"/>
      <c r="K82" s="34"/>
      <c r="L82" s="34"/>
      <c r="M82" s="34"/>
      <c r="N82" s="34"/>
      <c r="O82" s="34"/>
    </row>
    <row r="83" spans="3:15">
      <c r="C83" s="34"/>
      <c r="D83" s="34"/>
      <c r="E83" s="34"/>
      <c r="F83" s="34"/>
      <c r="G83" s="34"/>
      <c r="H83" s="34"/>
      <c r="I83" s="34"/>
      <c r="J83" s="34"/>
      <c r="K83" s="34"/>
      <c r="L83" s="34"/>
      <c r="M83" s="34"/>
      <c r="N83" s="34"/>
      <c r="O83" s="34"/>
    </row>
    <row r="84" spans="3:15">
      <c r="C84" s="34"/>
      <c r="D84" s="34"/>
      <c r="E84" s="34"/>
      <c r="F84" s="34"/>
      <c r="G84" s="34"/>
      <c r="H84" s="34"/>
      <c r="I84" s="34"/>
      <c r="J84" s="34"/>
      <c r="K84" s="34"/>
      <c r="L84" s="34"/>
      <c r="M84" s="34"/>
      <c r="N84" s="34"/>
      <c r="O84" s="34"/>
    </row>
    <row r="85" spans="3:15">
      <c r="C85" s="34"/>
      <c r="D85" s="34"/>
      <c r="E85" s="34"/>
      <c r="F85" s="34"/>
      <c r="G85" s="34"/>
      <c r="H85" s="34"/>
      <c r="I85" s="34"/>
      <c r="J85" s="34"/>
      <c r="K85" s="34"/>
      <c r="L85" s="34"/>
      <c r="M85" s="34"/>
      <c r="N85" s="34"/>
      <c r="O85" s="34"/>
    </row>
    <row r="86" spans="3:15">
      <c r="C86" s="34"/>
      <c r="D86" s="34"/>
      <c r="E86" s="34"/>
      <c r="F86" s="34"/>
      <c r="G86" s="34"/>
      <c r="H86" s="34"/>
      <c r="I86" s="34"/>
      <c r="J86" s="34"/>
      <c r="K86" s="34"/>
      <c r="L86" s="34"/>
      <c r="M86" s="34"/>
      <c r="N86" s="34"/>
      <c r="O86" s="34"/>
    </row>
    <row r="87" spans="3:15">
      <c r="C87" s="34"/>
      <c r="D87" s="34"/>
      <c r="E87" s="34"/>
      <c r="F87" s="34"/>
      <c r="G87" s="34"/>
      <c r="H87" s="34"/>
      <c r="I87" s="34"/>
      <c r="J87" s="34"/>
      <c r="K87" s="34"/>
      <c r="L87" s="34"/>
      <c r="M87" s="34"/>
      <c r="N87" s="34"/>
      <c r="O87" s="34"/>
    </row>
    <row r="88" spans="3:15">
      <c r="C88" s="34"/>
      <c r="D88" s="34"/>
      <c r="E88" s="34"/>
      <c r="F88" s="34"/>
      <c r="G88" s="34"/>
      <c r="H88" s="34"/>
      <c r="I88" s="34"/>
      <c r="J88" s="34"/>
      <c r="K88" s="34"/>
      <c r="L88" s="34"/>
      <c r="M88" s="34"/>
      <c r="N88" s="34"/>
      <c r="O88" s="34"/>
    </row>
    <row r="89" spans="3:15">
      <c r="C89" s="34"/>
      <c r="D89" s="34"/>
      <c r="E89" s="34"/>
      <c r="F89" s="34"/>
      <c r="G89" s="34"/>
      <c r="H89" s="34"/>
      <c r="I89" s="34"/>
      <c r="J89" s="34"/>
      <c r="K89" s="34"/>
      <c r="L89" s="34"/>
      <c r="M89" s="34"/>
      <c r="N89" s="34"/>
      <c r="O89" s="34"/>
    </row>
    <row r="90" spans="3:15">
      <c r="C90" s="34"/>
      <c r="D90" s="34"/>
      <c r="E90" s="34"/>
      <c r="F90" s="34"/>
      <c r="G90" s="34"/>
      <c r="H90" s="34"/>
      <c r="I90" s="34"/>
      <c r="J90" s="34"/>
      <c r="K90" s="34"/>
      <c r="L90" s="34"/>
      <c r="M90" s="34"/>
      <c r="N90" s="34"/>
      <c r="O90" s="34"/>
    </row>
    <row r="91" spans="3:15">
      <c r="C91" s="34"/>
      <c r="D91" s="34"/>
      <c r="E91" s="34"/>
      <c r="F91" s="34"/>
      <c r="G91" s="34"/>
      <c r="H91" s="34"/>
      <c r="I91" s="34"/>
      <c r="J91" s="34"/>
      <c r="K91" s="34"/>
      <c r="L91" s="34"/>
      <c r="M91" s="34"/>
      <c r="N91" s="34"/>
      <c r="O91" s="34"/>
    </row>
    <row r="92" spans="3:15">
      <c r="C92" s="34"/>
      <c r="D92" s="34"/>
      <c r="E92" s="34"/>
      <c r="F92" s="34"/>
      <c r="G92" s="34"/>
      <c r="H92" s="34"/>
      <c r="I92" s="34"/>
      <c r="J92" s="34"/>
      <c r="K92" s="34"/>
      <c r="L92" s="34"/>
      <c r="M92" s="34"/>
      <c r="N92" s="34"/>
      <c r="O92" s="34"/>
    </row>
    <row r="93" spans="3:15">
      <c r="C93" s="34"/>
      <c r="D93" s="34"/>
      <c r="E93" s="34"/>
      <c r="F93" s="34"/>
      <c r="G93" s="34"/>
      <c r="H93" s="34"/>
      <c r="I93" s="34"/>
      <c r="J93" s="34"/>
      <c r="K93" s="34"/>
      <c r="L93" s="34"/>
      <c r="M93" s="34"/>
      <c r="N93" s="34"/>
      <c r="O93" s="34"/>
    </row>
    <row r="94" spans="3:15">
      <c r="C94" s="34"/>
      <c r="D94" s="34"/>
      <c r="E94" s="34"/>
      <c r="F94" s="34"/>
      <c r="G94" s="34"/>
      <c r="H94" s="34"/>
      <c r="I94" s="34"/>
      <c r="J94" s="34"/>
      <c r="K94" s="34"/>
      <c r="L94" s="34"/>
      <c r="M94" s="34"/>
      <c r="N94" s="34"/>
      <c r="O94" s="34"/>
    </row>
    <row r="95" spans="3:15">
      <c r="C95" s="34"/>
      <c r="D95" s="34"/>
      <c r="E95" s="34"/>
      <c r="F95" s="34"/>
      <c r="G95" s="34"/>
      <c r="H95" s="34"/>
      <c r="I95" s="34"/>
      <c r="J95" s="34"/>
      <c r="K95" s="34"/>
      <c r="L95" s="34"/>
      <c r="M95" s="34"/>
      <c r="N95" s="34"/>
      <c r="O95" s="34"/>
    </row>
    <row r="96" spans="3:15">
      <c r="C96" s="34"/>
      <c r="D96" s="34"/>
      <c r="E96" s="34"/>
      <c r="F96" s="34"/>
      <c r="G96" s="34"/>
      <c r="H96" s="34"/>
      <c r="I96" s="34"/>
      <c r="J96" s="34"/>
      <c r="K96" s="34"/>
      <c r="L96" s="34"/>
      <c r="M96" s="34"/>
      <c r="N96" s="34"/>
      <c r="O96" s="34"/>
    </row>
    <row r="97" spans="3:15">
      <c r="C97" s="34"/>
      <c r="D97" s="34"/>
      <c r="E97" s="34"/>
      <c r="F97" s="34"/>
      <c r="G97" s="34"/>
      <c r="H97" s="34"/>
      <c r="I97" s="34"/>
      <c r="J97" s="34"/>
      <c r="K97" s="34"/>
      <c r="L97" s="34"/>
      <c r="M97" s="34"/>
      <c r="N97" s="34"/>
      <c r="O97" s="34"/>
    </row>
    <row r="98" spans="3:15">
      <c r="C98" s="34"/>
      <c r="D98" s="34"/>
      <c r="E98" s="34"/>
      <c r="F98" s="34"/>
      <c r="G98" s="34"/>
      <c r="H98" s="34"/>
      <c r="I98" s="34"/>
      <c r="J98" s="34"/>
      <c r="K98" s="34"/>
      <c r="L98" s="34"/>
      <c r="M98" s="34"/>
      <c r="N98" s="34"/>
      <c r="O98" s="34"/>
    </row>
    <row r="99" spans="3:15">
      <c r="C99" s="34"/>
      <c r="D99" s="34"/>
      <c r="E99" s="34"/>
      <c r="F99" s="34"/>
      <c r="G99" s="34"/>
      <c r="H99" s="34"/>
      <c r="I99" s="34"/>
      <c r="J99" s="34"/>
      <c r="K99" s="34"/>
      <c r="L99" s="34"/>
      <c r="M99" s="34"/>
      <c r="N99" s="34"/>
      <c r="O99" s="34"/>
    </row>
    <row r="100" spans="3:15">
      <c r="C100" s="34"/>
      <c r="D100" s="34"/>
      <c r="E100" s="34"/>
      <c r="F100" s="34"/>
      <c r="G100" s="34"/>
      <c r="H100" s="34"/>
      <c r="I100" s="34"/>
      <c r="J100" s="34"/>
      <c r="K100" s="34"/>
      <c r="L100" s="34"/>
      <c r="M100" s="34"/>
      <c r="N100" s="34"/>
      <c r="O100" s="34"/>
    </row>
    <row r="101" spans="3:15">
      <c r="C101" s="34"/>
      <c r="D101" s="34"/>
      <c r="E101" s="34"/>
      <c r="F101" s="34"/>
      <c r="G101" s="34"/>
      <c r="H101" s="34"/>
      <c r="I101" s="34"/>
      <c r="J101" s="34"/>
      <c r="K101" s="34"/>
      <c r="L101" s="34"/>
      <c r="M101" s="34"/>
      <c r="N101" s="34"/>
      <c r="O101" s="34"/>
    </row>
    <row r="102" spans="3:15">
      <c r="C102" s="34"/>
      <c r="D102" s="34"/>
      <c r="E102" s="34"/>
      <c r="F102" s="34"/>
      <c r="G102" s="34"/>
      <c r="H102" s="34"/>
      <c r="I102" s="34"/>
      <c r="J102" s="34"/>
      <c r="K102" s="34"/>
      <c r="L102" s="34"/>
      <c r="M102" s="34"/>
      <c r="N102" s="34"/>
      <c r="O102" s="34"/>
    </row>
    <row r="103" spans="3:15">
      <c r="C103" s="34"/>
      <c r="D103" s="34"/>
      <c r="E103" s="34"/>
      <c r="F103" s="34"/>
      <c r="G103" s="34"/>
      <c r="H103" s="34"/>
      <c r="I103" s="34"/>
      <c r="J103" s="34"/>
      <c r="K103" s="34"/>
      <c r="L103" s="34"/>
      <c r="M103" s="34"/>
      <c r="N103" s="34"/>
      <c r="O103" s="34"/>
    </row>
    <row r="104" spans="3:15">
      <c r="C104" s="34"/>
      <c r="D104" s="34"/>
      <c r="E104" s="34"/>
      <c r="F104" s="34"/>
      <c r="G104" s="34"/>
      <c r="H104" s="34"/>
      <c r="I104" s="34"/>
      <c r="J104" s="34"/>
      <c r="K104" s="34"/>
      <c r="L104" s="34"/>
      <c r="M104" s="34"/>
      <c r="N104" s="34"/>
      <c r="O104" s="34"/>
    </row>
    <row r="105" spans="3:15">
      <c r="C105" s="34"/>
      <c r="D105" s="34"/>
      <c r="E105" s="34"/>
      <c r="F105" s="34"/>
      <c r="G105" s="34"/>
      <c r="H105" s="34"/>
      <c r="I105" s="34"/>
      <c r="J105" s="34"/>
      <c r="K105" s="34"/>
      <c r="L105" s="34"/>
      <c r="M105" s="34"/>
      <c r="N105" s="34"/>
      <c r="O105" s="34"/>
    </row>
    <row r="106" spans="3:15">
      <c r="C106" s="34"/>
      <c r="D106" s="34"/>
      <c r="E106" s="34"/>
      <c r="F106" s="34"/>
      <c r="G106" s="34"/>
      <c r="H106" s="34"/>
      <c r="I106" s="34"/>
      <c r="J106" s="34"/>
      <c r="K106" s="34"/>
      <c r="L106" s="34"/>
      <c r="M106" s="34"/>
      <c r="N106" s="34"/>
      <c r="O106" s="34"/>
    </row>
    <row r="107" spans="3:15">
      <c r="C107" s="34"/>
      <c r="D107" s="34"/>
      <c r="E107" s="34"/>
      <c r="F107" s="34"/>
      <c r="G107" s="34"/>
      <c r="H107" s="34"/>
      <c r="I107" s="34"/>
      <c r="J107" s="34"/>
      <c r="K107" s="34"/>
      <c r="L107" s="34"/>
      <c r="M107" s="34"/>
      <c r="N107" s="34"/>
      <c r="O107" s="34"/>
    </row>
    <row r="108" spans="3:15">
      <c r="C108" s="34"/>
      <c r="D108" s="34"/>
      <c r="E108" s="34"/>
      <c r="F108" s="34"/>
      <c r="G108" s="34"/>
      <c r="H108" s="34"/>
      <c r="I108" s="34"/>
      <c r="J108" s="34"/>
      <c r="K108" s="34"/>
      <c r="L108" s="34"/>
      <c r="M108" s="34"/>
      <c r="N108" s="34"/>
      <c r="O108" s="34"/>
    </row>
    <row r="109" spans="3:15">
      <c r="C109" s="34"/>
      <c r="D109" s="34"/>
      <c r="E109" s="34"/>
      <c r="F109" s="34"/>
      <c r="G109" s="34"/>
      <c r="H109" s="34"/>
      <c r="I109" s="34"/>
      <c r="J109" s="34"/>
      <c r="K109" s="34"/>
      <c r="L109" s="34"/>
      <c r="M109" s="34"/>
      <c r="N109" s="34"/>
      <c r="O109" s="34"/>
    </row>
    <row r="110" spans="3:15">
      <c r="C110" s="34"/>
      <c r="D110" s="34"/>
      <c r="E110" s="34"/>
      <c r="F110" s="34"/>
      <c r="G110" s="34"/>
      <c r="H110" s="34"/>
      <c r="I110" s="34"/>
      <c r="J110" s="34"/>
      <c r="K110" s="34"/>
      <c r="L110" s="34"/>
      <c r="M110" s="34"/>
      <c r="N110" s="34"/>
      <c r="O110" s="34"/>
    </row>
    <row r="111" spans="3:15">
      <c r="C111" s="34"/>
      <c r="D111" s="34"/>
      <c r="E111" s="34"/>
      <c r="F111" s="34"/>
      <c r="G111" s="34"/>
      <c r="H111" s="34"/>
      <c r="I111" s="34"/>
      <c r="J111" s="34"/>
      <c r="K111" s="34"/>
      <c r="L111" s="34"/>
      <c r="M111" s="34"/>
      <c r="N111" s="34"/>
      <c r="O111" s="34"/>
    </row>
    <row r="112" spans="3:15">
      <c r="C112" s="34"/>
      <c r="D112" s="34"/>
      <c r="E112" s="34"/>
      <c r="F112" s="34"/>
      <c r="G112" s="34"/>
      <c r="H112" s="34"/>
      <c r="I112" s="34"/>
      <c r="J112" s="34"/>
      <c r="K112" s="34"/>
      <c r="L112" s="34"/>
      <c r="M112" s="34"/>
      <c r="N112" s="34"/>
      <c r="O112" s="34"/>
    </row>
    <row r="113" spans="3:15">
      <c r="C113" s="34"/>
      <c r="D113" s="34"/>
      <c r="E113" s="34"/>
      <c r="F113" s="34"/>
      <c r="G113" s="34"/>
      <c r="H113" s="34"/>
      <c r="I113" s="34"/>
      <c r="J113" s="34"/>
      <c r="K113" s="34"/>
      <c r="L113" s="34"/>
      <c r="M113" s="34"/>
      <c r="N113" s="34"/>
      <c r="O113" s="34"/>
    </row>
    <row r="114" spans="3:15">
      <c r="C114" s="34"/>
      <c r="D114" s="34"/>
      <c r="E114" s="34"/>
      <c r="F114" s="34"/>
      <c r="G114" s="34"/>
      <c r="H114" s="34"/>
      <c r="I114" s="34"/>
      <c r="J114" s="34"/>
      <c r="K114" s="34"/>
      <c r="L114" s="34"/>
      <c r="M114" s="34"/>
      <c r="N114" s="34"/>
      <c r="O114" s="34"/>
    </row>
    <row r="115" spans="3:15">
      <c r="C115" s="34"/>
      <c r="D115" s="34"/>
      <c r="E115" s="34"/>
      <c r="F115" s="34"/>
      <c r="G115" s="34"/>
      <c r="H115" s="34"/>
      <c r="I115" s="34"/>
      <c r="J115" s="34"/>
      <c r="K115" s="34"/>
      <c r="L115" s="34"/>
      <c r="M115" s="34"/>
      <c r="N115" s="34"/>
      <c r="O115" s="34"/>
    </row>
    <row r="116" spans="3:15">
      <c r="C116" s="34"/>
      <c r="D116" s="34"/>
      <c r="E116" s="34"/>
      <c r="F116" s="34"/>
      <c r="G116" s="34"/>
      <c r="H116" s="34"/>
      <c r="I116" s="34"/>
      <c r="J116" s="34"/>
      <c r="K116" s="34"/>
      <c r="L116" s="34"/>
      <c r="M116" s="34"/>
      <c r="N116" s="34"/>
      <c r="O116" s="34"/>
    </row>
    <row r="117" spans="3:15">
      <c r="C117" s="34"/>
      <c r="D117" s="34"/>
      <c r="E117" s="34"/>
      <c r="F117" s="34"/>
      <c r="G117" s="34"/>
      <c r="H117" s="34"/>
      <c r="I117" s="34"/>
      <c r="J117" s="34"/>
      <c r="K117" s="34"/>
      <c r="L117" s="34"/>
      <c r="M117" s="34"/>
      <c r="N117" s="34"/>
      <c r="O117" s="34"/>
    </row>
    <row r="118" spans="3:15">
      <c r="C118" s="34"/>
      <c r="D118" s="34"/>
      <c r="E118" s="34"/>
      <c r="F118" s="34"/>
      <c r="G118" s="34"/>
      <c r="H118" s="34"/>
      <c r="I118" s="34"/>
      <c r="J118" s="34"/>
      <c r="K118" s="34"/>
      <c r="L118" s="34"/>
      <c r="M118" s="34"/>
      <c r="N118" s="34"/>
      <c r="O118" s="34"/>
    </row>
    <row r="119" spans="3:15">
      <c r="C119" s="34"/>
      <c r="D119" s="34"/>
      <c r="E119" s="34"/>
      <c r="F119" s="34"/>
      <c r="G119" s="34"/>
      <c r="H119" s="34"/>
      <c r="I119" s="34"/>
      <c r="J119" s="34"/>
      <c r="K119" s="34"/>
      <c r="L119" s="34"/>
      <c r="M119" s="34"/>
      <c r="N119" s="34"/>
      <c r="O119" s="34"/>
    </row>
    <row r="120" spans="3:15">
      <c r="C120" s="34"/>
      <c r="D120" s="34"/>
      <c r="E120" s="34"/>
      <c r="F120" s="34"/>
      <c r="G120" s="34"/>
      <c r="H120" s="34"/>
      <c r="I120" s="34"/>
      <c r="J120" s="34"/>
      <c r="K120" s="34"/>
      <c r="L120" s="34"/>
      <c r="M120" s="34"/>
      <c r="N120" s="34"/>
      <c r="O120" s="34"/>
    </row>
    <row r="121" spans="3:15">
      <c r="C121" s="34"/>
      <c r="D121" s="34"/>
      <c r="E121" s="34"/>
      <c r="F121" s="34"/>
      <c r="G121" s="34"/>
      <c r="H121" s="34"/>
      <c r="I121" s="34"/>
      <c r="J121" s="34"/>
      <c r="K121" s="34"/>
      <c r="L121" s="34"/>
      <c r="M121" s="34"/>
      <c r="N121" s="34"/>
      <c r="O121" s="34"/>
    </row>
    <row r="122" spans="3:15">
      <c r="C122" s="34"/>
      <c r="D122" s="34"/>
      <c r="E122" s="34"/>
      <c r="F122" s="34"/>
      <c r="G122" s="34"/>
      <c r="H122" s="34"/>
      <c r="I122" s="34"/>
      <c r="J122" s="34"/>
      <c r="K122" s="34"/>
      <c r="L122" s="34"/>
      <c r="M122" s="34"/>
      <c r="N122" s="34"/>
      <c r="O122" s="34"/>
    </row>
    <row r="123" spans="3:15">
      <c r="C123" s="34"/>
      <c r="D123" s="34"/>
      <c r="E123" s="34"/>
      <c r="F123" s="34"/>
      <c r="G123" s="34"/>
      <c r="H123" s="34"/>
      <c r="I123" s="34"/>
      <c r="J123" s="34"/>
      <c r="K123" s="34"/>
      <c r="L123" s="34"/>
      <c r="M123" s="34"/>
      <c r="N123" s="34"/>
      <c r="O123" s="34"/>
    </row>
    <row r="124" spans="3:15">
      <c r="C124" s="34"/>
      <c r="D124" s="34"/>
      <c r="E124" s="34"/>
      <c r="F124" s="34"/>
      <c r="G124" s="34"/>
      <c r="H124" s="34"/>
      <c r="I124" s="34"/>
      <c r="J124" s="34"/>
      <c r="K124" s="34"/>
      <c r="L124" s="34"/>
      <c r="M124" s="34"/>
      <c r="N124" s="34"/>
      <c r="O124" s="34"/>
    </row>
    <row r="125" spans="3:15">
      <c r="C125" s="34"/>
      <c r="D125" s="34"/>
      <c r="E125" s="34"/>
      <c r="F125" s="34"/>
      <c r="G125" s="34"/>
      <c r="H125" s="34"/>
      <c r="I125" s="34"/>
      <c r="J125" s="34"/>
      <c r="K125" s="34"/>
      <c r="L125" s="34"/>
      <c r="M125" s="34"/>
      <c r="N125" s="34"/>
      <c r="O125" s="34"/>
    </row>
    <row r="126" spans="3:15">
      <c r="C126" s="34"/>
      <c r="D126" s="34"/>
      <c r="E126" s="34"/>
      <c r="F126" s="34"/>
      <c r="G126" s="34"/>
      <c r="H126" s="34"/>
      <c r="I126" s="34"/>
      <c r="J126" s="34"/>
      <c r="K126" s="34"/>
      <c r="L126" s="34"/>
      <c r="M126" s="34"/>
      <c r="N126" s="34"/>
      <c r="O126" s="34"/>
    </row>
    <row r="127" spans="3:15">
      <c r="C127" s="34"/>
      <c r="D127" s="34"/>
      <c r="E127" s="34"/>
      <c r="F127" s="34"/>
      <c r="G127" s="34"/>
      <c r="H127" s="34"/>
      <c r="I127" s="34"/>
      <c r="J127" s="34"/>
      <c r="K127" s="34"/>
      <c r="L127" s="34"/>
      <c r="M127" s="34"/>
      <c r="N127" s="34"/>
      <c r="O127" s="34"/>
    </row>
    <row r="128" spans="3:15">
      <c r="C128" s="34"/>
      <c r="D128" s="34"/>
      <c r="E128" s="34"/>
      <c r="F128" s="34"/>
      <c r="G128" s="34"/>
      <c r="H128" s="34"/>
      <c r="I128" s="34"/>
      <c r="J128" s="34"/>
      <c r="K128" s="34"/>
      <c r="L128" s="34"/>
      <c r="M128" s="34"/>
      <c r="N128" s="34"/>
      <c r="O128" s="34"/>
    </row>
    <row r="129" spans="3:15">
      <c r="C129" s="34"/>
      <c r="D129" s="34"/>
      <c r="E129" s="34"/>
      <c r="F129" s="34"/>
      <c r="G129" s="34"/>
      <c r="H129" s="34"/>
      <c r="I129" s="34"/>
      <c r="J129" s="34"/>
      <c r="K129" s="34"/>
      <c r="L129" s="34"/>
      <c r="M129" s="34"/>
      <c r="N129" s="34"/>
      <c r="O129" s="34"/>
    </row>
    <row r="130" spans="3:15">
      <c r="C130" s="34"/>
      <c r="D130" s="34"/>
      <c r="E130" s="34"/>
      <c r="F130" s="34"/>
      <c r="G130" s="34"/>
      <c r="H130" s="34"/>
      <c r="I130" s="34"/>
      <c r="J130" s="34"/>
      <c r="K130" s="34"/>
      <c r="L130" s="34"/>
      <c r="M130" s="34"/>
      <c r="N130" s="34"/>
      <c r="O130" s="34"/>
    </row>
    <row r="131" spans="3:15">
      <c r="C131" s="34"/>
      <c r="D131" s="34"/>
      <c r="E131" s="34"/>
      <c r="F131" s="34"/>
      <c r="G131" s="34"/>
      <c r="H131" s="34"/>
      <c r="I131" s="34"/>
      <c r="J131" s="34"/>
      <c r="K131" s="34"/>
      <c r="L131" s="34"/>
      <c r="M131" s="34"/>
      <c r="N131" s="34"/>
      <c r="O131" s="34"/>
    </row>
    <row r="132" spans="3:15">
      <c r="C132" s="34"/>
      <c r="D132" s="34"/>
      <c r="E132" s="34"/>
      <c r="F132" s="34"/>
      <c r="G132" s="34"/>
      <c r="H132" s="34"/>
      <c r="I132" s="34"/>
      <c r="J132" s="34"/>
      <c r="K132" s="34"/>
      <c r="L132" s="34"/>
      <c r="M132" s="34"/>
      <c r="N132" s="34"/>
      <c r="O132" s="34"/>
    </row>
    <row r="133" spans="3:15">
      <c r="C133" s="34"/>
      <c r="D133" s="34"/>
      <c r="E133" s="34"/>
      <c r="F133" s="34"/>
      <c r="G133" s="34"/>
      <c r="H133" s="34"/>
      <c r="I133" s="34"/>
      <c r="J133" s="34"/>
      <c r="K133" s="34"/>
      <c r="L133" s="34"/>
      <c r="M133" s="34"/>
      <c r="N133" s="34"/>
      <c r="O133" s="34"/>
    </row>
    <row r="134" spans="3:15">
      <c r="C134" s="34"/>
      <c r="D134" s="34"/>
      <c r="E134" s="34"/>
      <c r="F134" s="34"/>
      <c r="G134" s="34"/>
      <c r="H134" s="34"/>
      <c r="I134" s="34"/>
      <c r="J134" s="34"/>
      <c r="K134" s="34"/>
      <c r="L134" s="34"/>
      <c r="M134" s="34"/>
      <c r="N134" s="34"/>
      <c r="O134" s="34"/>
    </row>
    <row r="135" spans="3:15">
      <c r="C135" s="34"/>
      <c r="D135" s="34"/>
      <c r="E135" s="34"/>
      <c r="F135" s="34"/>
      <c r="G135" s="34"/>
      <c r="H135" s="34"/>
      <c r="I135" s="34"/>
      <c r="J135" s="34"/>
      <c r="K135" s="34"/>
      <c r="L135" s="34"/>
      <c r="M135" s="34"/>
      <c r="N135" s="34"/>
      <c r="O135" s="34"/>
    </row>
    <row r="136" spans="3:15">
      <c r="C136" s="34"/>
      <c r="D136" s="34"/>
      <c r="E136" s="34"/>
      <c r="F136" s="34"/>
      <c r="G136" s="34"/>
      <c r="H136" s="34"/>
      <c r="I136" s="34"/>
      <c r="J136" s="34"/>
      <c r="K136" s="34"/>
      <c r="L136" s="34"/>
      <c r="M136" s="34"/>
      <c r="N136" s="34"/>
      <c r="O136" s="34"/>
    </row>
    <row r="137" spans="3:15">
      <c r="C137" s="34"/>
      <c r="D137" s="34"/>
      <c r="E137" s="34"/>
      <c r="F137" s="34"/>
      <c r="G137" s="34"/>
      <c r="H137" s="34"/>
      <c r="I137" s="34"/>
      <c r="J137" s="34"/>
      <c r="K137" s="34"/>
      <c r="L137" s="34"/>
      <c r="M137" s="34"/>
      <c r="N137" s="34"/>
      <c r="O137" s="34"/>
    </row>
    <row r="138" spans="3:15">
      <c r="C138" s="34"/>
      <c r="D138" s="34"/>
      <c r="E138" s="34"/>
      <c r="F138" s="34"/>
      <c r="G138" s="34"/>
      <c r="H138" s="34"/>
      <c r="I138" s="34"/>
      <c r="J138" s="34"/>
      <c r="K138" s="34"/>
      <c r="L138" s="34"/>
      <c r="M138" s="34"/>
      <c r="N138" s="34"/>
      <c r="O138" s="34"/>
    </row>
    <row r="139" spans="3:15">
      <c r="C139" s="34"/>
      <c r="D139" s="34"/>
      <c r="E139" s="34"/>
      <c r="F139" s="34"/>
      <c r="G139" s="34"/>
      <c r="H139" s="34"/>
      <c r="I139" s="34"/>
      <c r="J139" s="34"/>
      <c r="K139" s="34"/>
      <c r="L139" s="34"/>
      <c r="M139" s="34"/>
      <c r="N139" s="34"/>
      <c r="O139" s="34"/>
    </row>
    <row r="140" spans="3:15">
      <c r="C140" s="34"/>
      <c r="D140" s="34"/>
      <c r="E140" s="34"/>
      <c r="F140" s="34"/>
      <c r="G140" s="34"/>
      <c r="H140" s="34"/>
      <c r="I140" s="34"/>
      <c r="J140" s="34"/>
      <c r="K140" s="34"/>
      <c r="L140" s="34"/>
      <c r="M140" s="34"/>
      <c r="N140" s="34"/>
      <c r="O140" s="34"/>
    </row>
    <row r="141" spans="3:15">
      <c r="C141" s="34"/>
      <c r="D141" s="34"/>
      <c r="E141" s="34"/>
      <c r="F141" s="34"/>
      <c r="G141" s="34"/>
      <c r="H141" s="34"/>
      <c r="I141" s="34"/>
      <c r="J141" s="34"/>
      <c r="K141" s="34"/>
      <c r="L141" s="34"/>
      <c r="M141" s="34"/>
      <c r="N141" s="34"/>
      <c r="O141" s="34"/>
    </row>
    <row r="142" spans="3:15">
      <c r="C142" s="34"/>
      <c r="D142" s="34"/>
      <c r="E142" s="34"/>
      <c r="F142" s="34"/>
      <c r="G142" s="34"/>
      <c r="H142" s="34"/>
      <c r="I142" s="34"/>
      <c r="J142" s="34"/>
      <c r="K142" s="34"/>
      <c r="L142" s="34"/>
      <c r="M142" s="34"/>
      <c r="N142" s="34"/>
      <c r="O142" s="34"/>
    </row>
    <row r="143" spans="3:15">
      <c r="C143" s="34"/>
      <c r="D143" s="34"/>
      <c r="E143" s="34"/>
      <c r="F143" s="34"/>
      <c r="G143" s="34"/>
      <c r="H143" s="34"/>
      <c r="I143" s="34"/>
      <c r="J143" s="34"/>
      <c r="K143" s="34"/>
      <c r="L143" s="34"/>
      <c r="M143" s="34"/>
      <c r="N143" s="34"/>
      <c r="O143" s="34"/>
    </row>
    <row r="144" spans="3:15">
      <c r="C144" s="34"/>
      <c r="D144" s="34"/>
      <c r="E144" s="34"/>
      <c r="F144" s="34"/>
      <c r="G144" s="34"/>
      <c r="H144" s="34"/>
      <c r="I144" s="34"/>
      <c r="J144" s="34"/>
      <c r="K144" s="34"/>
      <c r="L144" s="34"/>
      <c r="M144" s="34"/>
      <c r="N144" s="34"/>
      <c r="O144" s="34"/>
    </row>
    <row r="145" spans="3:15">
      <c r="C145" s="34"/>
      <c r="D145" s="34"/>
      <c r="E145" s="34"/>
      <c r="F145" s="34"/>
      <c r="G145" s="34"/>
      <c r="H145" s="34"/>
      <c r="I145" s="34"/>
      <c r="J145" s="34"/>
      <c r="K145" s="34"/>
      <c r="L145" s="34"/>
      <c r="M145" s="34"/>
      <c r="N145" s="34"/>
      <c r="O145" s="34"/>
    </row>
    <row r="146" spans="3:15">
      <c r="C146" s="34"/>
      <c r="D146" s="34"/>
      <c r="E146" s="34"/>
      <c r="F146" s="34"/>
      <c r="G146" s="34"/>
      <c r="H146" s="34"/>
      <c r="I146" s="34"/>
      <c r="J146" s="34"/>
      <c r="K146" s="34"/>
      <c r="L146" s="34"/>
      <c r="M146" s="34"/>
      <c r="N146" s="34"/>
      <c r="O146" s="34"/>
    </row>
    <row r="147" spans="3:15">
      <c r="C147" s="34"/>
      <c r="D147" s="34"/>
      <c r="E147" s="34"/>
      <c r="F147" s="34"/>
      <c r="G147" s="34"/>
      <c r="H147" s="34"/>
      <c r="I147" s="34"/>
      <c r="J147" s="34"/>
      <c r="K147" s="34"/>
      <c r="L147" s="34"/>
      <c r="M147" s="34"/>
      <c r="N147" s="34"/>
      <c r="O147" s="34"/>
    </row>
    <row r="148" spans="3:15">
      <c r="C148" s="34"/>
      <c r="D148" s="34"/>
      <c r="E148" s="34"/>
      <c r="F148" s="34"/>
      <c r="G148" s="34"/>
      <c r="H148" s="34"/>
      <c r="I148" s="34"/>
      <c r="J148" s="34"/>
      <c r="K148" s="34"/>
      <c r="L148" s="34"/>
      <c r="M148" s="34"/>
      <c r="N148" s="34"/>
      <c r="O148" s="34"/>
    </row>
    <row r="149" spans="3:15">
      <c r="C149" s="34"/>
      <c r="D149" s="34"/>
      <c r="E149" s="34"/>
      <c r="F149" s="34"/>
      <c r="G149" s="34"/>
      <c r="H149" s="34"/>
      <c r="I149" s="34"/>
      <c r="J149" s="34"/>
      <c r="K149" s="34"/>
      <c r="L149" s="34"/>
      <c r="M149" s="34"/>
      <c r="N149" s="34"/>
      <c r="O149" s="34"/>
    </row>
    <row r="150" spans="3:15">
      <c r="C150" s="34"/>
      <c r="D150" s="34"/>
      <c r="E150" s="34"/>
      <c r="F150" s="34"/>
      <c r="G150" s="34"/>
      <c r="H150" s="34"/>
      <c r="I150" s="34"/>
      <c r="J150" s="34"/>
      <c r="K150" s="34"/>
      <c r="L150" s="34"/>
      <c r="M150" s="34"/>
      <c r="N150" s="34"/>
      <c r="O150" s="34"/>
    </row>
    <row r="151" spans="3:15">
      <c r="C151" s="34"/>
      <c r="D151" s="34"/>
      <c r="E151" s="34"/>
      <c r="F151" s="34"/>
      <c r="G151" s="34"/>
      <c r="H151" s="34"/>
      <c r="I151" s="34"/>
      <c r="J151" s="34"/>
      <c r="K151" s="34"/>
      <c r="L151" s="34"/>
      <c r="M151" s="34"/>
      <c r="N151" s="34"/>
      <c r="O151" s="34"/>
    </row>
    <row r="152" spans="3:15">
      <c r="C152" s="34"/>
      <c r="D152" s="34"/>
      <c r="E152" s="34"/>
      <c r="F152" s="34"/>
      <c r="G152" s="34"/>
      <c r="H152" s="34"/>
      <c r="I152" s="34"/>
      <c r="J152" s="34"/>
      <c r="K152" s="34"/>
      <c r="L152" s="34"/>
      <c r="M152" s="34"/>
      <c r="N152" s="34"/>
      <c r="O152" s="34"/>
    </row>
    <row r="153" spans="3:15">
      <c r="C153" s="34"/>
      <c r="D153" s="34"/>
      <c r="E153" s="34"/>
      <c r="F153" s="34"/>
      <c r="G153" s="34"/>
      <c r="H153" s="34"/>
      <c r="I153" s="34"/>
      <c r="J153" s="34"/>
      <c r="K153" s="34"/>
      <c r="L153" s="34"/>
      <c r="M153" s="34"/>
      <c r="N153" s="34"/>
      <c r="O153" s="3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179"/>
  <sheetViews>
    <sheetView topLeftCell="X16" zoomScaleNormal="100" workbookViewId="0">
      <selection activeCell="AH23" sqref="AH23:AO48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16.42578125" style="59" customWidth="1"/>
    <col min="18" max="18" width="22" style="59" customWidth="1"/>
    <col min="19" max="19" width="21" style="60" customWidth="1"/>
    <col min="20" max="20" width="28.140625" style="20" customWidth="1"/>
    <col min="21" max="21" width="26.42578125" style="59" customWidth="1"/>
    <col min="22" max="22" width="31.85546875" style="58" customWidth="1"/>
    <col min="23" max="23" width="48.140625" style="58" customWidth="1"/>
    <col min="24" max="24" width="26.140625" style="58" customWidth="1"/>
    <col min="25" max="25" width="22.85546875" style="5" customWidth="1"/>
    <col min="26" max="26" width="12.7109375" style="5" customWidth="1"/>
    <col min="27" max="27" width="16.140625" style="5" customWidth="1"/>
    <col min="28" max="16384" width="9" style="5"/>
  </cols>
  <sheetData>
    <row r="1" spans="1:35" ht="14.25" customHeight="1">
      <c r="A1" s="184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265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493" t="s">
        <v>519</v>
      </c>
      <c r="W1" s="494"/>
      <c r="X1" s="268"/>
      <c r="Y1" s="500"/>
      <c r="Z1" s="500"/>
      <c r="AA1" s="500"/>
      <c r="AB1" s="396"/>
      <c r="AC1" s="396"/>
      <c r="AD1" s="396"/>
      <c r="AE1" s="396"/>
    </row>
    <row r="2" spans="1:35" ht="13.5" thickBot="1">
      <c r="A2" s="184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263" t="s">
        <v>442</v>
      </c>
      <c r="W2" s="176" t="s">
        <v>441</v>
      </c>
      <c r="X2" s="268"/>
      <c r="Y2" s="396"/>
      <c r="Z2" s="396"/>
      <c r="AA2" s="396"/>
      <c r="AB2" s="396"/>
      <c r="AC2" s="396"/>
      <c r="AD2" s="396"/>
      <c r="AE2" s="396"/>
    </row>
    <row r="3" spans="1:35" ht="15" customHeight="1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495" t="s">
        <v>351</v>
      </c>
      <c r="W3" s="496"/>
      <c r="X3" s="269"/>
      <c r="Y3" s="396"/>
      <c r="Z3" s="359"/>
      <c r="AA3" s="359"/>
      <c r="AB3" s="359"/>
      <c r="AC3" s="359"/>
      <c r="AD3" s="394"/>
      <c r="AE3" s="396"/>
      <c r="AG3" s="362" t="s">
        <v>490</v>
      </c>
      <c r="AH3" s="362" t="s">
        <v>491</v>
      </c>
      <c r="AI3" s="363" t="s">
        <v>492</v>
      </c>
    </row>
    <row r="4" spans="1:35" ht="15" customHeight="1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477" t="s">
        <v>351</v>
      </c>
      <c r="W4" s="478"/>
      <c r="X4" s="269"/>
      <c r="Y4" s="396"/>
      <c r="Z4" s="359"/>
      <c r="AA4" s="359"/>
      <c r="AB4" s="359"/>
      <c r="AC4" s="359"/>
      <c r="AD4" s="394"/>
      <c r="AE4" s="396"/>
      <c r="AG4" s="61" t="s">
        <v>485</v>
      </c>
      <c r="AH4" s="61">
        <v>100</v>
      </c>
      <c r="AI4" s="62">
        <v>15</v>
      </c>
    </row>
    <row r="5" spans="1:35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481"/>
      <c r="W5" s="482"/>
      <c r="X5" s="269"/>
      <c r="Y5" s="396"/>
      <c r="Z5" s="359"/>
      <c r="AA5" s="359"/>
      <c r="AB5" s="359"/>
      <c r="AC5" s="359"/>
      <c r="AD5" s="394"/>
      <c r="AE5" s="396"/>
      <c r="AF5" s="351"/>
      <c r="AG5" s="364" t="s">
        <v>486</v>
      </c>
      <c r="AH5" s="364">
        <v>150</v>
      </c>
      <c r="AI5" s="60">
        <v>16.3689</v>
      </c>
    </row>
    <row r="6" spans="1:35" ht="14.25" customHeight="1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477" t="s">
        <v>351</v>
      </c>
      <c r="W6" s="478"/>
      <c r="X6" s="292"/>
      <c r="Y6" s="396"/>
      <c r="Z6" s="359"/>
      <c r="AA6" s="359"/>
      <c r="AB6" s="359"/>
      <c r="AC6" s="359"/>
      <c r="AD6" s="394"/>
      <c r="AE6" s="396"/>
      <c r="AF6" s="352"/>
      <c r="AG6" s="364" t="s">
        <v>487</v>
      </c>
      <c r="AH6" s="364">
        <v>200</v>
      </c>
      <c r="AI6" s="60">
        <v>16.746700000000001</v>
      </c>
    </row>
    <row r="7" spans="1:35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479"/>
      <c r="W7" s="480"/>
      <c r="X7" s="292"/>
      <c r="Y7" s="396"/>
      <c r="Z7" s="359"/>
      <c r="AA7" s="359"/>
      <c r="AB7" s="359"/>
      <c r="AC7" s="359"/>
      <c r="AD7" s="394"/>
      <c r="AE7" s="396"/>
      <c r="AF7" s="352"/>
      <c r="AG7" s="364" t="s">
        <v>488</v>
      </c>
      <c r="AH7" s="364">
        <v>250</v>
      </c>
      <c r="AI7" s="60">
        <v>16.886600000000001</v>
      </c>
    </row>
    <row r="8" spans="1:35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481"/>
      <c r="W8" s="482"/>
      <c r="X8" s="292"/>
      <c r="Y8" s="396"/>
      <c r="Z8" s="359"/>
      <c r="AA8" s="359"/>
      <c r="AB8" s="394"/>
      <c r="AC8" s="394"/>
      <c r="AD8" s="394"/>
      <c r="AE8" s="396"/>
      <c r="AF8" s="351"/>
      <c r="AG8" s="365" t="s">
        <v>489</v>
      </c>
      <c r="AH8" s="365">
        <v>400</v>
      </c>
      <c r="AI8" s="366">
        <v>17</v>
      </c>
    </row>
    <row r="9" spans="1:35" ht="14.25" customHeight="1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55"/>
      <c r="W9" s="118"/>
      <c r="X9" s="292"/>
      <c r="Y9" s="396"/>
      <c r="Z9" s="394"/>
      <c r="AA9" s="394"/>
      <c r="AB9" s="394"/>
      <c r="AC9" s="394"/>
      <c r="AD9" s="394"/>
      <c r="AE9" s="396"/>
      <c r="AF9" s="351"/>
      <c r="AG9" s="351"/>
      <c r="AH9" s="351"/>
    </row>
    <row r="10" spans="1:35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256" t="s">
        <v>351</v>
      </c>
      <c r="W10" s="142"/>
      <c r="X10" s="292"/>
      <c r="Y10" s="396"/>
      <c r="Z10" s="394"/>
      <c r="AA10" s="359"/>
      <c r="AB10" s="394"/>
      <c r="AC10" s="394"/>
      <c r="AD10" s="394"/>
      <c r="AE10" s="396"/>
      <c r="AF10" s="351"/>
      <c r="AG10" s="351"/>
      <c r="AH10" s="351"/>
    </row>
    <row r="11" spans="1:35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256"/>
      <c r="W11" s="142"/>
      <c r="X11" s="292"/>
      <c r="Y11" s="396"/>
      <c r="Z11" s="394"/>
      <c r="AA11" s="359"/>
      <c r="AB11" s="394"/>
      <c r="AC11" s="394"/>
      <c r="AD11" s="394"/>
      <c r="AE11" s="396"/>
      <c r="AF11" s="18"/>
      <c r="AG11" s="18"/>
      <c r="AH11" s="351"/>
    </row>
    <row r="12" spans="1:35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256"/>
      <c r="W12" s="142"/>
      <c r="Y12" s="396"/>
      <c r="Z12" s="394"/>
      <c r="AA12" s="394"/>
      <c r="AB12" s="394"/>
      <c r="AC12" s="394"/>
      <c r="AD12" s="394"/>
      <c r="AE12" s="396"/>
      <c r="AF12" s="351"/>
      <c r="AG12" s="351"/>
      <c r="AH12" s="351"/>
    </row>
    <row r="13" spans="1:35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257"/>
      <c r="W13" s="113"/>
      <c r="Y13" s="395"/>
      <c r="Z13" s="394"/>
      <c r="AA13" s="394"/>
      <c r="AB13" s="394"/>
      <c r="AC13" s="394"/>
      <c r="AD13" s="394"/>
      <c r="AE13" s="381"/>
      <c r="AF13" s="351"/>
      <c r="AG13" s="351"/>
      <c r="AH13" s="351"/>
    </row>
    <row r="14" spans="1:35" ht="13.5" thickBot="1">
      <c r="A14" s="264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266"/>
      <c r="W14" s="267"/>
      <c r="Y14" s="395"/>
      <c r="Z14" s="396"/>
      <c r="AA14" s="396"/>
      <c r="AB14" s="396"/>
      <c r="AC14" s="396"/>
      <c r="AD14" s="396"/>
      <c r="AE14" s="395"/>
      <c r="AF14" s="351"/>
      <c r="AG14" s="351"/>
      <c r="AH14" s="351"/>
    </row>
    <row r="15" spans="1:35" ht="14.25" customHeight="1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258"/>
      <c r="W15" s="118"/>
      <c r="Y15" s="395"/>
      <c r="Z15" s="396"/>
      <c r="AA15" s="396"/>
      <c r="AB15" s="396"/>
      <c r="AC15" s="396"/>
      <c r="AD15" s="396"/>
      <c r="AE15" s="395"/>
      <c r="AF15" s="351"/>
      <c r="AG15" s="351"/>
      <c r="AH15" s="351"/>
    </row>
    <row r="16" spans="1:35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259"/>
      <c r="W16" s="139"/>
      <c r="Y16" s="396"/>
      <c r="Z16" s="396"/>
      <c r="AA16" s="18"/>
      <c r="AB16" s="396"/>
      <c r="AC16" s="18"/>
      <c r="AD16" s="396"/>
      <c r="AE16" s="396"/>
      <c r="AF16" s="351"/>
      <c r="AG16" s="351"/>
      <c r="AH16" s="352"/>
      <c r="AI16" s="352"/>
    </row>
    <row r="17" spans="1:40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259"/>
      <c r="W17" s="139"/>
      <c r="AA17" s="18"/>
      <c r="AB17" s="351"/>
      <c r="AC17" s="351"/>
      <c r="AD17" s="351"/>
      <c r="AE17" s="351"/>
      <c r="AF17" s="351"/>
      <c r="AG17" s="351"/>
      <c r="AH17" s="351"/>
      <c r="AI17" s="351"/>
    </row>
    <row r="18" spans="1:40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260"/>
      <c r="W18" s="139"/>
      <c r="AA18" s="351"/>
      <c r="AB18" s="351"/>
      <c r="AC18" s="351"/>
      <c r="AD18" s="351"/>
      <c r="AE18" s="351"/>
      <c r="AF18" s="351"/>
      <c r="AG18" s="351"/>
      <c r="AH18" s="349"/>
      <c r="AI18" s="349"/>
    </row>
    <row r="19" spans="1:40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260"/>
      <c r="W19" s="139"/>
      <c r="Y19" s="497" t="s">
        <v>542</v>
      </c>
      <c r="Z19" s="498"/>
      <c r="AA19" s="498"/>
      <c r="AB19" s="498"/>
      <c r="AC19" s="498"/>
      <c r="AD19" s="499"/>
      <c r="AE19" s="155"/>
      <c r="AF19" s="351"/>
      <c r="AG19" s="351"/>
      <c r="AH19" s="351"/>
      <c r="AI19" s="351"/>
    </row>
    <row r="20" spans="1:40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261"/>
      <c r="W20" s="113"/>
      <c r="Y20" s="355" t="s">
        <v>484</v>
      </c>
      <c r="Z20" s="357" t="s">
        <v>485</v>
      </c>
      <c r="AA20" s="357" t="s">
        <v>486</v>
      </c>
      <c r="AB20" s="357" t="s">
        <v>487</v>
      </c>
      <c r="AC20" s="357" t="s">
        <v>488</v>
      </c>
      <c r="AD20" s="358" t="s">
        <v>525</v>
      </c>
      <c r="AE20" s="270" t="s">
        <v>416</v>
      </c>
      <c r="AF20" s="351"/>
      <c r="AG20" s="351"/>
      <c r="AH20" s="351"/>
      <c r="AI20" s="351"/>
    </row>
    <row r="21" spans="1:40" ht="14.25" customHeight="1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477"/>
      <c r="W21" s="478"/>
      <c r="Y21" s="60" t="s">
        <v>84</v>
      </c>
      <c r="Z21" s="359">
        <v>0</v>
      </c>
      <c r="AA21" s="359">
        <v>0</v>
      </c>
      <c r="AB21" s="360">
        <v>0</v>
      </c>
      <c r="AC21" s="360">
        <v>0</v>
      </c>
      <c r="AD21" s="382">
        <v>0</v>
      </c>
      <c r="AE21" s="361">
        <f>SUM(Z21:AD21)</f>
        <v>0</v>
      </c>
      <c r="AF21" s="351"/>
      <c r="AG21" s="351"/>
      <c r="AH21" s="351"/>
      <c r="AI21" s="351"/>
    </row>
    <row r="22" spans="1:40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479"/>
      <c r="W22" s="480"/>
      <c r="Y22" s="60" t="s">
        <v>85</v>
      </c>
      <c r="Z22" s="359">
        <v>2</v>
      </c>
      <c r="AA22" s="359">
        <v>0</v>
      </c>
      <c r="AB22" s="359">
        <v>0</v>
      </c>
      <c r="AC22" s="359">
        <v>0</v>
      </c>
      <c r="AD22" s="382">
        <v>0</v>
      </c>
      <c r="AE22" s="60">
        <f t="shared" ref="AE22:AE32" si="17">SUM(Z22:AD22)</f>
        <v>2</v>
      </c>
      <c r="AF22" s="351"/>
      <c r="AG22" s="351"/>
      <c r="AH22" s="351"/>
      <c r="AI22" s="351"/>
    </row>
    <row r="23" spans="1:40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479"/>
      <c r="W23" s="480"/>
      <c r="Y23" s="60" t="s">
        <v>86</v>
      </c>
      <c r="Z23" s="359">
        <v>1</v>
      </c>
      <c r="AA23" s="359">
        <v>0</v>
      </c>
      <c r="AB23" s="359">
        <v>0</v>
      </c>
      <c r="AC23" s="359">
        <v>0</v>
      </c>
      <c r="AD23" s="382">
        <v>0</v>
      </c>
      <c r="AE23" s="60">
        <f t="shared" si="17"/>
        <v>1</v>
      </c>
      <c r="AF23" s="351"/>
      <c r="AG23" s="351"/>
      <c r="AH23" s="351"/>
      <c r="AI23" s="351"/>
    </row>
    <row r="24" spans="1:40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481"/>
      <c r="W24" s="482"/>
      <c r="Y24" s="60" t="s">
        <v>87</v>
      </c>
      <c r="Z24" s="359">
        <v>1</v>
      </c>
      <c r="AA24" s="359">
        <v>0</v>
      </c>
      <c r="AB24" s="359">
        <v>2</v>
      </c>
      <c r="AC24" s="359">
        <v>0</v>
      </c>
      <c r="AD24" s="382">
        <v>0</v>
      </c>
      <c r="AE24" s="60">
        <f t="shared" si="17"/>
        <v>3</v>
      </c>
      <c r="AF24" s="351"/>
      <c r="AG24" s="351"/>
      <c r="AH24" s="409" t="s">
        <v>490</v>
      </c>
      <c r="AI24" s="409" t="s">
        <v>491</v>
      </c>
      <c r="AJ24" s="363" t="s">
        <v>492</v>
      </c>
    </row>
    <row r="25" spans="1:40" ht="15" customHeight="1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266"/>
      <c r="W25" s="267"/>
      <c r="Y25" s="60" t="s">
        <v>88</v>
      </c>
      <c r="Z25" s="359">
        <v>3</v>
      </c>
      <c r="AA25" s="359">
        <v>0</v>
      </c>
      <c r="AB25" s="359">
        <v>2</v>
      </c>
      <c r="AC25" s="359">
        <v>0</v>
      </c>
      <c r="AD25" s="382">
        <v>0</v>
      </c>
      <c r="AE25" s="60">
        <f t="shared" si="17"/>
        <v>5</v>
      </c>
      <c r="AF25" s="351"/>
      <c r="AG25" s="351"/>
      <c r="AH25" s="61" t="s">
        <v>485</v>
      </c>
      <c r="AI25" s="61">
        <v>100</v>
      </c>
      <c r="AJ25" s="420">
        <v>15</v>
      </c>
    </row>
    <row r="26" spans="1:40" ht="13.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8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9">F26</f>
        <v>664.51419999999996</v>
      </c>
      <c r="Q26" s="80">
        <v>0.75</v>
      </c>
      <c r="R26" s="98">
        <f t="shared" si="11"/>
        <v>498.38564999999994</v>
      </c>
      <c r="S26" s="80">
        <f t="shared" ref="S26:S56" si="20">O26*I26</f>
        <v>450</v>
      </c>
      <c r="T26" s="79">
        <f t="shared" ref="T26:T56" si="21">S26-R26</f>
        <v>-48.385649999999941</v>
      </c>
      <c r="U26" s="199" t="str">
        <f t="shared" ref="U26:U56" si="22">IF(T26&gt;=0,"No","Yes")</f>
        <v>Yes</v>
      </c>
      <c r="V26" s="255" t="s">
        <v>463</v>
      </c>
      <c r="W26" s="118">
        <v>38</v>
      </c>
      <c r="Y26" s="60" t="s">
        <v>89</v>
      </c>
      <c r="Z26" s="359">
        <v>0</v>
      </c>
      <c r="AA26" s="359">
        <v>0</v>
      </c>
      <c r="AB26" s="359">
        <v>0</v>
      </c>
      <c r="AC26" s="359">
        <v>0</v>
      </c>
      <c r="AD26" s="382">
        <v>0</v>
      </c>
      <c r="AE26" s="60">
        <f t="shared" si="17"/>
        <v>0</v>
      </c>
      <c r="AF26" s="351"/>
      <c r="AG26" s="351"/>
      <c r="AH26" s="364" t="s">
        <v>486</v>
      </c>
      <c r="AI26" s="364">
        <v>150</v>
      </c>
      <c r="AJ26" s="421">
        <v>16.3689</v>
      </c>
    </row>
    <row r="27" spans="1:40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8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9"/>
        <v>424.66829999999999</v>
      </c>
      <c r="Q27" s="114">
        <v>0.75</v>
      </c>
      <c r="R27" s="89">
        <f t="shared" si="11"/>
        <v>318.50122499999998</v>
      </c>
      <c r="S27" s="114">
        <f t="shared" si="20"/>
        <v>450</v>
      </c>
      <c r="T27" s="288">
        <f t="shared" si="21"/>
        <v>131.49877500000002</v>
      </c>
      <c r="U27" s="187" t="str">
        <f t="shared" si="22"/>
        <v>No</v>
      </c>
      <c r="V27" s="262" t="s">
        <v>394</v>
      </c>
      <c r="W27" s="145">
        <v>36</v>
      </c>
      <c r="Y27" s="60" t="s">
        <v>90</v>
      </c>
      <c r="Z27" s="359">
        <v>1</v>
      </c>
      <c r="AA27" s="359">
        <v>0</v>
      </c>
      <c r="AB27" s="359">
        <v>0</v>
      </c>
      <c r="AC27" s="359">
        <v>0</v>
      </c>
      <c r="AD27" s="382">
        <v>0</v>
      </c>
      <c r="AE27" s="60">
        <f t="shared" si="17"/>
        <v>1</v>
      </c>
      <c r="AF27" s="351"/>
      <c r="AG27" s="351"/>
      <c r="AH27" s="364" t="s">
        <v>487</v>
      </c>
      <c r="AI27" s="364">
        <v>200</v>
      </c>
      <c r="AJ27" s="421">
        <v>16.746700000000001</v>
      </c>
    </row>
    <row r="28" spans="1:40" ht="13.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8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9"/>
        <v>414.50749999999999</v>
      </c>
      <c r="Q28" s="90">
        <v>0.75</v>
      </c>
      <c r="R28" s="98">
        <f t="shared" si="11"/>
        <v>310.88062500000001</v>
      </c>
      <c r="S28" s="90">
        <f t="shared" si="20"/>
        <v>300</v>
      </c>
      <c r="T28" s="286">
        <f t="shared" si="21"/>
        <v>-10.880625000000009</v>
      </c>
      <c r="U28" s="187" t="str">
        <f t="shared" si="22"/>
        <v>Yes</v>
      </c>
      <c r="V28" s="255" t="s">
        <v>463</v>
      </c>
      <c r="W28" s="118">
        <v>25</v>
      </c>
      <c r="Y28" s="60" t="s">
        <v>91</v>
      </c>
      <c r="Z28" s="359">
        <v>3</v>
      </c>
      <c r="AA28" s="359">
        <v>2</v>
      </c>
      <c r="AB28" s="382">
        <v>0</v>
      </c>
      <c r="AC28" s="382">
        <v>0</v>
      </c>
      <c r="AD28" s="382">
        <v>0</v>
      </c>
      <c r="AE28" s="60">
        <f t="shared" si="17"/>
        <v>5</v>
      </c>
      <c r="AF28" s="351"/>
      <c r="AG28" s="351"/>
      <c r="AH28" s="364" t="s">
        <v>488</v>
      </c>
      <c r="AI28" s="364">
        <v>250</v>
      </c>
      <c r="AJ28" s="421">
        <v>16.886600000000001</v>
      </c>
    </row>
    <row r="29" spans="1:40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8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9"/>
        <v>185.4342</v>
      </c>
      <c r="Q29" s="90">
        <v>0.75</v>
      </c>
      <c r="R29" s="89">
        <f t="shared" si="11"/>
        <v>139.07565</v>
      </c>
      <c r="S29" s="90">
        <f t="shared" si="20"/>
        <v>300</v>
      </c>
      <c r="T29" s="286">
        <f t="shared" si="21"/>
        <v>160.92435</v>
      </c>
      <c r="U29" s="187" t="str">
        <f t="shared" si="22"/>
        <v>No</v>
      </c>
      <c r="V29" s="260" t="s">
        <v>10</v>
      </c>
      <c r="W29" s="139">
        <v>90</v>
      </c>
      <c r="Y29" s="60" t="s">
        <v>92</v>
      </c>
      <c r="Z29" s="382">
        <v>0</v>
      </c>
      <c r="AA29" s="382">
        <v>1</v>
      </c>
      <c r="AB29" s="382">
        <v>0</v>
      </c>
      <c r="AC29" s="382">
        <v>0</v>
      </c>
      <c r="AD29" s="382">
        <v>0</v>
      </c>
      <c r="AE29" s="60">
        <f t="shared" si="17"/>
        <v>1</v>
      </c>
      <c r="AF29" s="351"/>
      <c r="AG29" s="351"/>
      <c r="AH29" s="365" t="s">
        <v>525</v>
      </c>
      <c r="AI29" s="365">
        <v>300</v>
      </c>
      <c r="AJ29" s="422">
        <v>17</v>
      </c>
    </row>
    <row r="30" spans="1:40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8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9"/>
        <v>213.84829999999999</v>
      </c>
      <c r="Q30" s="90">
        <v>0.75</v>
      </c>
      <c r="R30" s="89">
        <f t="shared" si="11"/>
        <v>160.386225</v>
      </c>
      <c r="S30" s="90">
        <f t="shared" si="20"/>
        <v>200</v>
      </c>
      <c r="T30" s="286">
        <f t="shared" si="21"/>
        <v>39.613775000000004</v>
      </c>
      <c r="U30" s="199" t="str">
        <f t="shared" si="22"/>
        <v>No</v>
      </c>
      <c r="V30" s="256" t="s">
        <v>13</v>
      </c>
      <c r="W30" s="142">
        <v>54</v>
      </c>
      <c r="Y30" s="60" t="s">
        <v>93</v>
      </c>
      <c r="Z30" s="382">
        <v>2</v>
      </c>
      <c r="AA30" s="359">
        <v>1</v>
      </c>
      <c r="AB30" s="382">
        <v>0</v>
      </c>
      <c r="AC30" s="382">
        <v>0</v>
      </c>
      <c r="AD30" s="382">
        <v>0</v>
      </c>
      <c r="AE30" s="60">
        <f t="shared" si="17"/>
        <v>3</v>
      </c>
      <c r="AF30" s="351"/>
      <c r="AG30" s="351"/>
    </row>
    <row r="31" spans="1:40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8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9"/>
        <v>320.7817</v>
      </c>
      <c r="Q31" s="90">
        <v>0.75</v>
      </c>
      <c r="R31" s="89">
        <f t="shared" si="11"/>
        <v>240.586275</v>
      </c>
      <c r="S31" s="90">
        <f t="shared" si="20"/>
        <v>300</v>
      </c>
      <c r="T31" s="286">
        <f t="shared" si="21"/>
        <v>59.413724999999999</v>
      </c>
      <c r="U31" s="199" t="str">
        <f t="shared" si="22"/>
        <v>No</v>
      </c>
      <c r="V31" s="260" t="s">
        <v>499</v>
      </c>
      <c r="W31" s="139">
        <v>400</v>
      </c>
      <c r="Y31" s="60" t="s">
        <v>94</v>
      </c>
      <c r="Z31" s="382">
        <v>3</v>
      </c>
      <c r="AA31" s="359">
        <v>1</v>
      </c>
      <c r="AB31" s="382">
        <v>0</v>
      </c>
      <c r="AC31" s="382">
        <v>0</v>
      </c>
      <c r="AD31" s="382">
        <v>0</v>
      </c>
      <c r="AE31" s="60">
        <f t="shared" si="17"/>
        <v>4</v>
      </c>
    </row>
    <row r="32" spans="1:40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8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9"/>
        <v>277.57420000000002</v>
      </c>
      <c r="Q32" s="90">
        <v>0.75</v>
      </c>
      <c r="R32" s="89">
        <f t="shared" si="11"/>
        <v>208.18065000000001</v>
      </c>
      <c r="S32" s="90">
        <f t="shared" si="20"/>
        <v>150</v>
      </c>
      <c r="T32" s="286">
        <f t="shared" si="21"/>
        <v>-58.180650000000014</v>
      </c>
      <c r="U32" s="187" t="str">
        <f t="shared" si="22"/>
        <v>Yes</v>
      </c>
      <c r="V32" s="257" t="s">
        <v>395</v>
      </c>
      <c r="W32" s="113">
        <v>23</v>
      </c>
      <c r="X32" s="269"/>
      <c r="Y32" s="366" t="s">
        <v>482</v>
      </c>
      <c r="Z32" s="367">
        <v>0</v>
      </c>
      <c r="AA32" s="367">
        <v>0</v>
      </c>
      <c r="AB32" s="367">
        <v>0</v>
      </c>
      <c r="AC32" s="367">
        <v>0</v>
      </c>
      <c r="AD32" s="367">
        <v>0</v>
      </c>
      <c r="AE32" s="366">
        <f t="shared" si="17"/>
        <v>0</v>
      </c>
      <c r="AH32" s="497" t="s">
        <v>536</v>
      </c>
      <c r="AI32" s="498"/>
      <c r="AJ32" s="498"/>
      <c r="AK32" s="498"/>
      <c r="AL32" s="498"/>
      <c r="AM32" s="499"/>
      <c r="AN32" s="155"/>
    </row>
    <row r="33" spans="1:50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8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9"/>
        <v>593.39</v>
      </c>
      <c r="Q33" s="80">
        <v>0.75</v>
      </c>
      <c r="R33" s="98">
        <f t="shared" si="11"/>
        <v>445.04250000000002</v>
      </c>
      <c r="S33" s="80">
        <f t="shared" si="20"/>
        <v>600</v>
      </c>
      <c r="T33" s="79">
        <f t="shared" si="21"/>
        <v>154.95749999999998</v>
      </c>
      <c r="U33" s="187" t="str">
        <f t="shared" si="22"/>
        <v>No</v>
      </c>
      <c r="V33" s="485"/>
      <c r="W33" s="488"/>
      <c r="X33" s="269"/>
      <c r="Y33" s="270" t="s">
        <v>493</v>
      </c>
      <c r="Z33" s="368">
        <f t="shared" ref="Z33:AE33" si="23">SUM(Z21:Z32)</f>
        <v>16</v>
      </c>
      <c r="AA33" s="368">
        <f t="shared" si="23"/>
        <v>5</v>
      </c>
      <c r="AB33" s="368">
        <f t="shared" si="23"/>
        <v>4</v>
      </c>
      <c r="AC33" s="368">
        <f t="shared" si="23"/>
        <v>0</v>
      </c>
      <c r="AD33" s="368">
        <f t="shared" si="23"/>
        <v>0</v>
      </c>
      <c r="AE33" s="369">
        <f t="shared" si="23"/>
        <v>25</v>
      </c>
      <c r="AH33" s="355" t="s">
        <v>484</v>
      </c>
      <c r="AI33" s="357" t="s">
        <v>485</v>
      </c>
      <c r="AJ33" s="357" t="s">
        <v>486</v>
      </c>
      <c r="AK33" s="357" t="s">
        <v>487</v>
      </c>
      <c r="AL33" s="357" t="s">
        <v>488</v>
      </c>
      <c r="AM33" s="358" t="s">
        <v>525</v>
      </c>
      <c r="AN33" s="270" t="s">
        <v>416</v>
      </c>
    </row>
    <row r="34" spans="1:50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8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9"/>
        <v>185.4342</v>
      </c>
      <c r="Q34" s="90">
        <v>0.75</v>
      </c>
      <c r="R34" s="89">
        <f t="shared" si="11"/>
        <v>139.07565</v>
      </c>
      <c r="S34" s="90">
        <f t="shared" si="20"/>
        <v>300</v>
      </c>
      <c r="T34" s="286">
        <f t="shared" si="21"/>
        <v>160.92435</v>
      </c>
      <c r="U34" s="187" t="str">
        <f t="shared" si="22"/>
        <v>No</v>
      </c>
      <c r="V34" s="486"/>
      <c r="W34" s="489"/>
      <c r="X34" s="269"/>
      <c r="Y34" s="270" t="s">
        <v>492</v>
      </c>
      <c r="Z34" s="370">
        <f>PRODUCT(Z33,AI4)</f>
        <v>240</v>
      </c>
      <c r="AA34" s="418">
        <f>PRODUCT(AA33*AI5)</f>
        <v>81.844499999999996</v>
      </c>
      <c r="AB34" s="418">
        <f>PRODUCT(AB33*AI6)</f>
        <v>66.986800000000002</v>
      </c>
      <c r="AC34" s="418">
        <f>PRODUCT(AC33*AI7)</f>
        <v>0</v>
      </c>
      <c r="AD34" s="418">
        <f>PRODUCT(AD33*AI8)</f>
        <v>0</v>
      </c>
      <c r="AE34" s="419">
        <f>SUM(Z34:AD34)</f>
        <v>388.8313</v>
      </c>
      <c r="AH34" s="60" t="s">
        <v>84</v>
      </c>
      <c r="AI34" s="408">
        <f>Z21+Z41</f>
        <v>0</v>
      </c>
      <c r="AJ34" s="408">
        <f t="shared" ref="AJ34:AM45" si="24">AA21+AA41</f>
        <v>4</v>
      </c>
      <c r="AK34" s="408">
        <f t="shared" si="24"/>
        <v>2</v>
      </c>
      <c r="AL34" s="408">
        <f t="shared" si="24"/>
        <v>1</v>
      </c>
      <c r="AM34" s="408">
        <f t="shared" si="24"/>
        <v>0</v>
      </c>
      <c r="AN34" s="361">
        <f>SUM(AI34:AM34)</f>
        <v>7</v>
      </c>
    </row>
    <row r="35" spans="1:50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8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9"/>
        <v>491.47570000000002</v>
      </c>
      <c r="Q35" s="114">
        <v>0.75</v>
      </c>
      <c r="R35" s="89">
        <f t="shared" si="11"/>
        <v>368.60677500000003</v>
      </c>
      <c r="S35" s="114">
        <f t="shared" si="20"/>
        <v>450</v>
      </c>
      <c r="T35" s="288">
        <f t="shared" si="21"/>
        <v>81.393224999999973</v>
      </c>
      <c r="U35" s="187" t="str">
        <f t="shared" si="22"/>
        <v>No</v>
      </c>
      <c r="V35" s="487"/>
      <c r="W35" s="490"/>
      <c r="X35" s="269"/>
      <c r="Y35" s="270" t="s">
        <v>491</v>
      </c>
      <c r="Z35" s="370">
        <f>Z33*AH4</f>
        <v>1600</v>
      </c>
      <c r="AA35" s="370">
        <f>AA33*AH5</f>
        <v>750</v>
      </c>
      <c r="AB35" s="370">
        <f>AB33*AH6</f>
        <v>800</v>
      </c>
      <c r="AC35" s="370">
        <f>AC33*AH7</f>
        <v>0</v>
      </c>
      <c r="AD35" s="370">
        <f>AD33*AH8</f>
        <v>0</v>
      </c>
      <c r="AE35" s="270">
        <f>SUM(Z35:AD35)</f>
        <v>3150</v>
      </c>
      <c r="AH35" s="60" t="s">
        <v>85</v>
      </c>
      <c r="AI35" s="408">
        <f t="shared" ref="AI35:AI45" si="25">Z22+Z42</f>
        <v>2</v>
      </c>
      <c r="AJ35" s="408">
        <f t="shared" si="24"/>
        <v>7</v>
      </c>
      <c r="AK35" s="408">
        <f t="shared" si="24"/>
        <v>3</v>
      </c>
      <c r="AL35" s="408">
        <f t="shared" si="24"/>
        <v>0</v>
      </c>
      <c r="AM35" s="408">
        <f t="shared" si="24"/>
        <v>2</v>
      </c>
      <c r="AN35" s="60">
        <f t="shared" ref="AN35:AN45" si="26">SUM(AI35:AM35)</f>
        <v>14</v>
      </c>
    </row>
    <row r="36" spans="1:50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8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9"/>
        <v>213.84829999999999</v>
      </c>
      <c r="Q36" s="90">
        <v>0.75</v>
      </c>
      <c r="R36" s="98">
        <f t="shared" si="11"/>
        <v>160.386225</v>
      </c>
      <c r="S36" s="90">
        <f t="shared" si="20"/>
        <v>300</v>
      </c>
      <c r="T36" s="286">
        <f t="shared" si="21"/>
        <v>139.613775</v>
      </c>
      <c r="U36" s="187" t="str">
        <f t="shared" si="22"/>
        <v>No</v>
      </c>
      <c r="V36" s="485"/>
      <c r="W36" s="488"/>
      <c r="X36" s="269"/>
      <c r="AH36" s="60" t="s">
        <v>86</v>
      </c>
      <c r="AI36" s="408">
        <f t="shared" si="25"/>
        <v>1</v>
      </c>
      <c r="AJ36" s="408">
        <f t="shared" si="24"/>
        <v>0</v>
      </c>
      <c r="AK36" s="408">
        <f t="shared" si="24"/>
        <v>3</v>
      </c>
      <c r="AL36" s="408">
        <f t="shared" si="24"/>
        <v>0</v>
      </c>
      <c r="AM36" s="408">
        <f t="shared" si="24"/>
        <v>1</v>
      </c>
      <c r="AN36" s="60">
        <f t="shared" si="26"/>
        <v>5</v>
      </c>
    </row>
    <row r="37" spans="1:50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8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9"/>
        <v>1151.328</v>
      </c>
      <c r="Q37" s="90">
        <v>0.75</v>
      </c>
      <c r="R37" s="69">
        <f t="shared" si="11"/>
        <v>863.49599999999998</v>
      </c>
      <c r="S37" s="90">
        <f t="shared" si="20"/>
        <v>1200</v>
      </c>
      <c r="T37" s="286">
        <f t="shared" si="21"/>
        <v>336.50400000000002</v>
      </c>
      <c r="U37" s="187" t="str">
        <f t="shared" si="22"/>
        <v>No</v>
      </c>
      <c r="V37" s="487"/>
      <c r="W37" s="490"/>
      <c r="X37" s="269"/>
      <c r="AH37" s="60" t="s">
        <v>87</v>
      </c>
      <c r="AI37" s="408">
        <f t="shared" si="25"/>
        <v>1</v>
      </c>
      <c r="AJ37" s="408">
        <f t="shared" si="24"/>
        <v>10</v>
      </c>
      <c r="AK37" s="408">
        <f t="shared" si="24"/>
        <v>17</v>
      </c>
      <c r="AL37" s="408">
        <f t="shared" si="24"/>
        <v>8</v>
      </c>
      <c r="AM37" s="408">
        <f t="shared" si="24"/>
        <v>0</v>
      </c>
      <c r="AN37" s="60">
        <f t="shared" si="26"/>
        <v>36</v>
      </c>
    </row>
    <row r="38" spans="1:50" ht="13.5" thickBot="1">
      <c r="A38" s="264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8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9"/>
        <v>779.52329999999995</v>
      </c>
      <c r="Q38" s="167">
        <v>0.75</v>
      </c>
      <c r="R38" s="89">
        <f t="shared" si="11"/>
        <v>584.64247499999999</v>
      </c>
      <c r="S38" s="167">
        <f t="shared" si="20"/>
        <v>450</v>
      </c>
      <c r="T38" s="287">
        <f t="shared" si="21"/>
        <v>-134.64247499999999</v>
      </c>
      <c r="U38" s="199" t="str">
        <f t="shared" si="22"/>
        <v>Yes</v>
      </c>
      <c r="V38" s="260" t="s">
        <v>500</v>
      </c>
      <c r="W38" s="124" t="s">
        <v>501</v>
      </c>
      <c r="X38" s="18"/>
      <c r="AH38" s="60" t="s">
        <v>88</v>
      </c>
      <c r="AI38" s="408">
        <f t="shared" si="25"/>
        <v>3</v>
      </c>
      <c r="AJ38" s="408">
        <f t="shared" si="24"/>
        <v>0</v>
      </c>
      <c r="AK38" s="408">
        <f t="shared" si="24"/>
        <v>10</v>
      </c>
      <c r="AL38" s="408">
        <f t="shared" si="24"/>
        <v>1</v>
      </c>
      <c r="AM38" s="408">
        <f t="shared" si="24"/>
        <v>0</v>
      </c>
      <c r="AN38" s="60">
        <f t="shared" si="26"/>
        <v>14</v>
      </c>
    </row>
    <row r="39" spans="1:50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8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9"/>
        <v>886.15449999999998</v>
      </c>
      <c r="Q39" s="90">
        <v>0.75</v>
      </c>
      <c r="R39" s="98">
        <f t="shared" si="11"/>
        <v>664.61587499999996</v>
      </c>
      <c r="S39" s="90">
        <f t="shared" si="20"/>
        <v>600</v>
      </c>
      <c r="T39" s="286">
        <f t="shared" si="21"/>
        <v>-64.61587499999996</v>
      </c>
      <c r="U39" s="199" t="str">
        <f t="shared" si="22"/>
        <v>Yes</v>
      </c>
      <c r="V39" s="255" t="s">
        <v>502</v>
      </c>
      <c r="W39" s="414" t="s">
        <v>503</v>
      </c>
      <c r="X39" s="18"/>
      <c r="Y39" s="497" t="s">
        <v>535</v>
      </c>
      <c r="Z39" s="498"/>
      <c r="AA39" s="498"/>
      <c r="AB39" s="498"/>
      <c r="AC39" s="498"/>
      <c r="AD39" s="499"/>
      <c r="AE39" s="155"/>
      <c r="AH39" s="60" t="s">
        <v>89</v>
      </c>
      <c r="AI39" s="408">
        <f t="shared" si="25"/>
        <v>0</v>
      </c>
      <c r="AJ39" s="408">
        <f t="shared" si="24"/>
        <v>7</v>
      </c>
      <c r="AK39" s="408">
        <f t="shared" si="24"/>
        <v>1</v>
      </c>
      <c r="AL39" s="408">
        <f t="shared" si="24"/>
        <v>1</v>
      </c>
      <c r="AM39" s="408">
        <f t="shared" si="24"/>
        <v>0</v>
      </c>
      <c r="AN39" s="60">
        <f t="shared" si="26"/>
        <v>9</v>
      </c>
    </row>
    <row r="40" spans="1:50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8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9"/>
        <v>233.80699999999999</v>
      </c>
      <c r="Q40" s="90">
        <v>0.75</v>
      </c>
      <c r="R40" s="89">
        <f t="shared" si="11"/>
        <v>175.35524999999998</v>
      </c>
      <c r="S40" s="90">
        <f t="shared" si="20"/>
        <v>300</v>
      </c>
      <c r="T40" s="286">
        <f t="shared" si="21"/>
        <v>124.64475000000002</v>
      </c>
      <c r="U40" s="187" t="str">
        <f t="shared" si="22"/>
        <v>No</v>
      </c>
      <c r="V40" s="257" t="s">
        <v>504</v>
      </c>
      <c r="W40" s="415" t="s">
        <v>505</v>
      </c>
      <c r="X40" s="413"/>
      <c r="Y40" s="355" t="s">
        <v>484</v>
      </c>
      <c r="Z40" s="357" t="s">
        <v>485</v>
      </c>
      <c r="AA40" s="357" t="s">
        <v>486</v>
      </c>
      <c r="AB40" s="357" t="s">
        <v>487</v>
      </c>
      <c r="AC40" s="357" t="s">
        <v>488</v>
      </c>
      <c r="AD40" s="358" t="s">
        <v>525</v>
      </c>
      <c r="AE40" s="270" t="s">
        <v>416</v>
      </c>
      <c r="AH40" s="60" t="s">
        <v>90</v>
      </c>
      <c r="AI40" s="408">
        <f t="shared" si="25"/>
        <v>1</v>
      </c>
      <c r="AJ40" s="408">
        <f t="shared" si="24"/>
        <v>0</v>
      </c>
      <c r="AK40" s="408">
        <f t="shared" si="24"/>
        <v>1</v>
      </c>
      <c r="AL40" s="408">
        <f t="shared" si="24"/>
        <v>1</v>
      </c>
      <c r="AM40" s="408">
        <f t="shared" si="24"/>
        <v>1</v>
      </c>
      <c r="AN40" s="60">
        <f t="shared" si="26"/>
        <v>4</v>
      </c>
    </row>
    <row r="41" spans="1:50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8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9"/>
        <v>416.14780000000002</v>
      </c>
      <c r="Q41" s="80">
        <v>0.75</v>
      </c>
      <c r="R41" s="98">
        <f t="shared" si="11"/>
        <v>312.11085000000003</v>
      </c>
      <c r="S41" s="80">
        <f t="shared" si="20"/>
        <v>450</v>
      </c>
      <c r="T41" s="79">
        <f t="shared" si="21"/>
        <v>137.88914999999997</v>
      </c>
      <c r="U41" s="187" t="str">
        <f t="shared" si="22"/>
        <v>No</v>
      </c>
      <c r="X41" s="213"/>
      <c r="Y41" s="60" t="s">
        <v>84</v>
      </c>
      <c r="Z41" s="408">
        <v>0</v>
      </c>
      <c r="AA41" s="408">
        <f>4</f>
        <v>4</v>
      </c>
      <c r="AB41" s="416">
        <f>1+1</f>
        <v>2</v>
      </c>
      <c r="AC41" s="416">
        <f>1</f>
        <v>1</v>
      </c>
      <c r="AD41" s="408">
        <v>0</v>
      </c>
      <c r="AE41" s="361">
        <f>SUM(Z41:AD41)</f>
        <v>7</v>
      </c>
      <c r="AF41" s="410"/>
      <c r="AG41" s="410"/>
      <c r="AH41" s="60" t="s">
        <v>91</v>
      </c>
      <c r="AI41" s="408">
        <f t="shared" si="25"/>
        <v>3</v>
      </c>
      <c r="AJ41" s="408">
        <f t="shared" si="24"/>
        <v>12</v>
      </c>
      <c r="AK41" s="408">
        <f t="shared" si="24"/>
        <v>2</v>
      </c>
      <c r="AL41" s="408">
        <f t="shared" si="24"/>
        <v>1</v>
      </c>
      <c r="AM41" s="408">
        <f t="shared" si="24"/>
        <v>0</v>
      </c>
      <c r="AN41" s="60">
        <f t="shared" si="26"/>
        <v>18</v>
      </c>
      <c r="AP41" s="351"/>
      <c r="AT41" s="476"/>
      <c r="AU41" s="476"/>
      <c r="AV41" s="292"/>
      <c r="AW41" s="351"/>
      <c r="AX41" s="351"/>
    </row>
    <row r="42" spans="1:50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8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9"/>
        <v>424.66829999999999</v>
      </c>
      <c r="Q42" s="90">
        <v>0.75</v>
      </c>
      <c r="R42" s="89">
        <f t="shared" si="11"/>
        <v>318.50122499999998</v>
      </c>
      <c r="S42" s="90">
        <f t="shared" si="20"/>
        <v>450</v>
      </c>
      <c r="T42" s="286">
        <f t="shared" si="21"/>
        <v>131.49877500000002</v>
      </c>
      <c r="U42" s="187" t="str">
        <f t="shared" si="22"/>
        <v>No</v>
      </c>
      <c r="Y42" s="60" t="s">
        <v>85</v>
      </c>
      <c r="Z42" s="408">
        <v>0</v>
      </c>
      <c r="AA42" s="408">
        <f>3+2+2</f>
        <v>7</v>
      </c>
      <c r="AB42" s="408">
        <f>2+1</f>
        <v>3</v>
      </c>
      <c r="AC42" s="408">
        <v>0</v>
      </c>
      <c r="AD42" s="408">
        <f>1+1</f>
        <v>2</v>
      </c>
      <c r="AE42" s="60">
        <f t="shared" ref="AE42:AE52" si="27">SUM(Z42:AD42)</f>
        <v>12</v>
      </c>
      <c r="AF42" s="380"/>
      <c r="AG42" s="380"/>
      <c r="AH42" s="60" t="s">
        <v>92</v>
      </c>
      <c r="AI42" s="408">
        <f t="shared" si="25"/>
        <v>0</v>
      </c>
      <c r="AJ42" s="408">
        <f t="shared" si="24"/>
        <v>5</v>
      </c>
      <c r="AK42" s="408">
        <f t="shared" si="24"/>
        <v>7</v>
      </c>
      <c r="AL42" s="408">
        <f t="shared" si="24"/>
        <v>0</v>
      </c>
      <c r="AM42" s="408">
        <f t="shared" si="24"/>
        <v>0</v>
      </c>
      <c r="AN42" s="60">
        <f t="shared" si="26"/>
        <v>12</v>
      </c>
      <c r="AP42" s="352"/>
      <c r="AT42" s="476"/>
      <c r="AU42" s="476"/>
      <c r="AV42" s="292"/>
      <c r="AW42" s="351"/>
      <c r="AX42" s="351"/>
    </row>
    <row r="43" spans="1:50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8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9"/>
        <v>80.336669999999998</v>
      </c>
      <c r="Q43" s="114">
        <v>0.75</v>
      </c>
      <c r="R43" s="69">
        <f t="shared" si="11"/>
        <v>60.252502499999999</v>
      </c>
      <c r="S43" s="114">
        <f t="shared" si="20"/>
        <v>150</v>
      </c>
      <c r="T43" s="288">
        <f t="shared" si="21"/>
        <v>89.747497500000009</v>
      </c>
      <c r="U43" s="187" t="str">
        <f t="shared" si="22"/>
        <v>No</v>
      </c>
      <c r="Y43" s="60" t="s">
        <v>86</v>
      </c>
      <c r="Z43" s="408">
        <v>0</v>
      </c>
      <c r="AA43" s="408">
        <v>0</v>
      </c>
      <c r="AB43" s="359">
        <f>2+1</f>
        <v>3</v>
      </c>
      <c r="AC43" s="408">
        <v>0</v>
      </c>
      <c r="AD43" s="408">
        <f>1</f>
        <v>1</v>
      </c>
      <c r="AE43" s="60">
        <f t="shared" si="27"/>
        <v>4</v>
      </c>
      <c r="AF43" s="380"/>
      <c r="AG43" s="410"/>
      <c r="AH43" s="60" t="s">
        <v>93</v>
      </c>
      <c r="AI43" s="408">
        <f t="shared" si="25"/>
        <v>2</v>
      </c>
      <c r="AJ43" s="408">
        <f t="shared" si="24"/>
        <v>1</v>
      </c>
      <c r="AK43" s="408">
        <f t="shared" si="24"/>
        <v>2</v>
      </c>
      <c r="AL43" s="408">
        <f t="shared" si="24"/>
        <v>3</v>
      </c>
      <c r="AM43" s="408">
        <f t="shared" si="24"/>
        <v>0</v>
      </c>
      <c r="AN43" s="60">
        <f t="shared" si="26"/>
        <v>8</v>
      </c>
      <c r="AP43" s="351"/>
      <c r="AT43" s="476"/>
      <c r="AU43" s="476"/>
      <c r="AV43" s="292"/>
      <c r="AW43" s="351"/>
      <c r="AX43" s="351"/>
    </row>
    <row r="44" spans="1:50" ht="13.5" thickBot="1">
      <c r="A44" s="264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8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9"/>
        <v>67.241829999999993</v>
      </c>
      <c r="Q44" s="90">
        <v>0.75</v>
      </c>
      <c r="R44" s="89">
        <f t="shared" si="11"/>
        <v>50.431372499999995</v>
      </c>
      <c r="S44" s="90">
        <f t="shared" si="20"/>
        <v>150</v>
      </c>
      <c r="T44" s="286">
        <f t="shared" si="21"/>
        <v>99.568627500000005</v>
      </c>
      <c r="U44" s="187" t="str">
        <f t="shared" si="22"/>
        <v>No</v>
      </c>
      <c r="Y44" s="60" t="s">
        <v>87</v>
      </c>
      <c r="Z44" s="408">
        <v>0</v>
      </c>
      <c r="AA44" s="417">
        <f>4+3+3</f>
        <v>10</v>
      </c>
      <c r="AB44" s="408">
        <f>2+2+3+6+2</f>
        <v>15</v>
      </c>
      <c r="AC44" s="408">
        <f>1+3+4</f>
        <v>8</v>
      </c>
      <c r="AD44" s="408">
        <v>0</v>
      </c>
      <c r="AE44" s="60">
        <f t="shared" si="27"/>
        <v>33</v>
      </c>
      <c r="AF44" s="359"/>
      <c r="AG44" s="359"/>
      <c r="AH44" s="60" t="s">
        <v>94</v>
      </c>
      <c r="AI44" s="408">
        <f t="shared" si="25"/>
        <v>3</v>
      </c>
      <c r="AJ44" s="408">
        <f t="shared" si="24"/>
        <v>2</v>
      </c>
      <c r="AK44" s="408">
        <f t="shared" si="24"/>
        <v>2</v>
      </c>
      <c r="AL44" s="408">
        <f t="shared" si="24"/>
        <v>4</v>
      </c>
      <c r="AM44" s="408">
        <f t="shared" si="24"/>
        <v>0</v>
      </c>
      <c r="AN44" s="60">
        <f t="shared" si="26"/>
        <v>11</v>
      </c>
      <c r="AP44" s="349"/>
      <c r="AT44" s="476"/>
      <c r="AU44" s="476"/>
      <c r="AV44" s="292"/>
      <c r="AW44" s="351"/>
      <c r="AX44" s="351"/>
    </row>
    <row r="45" spans="1:50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8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9"/>
        <v>175.91919999999999</v>
      </c>
      <c r="Q45" s="80">
        <v>0.75</v>
      </c>
      <c r="R45" s="98">
        <f t="shared" si="11"/>
        <v>131.93939999999998</v>
      </c>
      <c r="S45" s="80">
        <f t="shared" si="20"/>
        <v>300</v>
      </c>
      <c r="T45" s="79">
        <f t="shared" si="21"/>
        <v>168.06060000000002</v>
      </c>
      <c r="U45" s="187" t="str">
        <f t="shared" si="22"/>
        <v>No</v>
      </c>
      <c r="Y45" s="60" t="s">
        <v>88</v>
      </c>
      <c r="Z45" s="408">
        <v>0</v>
      </c>
      <c r="AA45" s="408">
        <v>0</v>
      </c>
      <c r="AB45" s="408">
        <f>1+1+1+3+1+1</f>
        <v>8</v>
      </c>
      <c r="AC45" s="408">
        <f>1</f>
        <v>1</v>
      </c>
      <c r="AD45" s="408">
        <v>0</v>
      </c>
      <c r="AE45" s="60">
        <f t="shared" si="27"/>
        <v>9</v>
      </c>
      <c r="AF45" s="359"/>
      <c r="AG45" s="359"/>
      <c r="AH45" s="366" t="s">
        <v>482</v>
      </c>
      <c r="AI45" s="408">
        <f t="shared" si="25"/>
        <v>0</v>
      </c>
      <c r="AJ45" s="408">
        <f t="shared" si="24"/>
        <v>1</v>
      </c>
      <c r="AK45" s="408">
        <f t="shared" si="24"/>
        <v>2</v>
      </c>
      <c r="AL45" s="408">
        <f t="shared" si="24"/>
        <v>0</v>
      </c>
      <c r="AM45" s="408">
        <f t="shared" si="24"/>
        <v>0</v>
      </c>
      <c r="AN45" s="366">
        <f t="shared" si="26"/>
        <v>3</v>
      </c>
      <c r="AP45" s="351"/>
      <c r="AT45" s="476"/>
      <c r="AU45" s="476"/>
      <c r="AV45" s="292"/>
      <c r="AW45" s="351"/>
      <c r="AX45" s="351"/>
    </row>
    <row r="46" spans="1:50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8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9"/>
        <v>115.1143</v>
      </c>
      <c r="Q46" s="90">
        <v>0.75</v>
      </c>
      <c r="R46" s="89">
        <f t="shared" si="11"/>
        <v>86.335724999999996</v>
      </c>
      <c r="S46" s="90">
        <f t="shared" si="20"/>
        <v>150</v>
      </c>
      <c r="T46" s="286">
        <f t="shared" si="21"/>
        <v>63.664275000000004</v>
      </c>
      <c r="U46" s="187" t="str">
        <f t="shared" si="22"/>
        <v>No</v>
      </c>
      <c r="Y46" s="60" t="s">
        <v>89</v>
      </c>
      <c r="Z46" s="408">
        <v>0</v>
      </c>
      <c r="AA46" s="408">
        <f>3+3+1</f>
        <v>7</v>
      </c>
      <c r="AB46" s="408">
        <f>1</f>
        <v>1</v>
      </c>
      <c r="AC46" s="408">
        <f>1</f>
        <v>1</v>
      </c>
      <c r="AD46" s="408">
        <v>0</v>
      </c>
      <c r="AE46" s="60">
        <f t="shared" si="27"/>
        <v>9</v>
      </c>
      <c r="AH46" s="270" t="s">
        <v>493</v>
      </c>
      <c r="AI46" s="368">
        <f t="shared" ref="AI46:AN46" si="28">SUM(AI34:AI45)</f>
        <v>16</v>
      </c>
      <c r="AJ46" s="368">
        <f t="shared" si="28"/>
        <v>49</v>
      </c>
      <c r="AK46" s="368">
        <f t="shared" si="28"/>
        <v>52</v>
      </c>
      <c r="AL46" s="368">
        <f t="shared" si="28"/>
        <v>20</v>
      </c>
      <c r="AM46" s="368">
        <f t="shared" si="28"/>
        <v>4</v>
      </c>
      <c r="AN46" s="369">
        <f t="shared" si="28"/>
        <v>141</v>
      </c>
      <c r="AO46" s="413"/>
      <c r="AP46" s="351"/>
      <c r="AT46" s="476"/>
      <c r="AU46" s="476"/>
      <c r="AV46" s="292"/>
      <c r="AW46" s="351"/>
      <c r="AX46" s="351"/>
    </row>
    <row r="47" spans="1:50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8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9"/>
        <v>87.5685</v>
      </c>
      <c r="Q47" s="90">
        <v>0.75</v>
      </c>
      <c r="R47" s="89">
        <f t="shared" si="11"/>
        <v>65.676375000000007</v>
      </c>
      <c r="S47" s="90">
        <f t="shared" si="20"/>
        <v>150</v>
      </c>
      <c r="T47" s="286">
        <f t="shared" si="21"/>
        <v>84.323624999999993</v>
      </c>
      <c r="U47" s="187" t="str">
        <f t="shared" si="22"/>
        <v>No</v>
      </c>
      <c r="Y47" s="60" t="s">
        <v>90</v>
      </c>
      <c r="Z47" s="408">
        <v>0</v>
      </c>
      <c r="AA47" s="359">
        <v>0</v>
      </c>
      <c r="AB47" s="359">
        <f>1</f>
        <v>1</v>
      </c>
      <c r="AC47" s="408">
        <f>1</f>
        <v>1</v>
      </c>
      <c r="AD47" s="408">
        <f>1</f>
        <v>1</v>
      </c>
      <c r="AE47" s="60">
        <f t="shared" si="27"/>
        <v>3</v>
      </c>
      <c r="AH47" s="270" t="s">
        <v>492</v>
      </c>
      <c r="AI47" s="370">
        <f>PRODUCT(AI46*AJ25)</f>
        <v>240</v>
      </c>
      <c r="AJ47" s="418">
        <f>PRODUCT(AJ46*AJ26)</f>
        <v>802.0761</v>
      </c>
      <c r="AK47" s="418">
        <f>PRODUCT(AK46*AJ27)</f>
        <v>870.82839999999999</v>
      </c>
      <c r="AL47" s="418">
        <f>PRODUCT(AL46*AJ28)</f>
        <v>337.73200000000003</v>
      </c>
      <c r="AM47" s="418">
        <f>PRODUCT(AM46*AJ29)</f>
        <v>68</v>
      </c>
      <c r="AN47" s="419">
        <f>SUM(AI47:AM47)</f>
        <v>2318.6365000000001</v>
      </c>
      <c r="AO47" s="410"/>
      <c r="AP47" s="351"/>
      <c r="AT47" s="476"/>
      <c r="AU47" s="476"/>
      <c r="AV47" s="292"/>
      <c r="AW47" s="351"/>
      <c r="AX47" s="351"/>
    </row>
    <row r="48" spans="1:50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8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9"/>
        <v>46.164000000000001</v>
      </c>
      <c r="Q48" s="114">
        <v>0.75</v>
      </c>
      <c r="R48" s="89">
        <f t="shared" si="11"/>
        <v>34.623000000000005</v>
      </c>
      <c r="S48" s="114">
        <f t="shared" si="20"/>
        <v>150</v>
      </c>
      <c r="T48" s="288">
        <f t="shared" si="21"/>
        <v>115.377</v>
      </c>
      <c r="U48" s="187" t="str">
        <f t="shared" si="22"/>
        <v>No</v>
      </c>
      <c r="Y48" s="60" t="s">
        <v>91</v>
      </c>
      <c r="Z48" s="408">
        <v>0</v>
      </c>
      <c r="AA48" s="359">
        <f>2+3+1+2+1+1</f>
        <v>10</v>
      </c>
      <c r="AB48" s="408">
        <f>1+1</f>
        <v>2</v>
      </c>
      <c r="AC48" s="408">
        <f>1</f>
        <v>1</v>
      </c>
      <c r="AD48" s="408">
        <v>0</v>
      </c>
      <c r="AE48" s="60">
        <f t="shared" si="27"/>
        <v>13</v>
      </c>
      <c r="AH48" s="270" t="s">
        <v>526</v>
      </c>
      <c r="AI48" s="370">
        <f>AI46*AI25</f>
        <v>1600</v>
      </c>
      <c r="AJ48" s="370">
        <f>AJ46*AI26</f>
        <v>7350</v>
      </c>
      <c r="AK48" s="370">
        <f>AK46*AI27</f>
        <v>10400</v>
      </c>
      <c r="AL48" s="370">
        <f>AL46*AI28</f>
        <v>5000</v>
      </c>
      <c r="AM48" s="370">
        <f>AM46*AI29</f>
        <v>1200</v>
      </c>
      <c r="AN48" s="270">
        <f>SUM(AI48:AM48)</f>
        <v>25550</v>
      </c>
      <c r="AO48" s="413"/>
      <c r="AP48" s="351"/>
      <c r="AT48" s="476"/>
      <c r="AU48" s="476"/>
      <c r="AV48" s="292"/>
      <c r="AW48" s="351"/>
      <c r="AX48" s="351"/>
    </row>
    <row r="49" spans="1:50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8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9"/>
        <v>175.91919999999999</v>
      </c>
      <c r="Q49" s="90">
        <v>0.75</v>
      </c>
      <c r="R49" s="98">
        <f t="shared" si="11"/>
        <v>131.93939999999998</v>
      </c>
      <c r="S49" s="90">
        <f t="shared" si="20"/>
        <v>300</v>
      </c>
      <c r="T49" s="286">
        <f t="shared" si="21"/>
        <v>168.06060000000002</v>
      </c>
      <c r="U49" s="187" t="str">
        <f t="shared" si="22"/>
        <v>No</v>
      </c>
      <c r="Y49" s="60" t="s">
        <v>92</v>
      </c>
      <c r="Z49" s="408">
        <v>0</v>
      </c>
      <c r="AA49" s="359">
        <f>2+2</f>
        <v>4</v>
      </c>
      <c r="AB49" s="408">
        <f>6+1</f>
        <v>7</v>
      </c>
      <c r="AC49" s="408">
        <v>0</v>
      </c>
      <c r="AD49" s="408">
        <v>0</v>
      </c>
      <c r="AE49" s="60">
        <f t="shared" si="27"/>
        <v>11</v>
      </c>
      <c r="AH49" s="380"/>
      <c r="AI49" s="380"/>
      <c r="AJ49" s="413"/>
      <c r="AO49" s="349"/>
      <c r="AP49" s="351"/>
      <c r="AT49" s="351"/>
      <c r="AU49" s="351"/>
      <c r="AV49" s="292"/>
      <c r="AW49" s="351"/>
      <c r="AX49" s="351"/>
    </row>
    <row r="50" spans="1:50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8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9"/>
        <v>46.164000000000001</v>
      </c>
      <c r="Q50" s="90">
        <v>0.75</v>
      </c>
      <c r="R50" s="89">
        <f t="shared" si="11"/>
        <v>34.623000000000005</v>
      </c>
      <c r="S50" s="90">
        <f t="shared" si="20"/>
        <v>150</v>
      </c>
      <c r="T50" s="286">
        <f t="shared" si="21"/>
        <v>115.377</v>
      </c>
      <c r="U50" s="187" t="str">
        <f t="shared" si="22"/>
        <v>No</v>
      </c>
      <c r="Y50" s="60" t="s">
        <v>93</v>
      </c>
      <c r="Z50" s="408">
        <v>0</v>
      </c>
      <c r="AA50" s="359">
        <v>0</v>
      </c>
      <c r="AB50" s="408">
        <f>1+1</f>
        <v>2</v>
      </c>
      <c r="AC50" s="408">
        <f>3</f>
        <v>3</v>
      </c>
      <c r="AD50" s="408">
        <v>0</v>
      </c>
      <c r="AE50" s="60">
        <f t="shared" si="27"/>
        <v>5</v>
      </c>
      <c r="AN50" s="351"/>
      <c r="AO50" s="351"/>
      <c r="AP50" s="351"/>
      <c r="AT50" s="351"/>
      <c r="AU50" s="351"/>
      <c r="AV50" s="292"/>
      <c r="AW50" s="351"/>
      <c r="AX50" s="351"/>
    </row>
    <row r="51" spans="1:50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8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9"/>
        <v>46.164000000000001</v>
      </c>
      <c r="Q51" s="80">
        <v>0.75</v>
      </c>
      <c r="R51" s="98">
        <f t="shared" si="11"/>
        <v>34.623000000000005</v>
      </c>
      <c r="S51" s="80">
        <f t="shared" si="20"/>
        <v>150</v>
      </c>
      <c r="T51" s="79">
        <f t="shared" si="21"/>
        <v>115.377</v>
      </c>
      <c r="U51" s="187" t="str">
        <f t="shared" si="22"/>
        <v>No</v>
      </c>
      <c r="Y51" s="60" t="s">
        <v>94</v>
      </c>
      <c r="Z51" s="408">
        <v>0</v>
      </c>
      <c r="AA51" s="417">
        <f>1</f>
        <v>1</v>
      </c>
      <c r="AB51" s="408">
        <f>1+1</f>
        <v>2</v>
      </c>
      <c r="AC51" s="408">
        <f>4</f>
        <v>4</v>
      </c>
      <c r="AD51" s="408">
        <v>0</v>
      </c>
      <c r="AE51" s="60">
        <f t="shared" si="27"/>
        <v>7</v>
      </c>
      <c r="AN51" s="351"/>
      <c r="AO51" s="351"/>
      <c r="AP51" s="351"/>
      <c r="AT51" s="351"/>
      <c r="AU51" s="351"/>
      <c r="AV51" s="292"/>
      <c r="AW51" s="351"/>
      <c r="AX51" s="351"/>
    </row>
    <row r="52" spans="1:50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8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9"/>
        <v>136.87530000000001</v>
      </c>
      <c r="Q52" s="114">
        <v>0.75</v>
      </c>
      <c r="R52" s="89">
        <f t="shared" si="11"/>
        <v>102.656475</v>
      </c>
      <c r="S52" s="114">
        <f t="shared" si="20"/>
        <v>200</v>
      </c>
      <c r="T52" s="288">
        <f t="shared" si="21"/>
        <v>97.343525</v>
      </c>
      <c r="U52" s="187" t="str">
        <f t="shared" si="22"/>
        <v>No</v>
      </c>
      <c r="Y52" s="366" t="s">
        <v>482</v>
      </c>
      <c r="Z52" s="367">
        <v>0</v>
      </c>
      <c r="AA52" s="367">
        <f>1</f>
        <v>1</v>
      </c>
      <c r="AB52" s="367">
        <f>2</f>
        <v>2</v>
      </c>
      <c r="AC52" s="367">
        <v>0</v>
      </c>
      <c r="AD52" s="367">
        <v>0</v>
      </c>
      <c r="AE52" s="366">
        <f t="shared" si="27"/>
        <v>3</v>
      </c>
      <c r="AN52" s="351"/>
      <c r="AO52" s="351"/>
      <c r="AP52" s="351"/>
      <c r="AT52" s="351"/>
      <c r="AU52" s="351"/>
      <c r="AV52" s="292"/>
      <c r="AW52" s="351"/>
      <c r="AX52" s="351"/>
    </row>
    <row r="53" spans="1:50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8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9"/>
        <v>87.5685</v>
      </c>
      <c r="Q53" s="90">
        <v>0.75</v>
      </c>
      <c r="R53" s="98">
        <f t="shared" si="11"/>
        <v>65.676375000000007</v>
      </c>
      <c r="S53" s="90">
        <f t="shared" si="20"/>
        <v>150</v>
      </c>
      <c r="T53" s="286">
        <f t="shared" si="21"/>
        <v>84.323624999999993</v>
      </c>
      <c r="U53" s="187" t="str">
        <f t="shared" si="22"/>
        <v>No</v>
      </c>
      <c r="Y53" s="270" t="s">
        <v>493</v>
      </c>
      <c r="Z53" s="368">
        <f t="shared" ref="Z53:AE53" si="29">SUM(Z41:Z52)</f>
        <v>0</v>
      </c>
      <c r="AA53" s="368">
        <f t="shared" si="29"/>
        <v>44</v>
      </c>
      <c r="AB53" s="368">
        <f t="shared" si="29"/>
        <v>48</v>
      </c>
      <c r="AC53" s="368">
        <f t="shared" si="29"/>
        <v>20</v>
      </c>
      <c r="AD53" s="368">
        <f t="shared" si="29"/>
        <v>4</v>
      </c>
      <c r="AE53" s="369">
        <f t="shared" si="29"/>
        <v>116</v>
      </c>
      <c r="AN53" s="351"/>
      <c r="AO53" s="351"/>
      <c r="AP53" s="351"/>
      <c r="AT53" s="351"/>
      <c r="AU53" s="351"/>
      <c r="AV53" s="292"/>
      <c r="AW53" s="351"/>
      <c r="AX53" s="351"/>
    </row>
    <row r="54" spans="1:50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8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9"/>
        <v>33.29833</v>
      </c>
      <c r="Q54" s="90">
        <v>0.75</v>
      </c>
      <c r="R54" s="89">
        <f t="shared" si="11"/>
        <v>24.973747500000002</v>
      </c>
      <c r="S54" s="90">
        <f t="shared" si="20"/>
        <v>200</v>
      </c>
      <c r="T54" s="286">
        <f t="shared" si="21"/>
        <v>175.0262525</v>
      </c>
      <c r="U54" s="187" t="str">
        <f t="shared" si="22"/>
        <v>No</v>
      </c>
      <c r="Y54" s="270" t="s">
        <v>492</v>
      </c>
      <c r="Z54" s="418">
        <f>PRODUCT(Z53*AJ25)</f>
        <v>0</v>
      </c>
      <c r="AA54" s="418">
        <f>PRODUCT(AA53*AJ26)</f>
        <v>720.23159999999996</v>
      </c>
      <c r="AB54" s="418">
        <f>PRODUCT(AB53*AJ27)</f>
        <v>803.84159999999997</v>
      </c>
      <c r="AC54" s="418">
        <f>PRODUCT(AC53*AJ28)</f>
        <v>337.73200000000003</v>
      </c>
      <c r="AD54" s="418">
        <f>PRODUCT(AD53*AJ28)</f>
        <v>67.546400000000006</v>
      </c>
      <c r="AE54" s="419">
        <f>SUM(Z54:AD54)</f>
        <v>1929.3515999999997</v>
      </c>
      <c r="AN54" s="351"/>
      <c r="AO54" s="351"/>
      <c r="AP54" s="351"/>
      <c r="AT54" s="351"/>
      <c r="AU54" s="351"/>
      <c r="AV54" s="292"/>
      <c r="AW54" s="351"/>
      <c r="AX54" s="351"/>
    </row>
    <row r="55" spans="1:50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8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9"/>
        <v>233.80699999999999</v>
      </c>
      <c r="Q55" s="80">
        <v>0.75</v>
      </c>
      <c r="R55" s="98">
        <f t="shared" si="11"/>
        <v>175.35524999999998</v>
      </c>
      <c r="S55" s="80">
        <f t="shared" si="20"/>
        <v>300</v>
      </c>
      <c r="T55" s="79">
        <f t="shared" si="21"/>
        <v>124.64475000000002</v>
      </c>
      <c r="U55" s="187" t="str">
        <f t="shared" si="22"/>
        <v>No</v>
      </c>
      <c r="Y55" s="270" t="s">
        <v>526</v>
      </c>
      <c r="Z55" s="370">
        <f>Z53*AI25</f>
        <v>0</v>
      </c>
      <c r="AA55" s="370">
        <f>AA53*AI26</f>
        <v>6600</v>
      </c>
      <c r="AB55" s="370">
        <f>AB53*AI27</f>
        <v>9600</v>
      </c>
      <c r="AC55" s="370">
        <f>AC53*AI28</f>
        <v>5000</v>
      </c>
      <c r="AD55" s="370">
        <f>AD53*AI29</f>
        <v>1200</v>
      </c>
      <c r="AE55" s="270">
        <f>SUM(Z55:AD55)</f>
        <v>22400</v>
      </c>
      <c r="AN55" s="351"/>
      <c r="AO55" s="351"/>
      <c r="AP55" s="351"/>
      <c r="AT55" s="351"/>
      <c r="AU55" s="351"/>
      <c r="AV55" s="292"/>
      <c r="AW55" s="351"/>
      <c r="AX55" s="351"/>
    </row>
    <row r="56" spans="1:50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8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9"/>
        <v>136.87530000000001</v>
      </c>
      <c r="Q56" s="114">
        <v>0.75</v>
      </c>
      <c r="R56" s="69">
        <f t="shared" si="11"/>
        <v>102.656475</v>
      </c>
      <c r="S56" s="114">
        <f t="shared" si="20"/>
        <v>200</v>
      </c>
      <c r="T56" s="288">
        <f t="shared" si="21"/>
        <v>97.343525</v>
      </c>
      <c r="U56" s="214" t="str">
        <f t="shared" si="22"/>
        <v>No</v>
      </c>
      <c r="Y56" s="396"/>
      <c r="Z56" s="396"/>
      <c r="AA56" s="396"/>
      <c r="AB56" s="396"/>
      <c r="AN56" s="351"/>
      <c r="AO56" s="351"/>
      <c r="AP56" s="351"/>
      <c r="AT56" s="351"/>
      <c r="AU56" s="351"/>
      <c r="AV56" s="292"/>
      <c r="AW56" s="351"/>
      <c r="AX56" s="351"/>
    </row>
    <row r="57" spans="1:50">
      <c r="A57" s="20"/>
      <c r="B57" s="64"/>
      <c r="C57" s="20"/>
      <c r="D57" s="20"/>
      <c r="E57" s="250"/>
      <c r="F57" s="64"/>
      <c r="G57" s="64"/>
      <c r="H57" s="64"/>
      <c r="I57" s="64"/>
      <c r="J57" s="64"/>
      <c r="K57" s="20"/>
      <c r="L57" s="20"/>
      <c r="M57" s="20"/>
      <c r="N57" s="250"/>
      <c r="O57" s="250"/>
      <c r="P57" s="20"/>
      <c r="Q57" s="20"/>
      <c r="R57" s="20"/>
      <c r="S57" s="12"/>
      <c r="U57" s="20"/>
      <c r="Y57" s="396"/>
      <c r="Z57" s="396"/>
      <c r="AA57" s="396"/>
      <c r="AB57" s="396"/>
      <c r="AN57" s="351"/>
      <c r="AO57" s="351"/>
      <c r="AP57" s="351"/>
      <c r="AT57" s="351"/>
      <c r="AU57" s="351"/>
      <c r="AV57" s="351"/>
      <c r="AW57" s="351"/>
      <c r="AX57" s="351"/>
    </row>
    <row r="58" spans="1:50">
      <c r="A58" s="20"/>
      <c r="B58" s="64"/>
      <c r="C58" s="20"/>
      <c r="D58" s="20"/>
      <c r="E58" s="250"/>
      <c r="F58" s="64"/>
      <c r="G58" s="64"/>
      <c r="H58" s="64"/>
      <c r="I58" s="64"/>
      <c r="J58" s="64"/>
      <c r="K58" s="20"/>
      <c r="L58" s="20"/>
      <c r="M58" s="20"/>
      <c r="N58" s="250"/>
      <c r="O58" s="250"/>
      <c r="P58" s="20"/>
      <c r="Q58" s="20"/>
      <c r="R58" s="20"/>
      <c r="S58" s="12"/>
      <c r="U58" s="20"/>
      <c r="Y58" s="396"/>
      <c r="Z58" s="396"/>
      <c r="AA58" s="396"/>
      <c r="AB58" s="396"/>
      <c r="AN58" s="351"/>
      <c r="AO58" s="351"/>
      <c r="AP58" s="351"/>
    </row>
    <row r="59" spans="1:50">
      <c r="A59" s="20"/>
      <c r="B59" s="64"/>
      <c r="C59" s="20"/>
      <c r="D59" s="20"/>
      <c r="E59" s="250"/>
      <c r="F59" s="64"/>
      <c r="G59" s="64"/>
      <c r="H59" s="64"/>
      <c r="I59" s="64"/>
      <c r="J59" s="64"/>
      <c r="K59" s="20"/>
      <c r="L59" s="20"/>
      <c r="M59" s="20"/>
      <c r="N59" s="250"/>
      <c r="O59" s="250"/>
      <c r="P59" s="20"/>
      <c r="Q59" s="20"/>
      <c r="R59" s="20"/>
      <c r="S59" s="12"/>
      <c r="U59" s="20"/>
      <c r="Y59" s="396"/>
      <c r="Z59" s="396"/>
      <c r="AA59" s="396"/>
      <c r="AB59" s="396"/>
      <c r="AN59" s="351"/>
      <c r="AO59" s="352"/>
      <c r="AP59" s="352"/>
    </row>
    <row r="60" spans="1:50">
      <c r="A60" s="20"/>
      <c r="B60" s="64"/>
      <c r="C60" s="20"/>
      <c r="D60" s="20"/>
      <c r="E60" s="250"/>
      <c r="F60" s="64"/>
      <c r="G60" s="64"/>
      <c r="H60" s="64"/>
      <c r="I60" s="64"/>
      <c r="J60" s="64"/>
      <c r="K60" s="20"/>
      <c r="L60" s="20"/>
      <c r="M60" s="20"/>
      <c r="N60" s="250"/>
      <c r="O60" s="250"/>
      <c r="P60" s="20"/>
      <c r="Q60" s="20"/>
      <c r="R60" s="20"/>
      <c r="S60" s="12"/>
      <c r="U60" s="20"/>
      <c r="AN60" s="351"/>
      <c r="AO60" s="351"/>
      <c r="AP60" s="351"/>
    </row>
    <row r="61" spans="1:50">
      <c r="A61" s="20"/>
      <c r="B61" s="64"/>
      <c r="C61" s="20"/>
      <c r="D61" s="20"/>
      <c r="E61" s="250"/>
      <c r="F61" s="64"/>
      <c r="G61" s="64"/>
      <c r="H61" s="64"/>
      <c r="I61" s="64"/>
      <c r="J61" s="64"/>
      <c r="K61" s="20"/>
      <c r="L61" s="20"/>
      <c r="M61" s="20"/>
      <c r="N61" s="250"/>
      <c r="O61" s="250"/>
      <c r="P61" s="20"/>
      <c r="Q61" s="20"/>
      <c r="R61" s="20"/>
      <c r="S61" s="12"/>
      <c r="U61" s="20"/>
      <c r="AN61" s="351"/>
      <c r="AO61" s="349"/>
      <c r="AP61" s="349"/>
    </row>
    <row r="62" spans="1:50">
      <c r="A62" s="20"/>
      <c r="B62" s="65"/>
      <c r="C62" s="20"/>
      <c r="D62" s="20"/>
      <c r="E62" s="250"/>
      <c r="F62" s="64"/>
      <c r="G62" s="64"/>
      <c r="H62" s="64"/>
      <c r="I62" s="64"/>
      <c r="J62" s="64"/>
      <c r="K62" s="20"/>
      <c r="L62" s="20"/>
      <c r="M62" s="20"/>
      <c r="N62" s="250"/>
      <c r="O62" s="250"/>
      <c r="P62" s="20"/>
      <c r="Q62" s="20"/>
      <c r="R62" s="20"/>
      <c r="S62" s="12"/>
      <c r="U62" s="20"/>
      <c r="AN62" s="351"/>
      <c r="AO62" s="351"/>
      <c r="AP62" s="351"/>
    </row>
    <row r="63" spans="1:50">
      <c r="A63" s="20"/>
      <c r="B63" s="65"/>
      <c r="C63" s="20"/>
      <c r="D63" s="20"/>
      <c r="E63" s="250"/>
      <c r="F63" s="64"/>
      <c r="G63" s="64"/>
      <c r="H63" s="64"/>
      <c r="I63" s="64"/>
      <c r="J63" s="64"/>
      <c r="K63" s="20"/>
      <c r="L63" s="20"/>
      <c r="M63" s="20"/>
      <c r="N63" s="250"/>
      <c r="O63" s="250"/>
      <c r="P63" s="20"/>
      <c r="Q63" s="20"/>
      <c r="R63" s="20"/>
      <c r="S63" s="12"/>
      <c r="U63" s="20"/>
      <c r="AN63" s="351"/>
      <c r="AO63" s="351"/>
      <c r="AP63" s="351"/>
    </row>
    <row r="64" spans="1:50">
      <c r="A64" s="20"/>
      <c r="B64" s="65"/>
      <c r="C64" s="20"/>
      <c r="D64" s="20"/>
      <c r="E64" s="250"/>
      <c r="F64" s="64"/>
      <c r="G64" s="64"/>
      <c r="H64" s="64"/>
      <c r="I64" s="64"/>
      <c r="J64" s="64"/>
      <c r="K64" s="20"/>
      <c r="L64" s="20"/>
      <c r="M64" s="20"/>
      <c r="N64" s="250"/>
      <c r="O64" s="250"/>
      <c r="P64" s="20"/>
      <c r="Q64" s="20"/>
      <c r="R64" s="20"/>
      <c r="S64" s="12"/>
      <c r="U64" s="20"/>
      <c r="AN64" s="351"/>
      <c r="AO64" s="351"/>
      <c r="AP64" s="351"/>
    </row>
    <row r="65" spans="1:42">
      <c r="A65" s="20"/>
      <c r="B65" s="64"/>
      <c r="C65" s="20"/>
      <c r="D65" s="20"/>
      <c r="E65" s="250"/>
      <c r="N65" s="250"/>
      <c r="O65" s="250"/>
      <c r="Q65" s="20"/>
      <c r="R65" s="20"/>
      <c r="S65" s="12"/>
      <c r="U65" s="20"/>
      <c r="AN65" s="351"/>
      <c r="AO65" s="351"/>
      <c r="AP65" s="351"/>
    </row>
    <row r="66" spans="1:42">
      <c r="A66" s="20"/>
      <c r="B66" s="64"/>
      <c r="C66" s="20"/>
      <c r="D66" s="20"/>
      <c r="E66" s="250"/>
      <c r="N66" s="250"/>
      <c r="O66" s="250"/>
      <c r="Q66" s="20"/>
      <c r="R66" s="20"/>
      <c r="S66" s="12"/>
      <c r="U66" s="20"/>
      <c r="AN66" s="351"/>
      <c r="AO66" s="351"/>
      <c r="AP66" s="351"/>
    </row>
    <row r="67" spans="1:42">
      <c r="A67" s="20"/>
      <c r="B67" s="64"/>
      <c r="C67" s="20"/>
      <c r="D67" s="20"/>
      <c r="E67" s="250"/>
      <c r="N67" s="250"/>
      <c r="O67" s="250"/>
      <c r="Q67" s="20"/>
      <c r="R67" s="20"/>
      <c r="S67" s="12"/>
      <c r="U67" s="20"/>
      <c r="AN67" s="351"/>
      <c r="AO67" s="351"/>
      <c r="AP67" s="351"/>
    </row>
    <row r="68" spans="1:42">
      <c r="A68" s="20"/>
      <c r="B68" s="64"/>
      <c r="C68" s="20"/>
      <c r="D68" s="20"/>
      <c r="E68" s="250"/>
      <c r="F68" s="64"/>
      <c r="G68" s="64"/>
      <c r="H68" s="64"/>
      <c r="I68" s="64"/>
      <c r="J68" s="64"/>
      <c r="K68" s="20"/>
      <c r="L68" s="20"/>
      <c r="M68" s="20"/>
      <c r="N68" s="250"/>
      <c r="O68" s="250"/>
      <c r="P68" s="20"/>
      <c r="Q68" s="20"/>
      <c r="R68" s="20"/>
      <c r="S68" s="12"/>
      <c r="U68" s="20"/>
      <c r="AN68" s="351"/>
      <c r="AO68" s="351"/>
      <c r="AP68" s="351"/>
    </row>
    <row r="69" spans="1:42">
      <c r="B69" s="64"/>
      <c r="C69" s="20"/>
      <c r="D69" s="20"/>
      <c r="E69" s="250"/>
      <c r="F69" s="64"/>
      <c r="G69" s="64"/>
      <c r="H69" s="64"/>
      <c r="I69" s="64"/>
      <c r="J69" s="64"/>
      <c r="K69" s="20"/>
      <c r="L69" s="20"/>
      <c r="M69" s="20"/>
      <c r="N69" s="250"/>
      <c r="O69" s="250"/>
      <c r="P69" s="20"/>
      <c r="Q69" s="20"/>
      <c r="R69" s="20"/>
      <c r="S69" s="12"/>
      <c r="U69" s="20"/>
      <c r="Y69" s="58"/>
      <c r="Z69" s="58"/>
      <c r="AN69" s="351"/>
      <c r="AO69" s="351"/>
      <c r="AP69" s="351"/>
    </row>
    <row r="70" spans="1:42">
      <c r="B70" s="64"/>
      <c r="C70" s="20"/>
      <c r="D70" s="20"/>
      <c r="E70" s="250"/>
      <c r="F70" s="64"/>
      <c r="G70" s="64"/>
      <c r="H70" s="64"/>
      <c r="I70" s="64"/>
      <c r="J70" s="64"/>
      <c r="K70" s="20"/>
      <c r="L70" s="20"/>
      <c r="M70" s="20"/>
      <c r="N70" s="250"/>
      <c r="O70" s="250"/>
      <c r="P70" s="20"/>
      <c r="Q70" s="20"/>
      <c r="R70" s="20"/>
      <c r="S70" s="12"/>
      <c r="U70" s="20"/>
      <c r="Y70" s="58"/>
      <c r="Z70" s="58"/>
      <c r="AN70" s="351"/>
      <c r="AO70" s="351"/>
      <c r="AP70" s="351"/>
    </row>
    <row r="71" spans="1:42">
      <c r="B71" s="64"/>
      <c r="C71" s="20"/>
      <c r="D71" s="20"/>
      <c r="E71" s="250"/>
      <c r="F71" s="64"/>
      <c r="G71" s="64"/>
      <c r="H71" s="64"/>
      <c r="I71" s="64"/>
      <c r="J71" s="64"/>
      <c r="K71" s="20"/>
      <c r="L71" s="20"/>
      <c r="M71" s="20"/>
      <c r="N71" s="250"/>
      <c r="O71" s="250"/>
      <c r="P71" s="20"/>
      <c r="Q71" s="20"/>
      <c r="R71" s="20"/>
      <c r="S71" s="12"/>
      <c r="U71" s="20"/>
      <c r="Y71" s="58"/>
      <c r="Z71" s="58"/>
      <c r="AN71" s="351"/>
      <c r="AO71" s="351"/>
      <c r="AP71" s="351"/>
    </row>
    <row r="72" spans="1:42">
      <c r="B72" s="64"/>
      <c r="C72" s="20"/>
      <c r="D72" s="20"/>
      <c r="E72" s="250"/>
      <c r="F72" s="64"/>
      <c r="G72" s="64"/>
      <c r="H72" s="64"/>
      <c r="I72" s="64"/>
      <c r="J72" s="64"/>
      <c r="K72" s="20"/>
      <c r="L72" s="20"/>
      <c r="M72" s="20"/>
      <c r="N72" s="250"/>
      <c r="O72" s="250"/>
      <c r="P72" s="20"/>
      <c r="Q72" s="20"/>
      <c r="R72" s="20"/>
      <c r="S72" s="12"/>
      <c r="U72" s="20"/>
      <c r="Y72" s="58"/>
      <c r="Z72" s="58"/>
      <c r="AN72" s="351"/>
      <c r="AO72" s="351"/>
      <c r="AP72" s="351"/>
    </row>
    <row r="73" spans="1:42">
      <c r="B73" s="64"/>
      <c r="C73" s="20"/>
      <c r="D73" s="20"/>
      <c r="E73" s="250"/>
      <c r="F73" s="64"/>
      <c r="G73" s="64"/>
      <c r="H73" s="64"/>
      <c r="I73" s="64"/>
      <c r="J73" s="64"/>
      <c r="K73" s="20"/>
      <c r="L73" s="20"/>
      <c r="M73" s="20"/>
      <c r="N73" s="250"/>
      <c r="O73" s="250"/>
      <c r="P73" s="20"/>
      <c r="Q73" s="20"/>
      <c r="R73" s="20"/>
      <c r="S73" s="12"/>
      <c r="U73" s="20"/>
      <c r="Y73" s="58"/>
      <c r="AN73" s="351"/>
      <c r="AO73" s="351"/>
      <c r="AP73" s="351"/>
    </row>
    <row r="74" spans="1:42">
      <c r="B74" s="64"/>
      <c r="C74" s="20"/>
      <c r="D74" s="20"/>
      <c r="E74" s="250"/>
      <c r="F74" s="64"/>
      <c r="G74" s="64"/>
      <c r="H74" s="64"/>
      <c r="I74" s="64"/>
      <c r="J74" s="64"/>
      <c r="K74" s="20"/>
      <c r="L74" s="20"/>
      <c r="M74" s="20"/>
      <c r="N74" s="250"/>
      <c r="O74" s="250"/>
      <c r="P74" s="20"/>
      <c r="Q74" s="20"/>
      <c r="R74" s="20"/>
      <c r="S74" s="12"/>
      <c r="U74" s="20"/>
      <c r="Y74" s="58"/>
    </row>
    <row r="75" spans="1:42">
      <c r="B75" s="64"/>
      <c r="C75" s="20"/>
      <c r="D75" s="20"/>
      <c r="E75" s="250"/>
      <c r="F75" s="64"/>
      <c r="G75" s="64"/>
      <c r="H75" s="64"/>
      <c r="I75" s="64"/>
      <c r="J75" s="64"/>
      <c r="K75" s="20"/>
      <c r="L75" s="20"/>
      <c r="M75" s="20"/>
      <c r="N75" s="250"/>
      <c r="O75" s="250"/>
      <c r="P75" s="20"/>
      <c r="Q75" s="20"/>
      <c r="R75" s="20"/>
      <c r="S75" s="12"/>
      <c r="U75" s="20"/>
    </row>
    <row r="76" spans="1:42">
      <c r="B76" s="64"/>
      <c r="C76" s="20"/>
      <c r="D76" s="20"/>
      <c r="E76" s="250"/>
      <c r="F76" s="64"/>
      <c r="G76" s="64"/>
      <c r="H76" s="64"/>
      <c r="I76" s="64"/>
      <c r="J76" s="64"/>
      <c r="K76" s="20"/>
      <c r="L76" s="20"/>
      <c r="M76" s="20"/>
      <c r="N76" s="250"/>
      <c r="O76" s="250"/>
      <c r="P76" s="20"/>
      <c r="Q76" s="20"/>
      <c r="R76" s="20"/>
      <c r="S76" s="12"/>
      <c r="U76" s="20"/>
    </row>
    <row r="77" spans="1:42">
      <c r="B77" s="64"/>
      <c r="C77" s="20"/>
      <c r="D77" s="20"/>
      <c r="E77" s="250"/>
      <c r="F77" s="64"/>
      <c r="G77" s="64"/>
      <c r="H77" s="64"/>
      <c r="I77" s="64"/>
      <c r="J77" s="64"/>
      <c r="K77" s="20"/>
      <c r="L77" s="20"/>
      <c r="M77" s="20"/>
      <c r="N77" s="250"/>
      <c r="O77" s="250"/>
      <c r="P77" s="20"/>
      <c r="Q77" s="20"/>
      <c r="R77" s="20"/>
      <c r="S77" s="12"/>
      <c r="U77" s="20"/>
    </row>
    <row r="78" spans="1:42">
      <c r="B78" s="64"/>
      <c r="C78" s="20"/>
      <c r="D78" s="20"/>
      <c r="E78" s="250"/>
      <c r="F78" s="64"/>
      <c r="G78" s="64"/>
      <c r="H78" s="64"/>
      <c r="I78" s="64"/>
      <c r="J78" s="64"/>
      <c r="K78" s="20"/>
      <c r="L78" s="20"/>
      <c r="M78" s="20"/>
      <c r="N78" s="250"/>
      <c r="O78" s="250"/>
      <c r="P78" s="20"/>
      <c r="Q78" s="20"/>
      <c r="R78" s="20"/>
      <c r="S78" s="12"/>
      <c r="U78" s="20"/>
    </row>
    <row r="79" spans="1:42">
      <c r="B79" s="64"/>
      <c r="C79" s="20"/>
      <c r="D79" s="20"/>
      <c r="E79" s="250"/>
      <c r="F79" s="64"/>
      <c r="G79" s="64"/>
      <c r="H79" s="64"/>
      <c r="I79" s="64"/>
      <c r="J79" s="64"/>
      <c r="K79" s="20"/>
      <c r="L79" s="20"/>
      <c r="M79" s="20"/>
      <c r="N79" s="250"/>
      <c r="O79" s="250"/>
      <c r="P79" s="20"/>
      <c r="Q79" s="20"/>
      <c r="R79" s="20"/>
      <c r="S79" s="12"/>
      <c r="U79" s="20"/>
    </row>
    <row r="80" spans="1:42">
      <c r="B80" s="64"/>
      <c r="C80" s="20"/>
      <c r="D80" s="20"/>
      <c r="E80" s="250"/>
      <c r="F80" s="64"/>
      <c r="G80" s="64"/>
      <c r="H80" s="64"/>
      <c r="I80" s="64"/>
      <c r="J80" s="64"/>
      <c r="K80" s="20"/>
      <c r="L80" s="20"/>
      <c r="M80" s="20"/>
      <c r="N80" s="250"/>
      <c r="O80" s="250"/>
      <c r="P80" s="20"/>
      <c r="Q80" s="20"/>
      <c r="R80" s="20"/>
      <c r="S80" s="12"/>
      <c r="U80" s="20"/>
    </row>
    <row r="81" spans="2:21">
      <c r="B81" s="64"/>
      <c r="C81" s="20"/>
      <c r="D81" s="20"/>
      <c r="E81" s="250"/>
      <c r="F81" s="64"/>
      <c r="G81" s="64"/>
      <c r="H81" s="64"/>
      <c r="I81" s="64"/>
      <c r="J81" s="64"/>
      <c r="K81" s="20"/>
      <c r="L81" s="20"/>
      <c r="M81" s="20"/>
      <c r="N81" s="250"/>
      <c r="O81" s="250"/>
      <c r="P81" s="20"/>
      <c r="Q81" s="20"/>
      <c r="R81" s="20"/>
      <c r="S81" s="12"/>
      <c r="U81" s="20"/>
    </row>
    <row r="82" spans="2:21">
      <c r="B82" s="64"/>
      <c r="C82" s="20"/>
      <c r="D82" s="20"/>
      <c r="E82" s="250"/>
      <c r="F82" s="64"/>
      <c r="G82" s="64"/>
      <c r="H82" s="64"/>
      <c r="I82" s="64"/>
      <c r="J82" s="64"/>
      <c r="K82" s="20"/>
      <c r="L82" s="20"/>
      <c r="M82" s="20"/>
      <c r="N82" s="250"/>
      <c r="O82" s="250"/>
      <c r="P82" s="20"/>
      <c r="Q82" s="20"/>
      <c r="R82" s="20"/>
      <c r="S82" s="12"/>
      <c r="U82" s="20"/>
    </row>
    <row r="83" spans="2:21">
      <c r="B83" s="64"/>
      <c r="C83" s="20"/>
      <c r="D83" s="20"/>
      <c r="E83" s="250"/>
      <c r="F83" s="64"/>
      <c r="G83" s="64"/>
      <c r="H83" s="64"/>
      <c r="I83" s="64"/>
      <c r="J83" s="64"/>
      <c r="K83" s="20"/>
      <c r="L83" s="20"/>
      <c r="M83" s="20"/>
      <c r="N83" s="250"/>
      <c r="O83" s="250"/>
      <c r="P83" s="20"/>
      <c r="Q83" s="20"/>
      <c r="R83" s="20"/>
      <c r="S83" s="12"/>
      <c r="U83" s="20"/>
    </row>
    <row r="84" spans="2:21">
      <c r="B84" s="64"/>
      <c r="C84" s="20"/>
      <c r="D84" s="20"/>
      <c r="E84" s="250"/>
      <c r="F84" s="64"/>
      <c r="G84" s="64"/>
      <c r="H84" s="64"/>
      <c r="I84" s="64"/>
      <c r="J84" s="64"/>
      <c r="K84" s="20"/>
      <c r="L84" s="20"/>
      <c r="M84" s="20"/>
      <c r="N84" s="250"/>
      <c r="O84" s="250"/>
      <c r="P84" s="20"/>
      <c r="Q84" s="20"/>
      <c r="R84" s="20"/>
      <c r="S84" s="12"/>
      <c r="U84" s="20"/>
    </row>
    <row r="85" spans="2:21">
      <c r="B85" s="64"/>
      <c r="C85" s="20"/>
      <c r="D85" s="20"/>
      <c r="E85" s="250"/>
      <c r="F85" s="64"/>
      <c r="G85" s="64"/>
      <c r="H85" s="64"/>
      <c r="I85" s="64"/>
      <c r="J85" s="64"/>
      <c r="K85" s="20"/>
      <c r="L85" s="20"/>
      <c r="M85" s="20"/>
      <c r="N85" s="250"/>
      <c r="O85" s="250"/>
      <c r="P85" s="20"/>
      <c r="Q85" s="20"/>
      <c r="R85" s="20"/>
      <c r="S85" s="12"/>
      <c r="U85" s="20"/>
    </row>
    <row r="86" spans="2:21">
      <c r="B86" s="64"/>
      <c r="C86" s="20"/>
      <c r="D86" s="20"/>
      <c r="E86" s="250"/>
      <c r="F86" s="64"/>
      <c r="G86" s="64"/>
      <c r="H86" s="64"/>
      <c r="I86" s="64"/>
      <c r="J86" s="64"/>
      <c r="K86" s="20"/>
      <c r="L86" s="20"/>
      <c r="M86" s="20"/>
      <c r="N86" s="250"/>
      <c r="O86" s="250"/>
      <c r="P86" s="20"/>
      <c r="Q86" s="20"/>
      <c r="R86" s="20"/>
      <c r="S86" s="12"/>
      <c r="U86" s="20"/>
    </row>
    <row r="87" spans="2:21">
      <c r="B87" s="64"/>
      <c r="C87" s="20"/>
      <c r="D87" s="20"/>
      <c r="E87" s="250"/>
      <c r="F87" s="64"/>
      <c r="G87" s="64"/>
      <c r="H87" s="64"/>
      <c r="I87" s="64"/>
      <c r="J87" s="64"/>
      <c r="K87" s="20"/>
      <c r="L87" s="20"/>
      <c r="M87" s="20"/>
      <c r="N87" s="250"/>
      <c r="O87" s="250"/>
      <c r="P87" s="20"/>
      <c r="Q87" s="20"/>
      <c r="R87" s="20"/>
      <c r="S87" s="12"/>
      <c r="U87" s="20"/>
    </row>
    <row r="88" spans="2:21">
      <c r="B88" s="64"/>
      <c r="C88" s="20"/>
      <c r="D88" s="20"/>
      <c r="E88" s="250"/>
      <c r="F88" s="64"/>
      <c r="G88" s="64"/>
      <c r="H88" s="64"/>
      <c r="I88" s="64"/>
      <c r="J88" s="64"/>
      <c r="K88" s="20"/>
      <c r="L88" s="20"/>
      <c r="M88" s="20"/>
      <c r="N88" s="250"/>
      <c r="O88" s="250"/>
      <c r="P88" s="20"/>
      <c r="Q88" s="20"/>
      <c r="R88" s="20"/>
      <c r="S88" s="12"/>
      <c r="U88" s="20"/>
    </row>
    <row r="89" spans="2:21">
      <c r="B89" s="64"/>
      <c r="C89" s="20"/>
      <c r="D89" s="20"/>
      <c r="E89" s="250"/>
      <c r="F89" s="64"/>
      <c r="G89" s="64"/>
      <c r="H89" s="64"/>
      <c r="I89" s="64"/>
      <c r="J89" s="64"/>
      <c r="K89" s="20"/>
      <c r="L89" s="20"/>
      <c r="M89" s="20"/>
      <c r="N89" s="250"/>
      <c r="O89" s="250"/>
      <c r="P89" s="20"/>
      <c r="Q89" s="20"/>
      <c r="R89" s="20"/>
      <c r="S89" s="12"/>
      <c r="U89" s="20"/>
    </row>
    <row r="90" spans="2:21">
      <c r="B90" s="64"/>
      <c r="C90" s="20"/>
      <c r="D90" s="20"/>
      <c r="E90" s="250"/>
      <c r="F90" s="64"/>
      <c r="G90" s="64"/>
      <c r="H90" s="64"/>
      <c r="I90" s="64"/>
      <c r="J90" s="64"/>
      <c r="K90" s="20"/>
      <c r="L90" s="20"/>
      <c r="M90" s="20"/>
      <c r="N90" s="250"/>
      <c r="O90" s="250"/>
      <c r="P90" s="20"/>
      <c r="Q90" s="20"/>
      <c r="R90" s="20"/>
      <c r="S90" s="12"/>
      <c r="U90" s="20"/>
    </row>
    <row r="91" spans="2:21">
      <c r="B91" s="64"/>
      <c r="C91" s="20"/>
      <c r="D91" s="20"/>
      <c r="E91" s="250"/>
      <c r="F91" s="64"/>
      <c r="G91" s="64"/>
      <c r="H91" s="64"/>
      <c r="I91" s="64"/>
      <c r="J91" s="64"/>
      <c r="K91" s="20"/>
      <c r="L91" s="20"/>
      <c r="M91" s="20"/>
      <c r="N91" s="250"/>
      <c r="O91" s="250"/>
      <c r="P91" s="20"/>
      <c r="Q91" s="20"/>
      <c r="R91" s="20"/>
      <c r="S91" s="12"/>
      <c r="U91" s="20"/>
    </row>
    <row r="92" spans="2:21">
      <c r="B92" s="64"/>
      <c r="C92" s="20"/>
      <c r="D92" s="20"/>
      <c r="E92" s="250"/>
      <c r="F92" s="64"/>
      <c r="G92" s="64"/>
      <c r="H92" s="64"/>
      <c r="I92" s="64"/>
      <c r="J92" s="64"/>
      <c r="K92" s="20"/>
      <c r="L92" s="20"/>
      <c r="M92" s="20"/>
      <c r="N92" s="250"/>
      <c r="O92" s="250"/>
      <c r="P92" s="20"/>
      <c r="Q92" s="20"/>
      <c r="R92" s="20"/>
      <c r="S92" s="12"/>
      <c r="U92" s="20"/>
    </row>
    <row r="93" spans="2:21">
      <c r="B93" s="64"/>
      <c r="C93" s="20"/>
      <c r="D93" s="20"/>
      <c r="E93" s="250"/>
      <c r="F93" s="64"/>
      <c r="G93" s="64"/>
      <c r="H93" s="64"/>
      <c r="I93" s="64"/>
      <c r="J93" s="64"/>
      <c r="K93" s="20"/>
      <c r="L93" s="20"/>
      <c r="M93" s="20"/>
      <c r="N93" s="250"/>
      <c r="O93" s="250"/>
      <c r="P93" s="20"/>
      <c r="Q93" s="20"/>
      <c r="R93" s="20"/>
      <c r="S93" s="12"/>
      <c r="U93" s="20"/>
    </row>
    <row r="94" spans="2:21">
      <c r="B94" s="64"/>
      <c r="C94" s="20"/>
      <c r="D94" s="20"/>
      <c r="E94" s="250"/>
      <c r="F94" s="64"/>
      <c r="G94" s="64"/>
      <c r="H94" s="64"/>
      <c r="I94" s="64"/>
      <c r="J94" s="64"/>
      <c r="K94" s="20"/>
      <c r="L94" s="20"/>
      <c r="M94" s="20"/>
      <c r="N94" s="250"/>
      <c r="O94" s="250"/>
      <c r="P94" s="20"/>
      <c r="Q94" s="20"/>
      <c r="R94" s="20"/>
      <c r="S94" s="12"/>
      <c r="U94" s="20"/>
    </row>
    <row r="95" spans="2:21">
      <c r="B95" s="64"/>
      <c r="C95" s="20"/>
      <c r="D95" s="20"/>
      <c r="E95" s="250"/>
      <c r="F95" s="64"/>
      <c r="G95" s="64"/>
      <c r="H95" s="64"/>
      <c r="I95" s="64"/>
      <c r="J95" s="64"/>
      <c r="K95" s="20"/>
      <c r="L95" s="20"/>
      <c r="M95" s="20"/>
      <c r="N95" s="250"/>
      <c r="O95" s="250"/>
      <c r="P95" s="20"/>
      <c r="Q95" s="20"/>
      <c r="R95" s="20"/>
      <c r="S95" s="12"/>
      <c r="U95" s="20"/>
    </row>
    <row r="96" spans="2:21">
      <c r="B96" s="64"/>
      <c r="C96" s="20"/>
      <c r="D96" s="20"/>
      <c r="E96" s="250"/>
      <c r="F96" s="64"/>
      <c r="G96" s="64"/>
      <c r="H96" s="64"/>
      <c r="I96" s="64"/>
      <c r="J96" s="64"/>
      <c r="K96" s="20"/>
      <c r="L96" s="20"/>
      <c r="M96" s="20"/>
      <c r="N96" s="250"/>
      <c r="O96" s="250"/>
      <c r="P96" s="20"/>
      <c r="Q96" s="20"/>
      <c r="R96" s="20"/>
      <c r="S96" s="12"/>
      <c r="U96" s="20"/>
    </row>
    <row r="97" spans="2:21">
      <c r="B97" s="64"/>
      <c r="C97" s="20"/>
      <c r="D97" s="20"/>
      <c r="E97" s="250"/>
      <c r="F97" s="64"/>
      <c r="G97" s="64"/>
      <c r="H97" s="64"/>
      <c r="I97" s="64"/>
      <c r="J97" s="64"/>
      <c r="K97" s="20"/>
      <c r="L97" s="20"/>
      <c r="M97" s="20"/>
      <c r="N97" s="250"/>
      <c r="O97" s="250"/>
      <c r="P97" s="20"/>
      <c r="Q97" s="20"/>
      <c r="R97" s="20"/>
      <c r="S97" s="12"/>
      <c r="U97" s="20"/>
    </row>
    <row r="98" spans="2:21">
      <c r="B98" s="64"/>
      <c r="C98" s="20"/>
      <c r="D98" s="20"/>
      <c r="E98" s="250"/>
      <c r="F98" s="64"/>
      <c r="G98" s="64"/>
      <c r="H98" s="64"/>
      <c r="I98" s="64"/>
      <c r="J98" s="64"/>
      <c r="K98" s="20"/>
      <c r="L98" s="20"/>
      <c r="M98" s="20"/>
      <c r="N98" s="250"/>
      <c r="O98" s="250"/>
      <c r="P98" s="20"/>
      <c r="Q98" s="20"/>
      <c r="R98" s="20"/>
      <c r="S98" s="12"/>
      <c r="U98" s="20"/>
    </row>
    <row r="99" spans="2:21">
      <c r="B99" s="64"/>
      <c r="C99" s="20"/>
      <c r="D99" s="20"/>
      <c r="E99" s="250"/>
      <c r="F99" s="64"/>
      <c r="G99" s="64"/>
      <c r="H99" s="64"/>
      <c r="I99" s="64"/>
      <c r="J99" s="64"/>
      <c r="K99" s="20"/>
      <c r="L99" s="20"/>
      <c r="M99" s="20"/>
      <c r="N99" s="250"/>
      <c r="O99" s="250"/>
      <c r="P99" s="20"/>
      <c r="Q99" s="20"/>
      <c r="R99" s="20"/>
      <c r="S99" s="12"/>
      <c r="U99" s="20"/>
    </row>
    <row r="100" spans="2:21">
      <c r="B100" s="64"/>
      <c r="C100" s="20"/>
      <c r="D100" s="20"/>
      <c r="E100" s="250"/>
      <c r="F100" s="64"/>
      <c r="G100" s="64"/>
      <c r="H100" s="64"/>
      <c r="I100" s="64"/>
      <c r="J100" s="64"/>
      <c r="K100" s="20"/>
      <c r="L100" s="20"/>
      <c r="M100" s="20"/>
      <c r="N100" s="250"/>
      <c r="O100" s="250"/>
      <c r="P100" s="20"/>
      <c r="Q100" s="20"/>
      <c r="R100" s="20"/>
      <c r="S100" s="12"/>
      <c r="U100" s="20"/>
    </row>
    <row r="101" spans="2:21">
      <c r="B101" s="64"/>
      <c r="C101" s="20"/>
      <c r="D101" s="20"/>
      <c r="E101" s="250"/>
      <c r="F101" s="64"/>
      <c r="G101" s="64"/>
      <c r="H101" s="64"/>
      <c r="I101" s="64"/>
      <c r="J101" s="64"/>
      <c r="K101" s="20"/>
      <c r="L101" s="20"/>
      <c r="M101" s="20"/>
      <c r="N101" s="250"/>
      <c r="O101" s="250"/>
      <c r="P101" s="20"/>
      <c r="Q101" s="20"/>
      <c r="R101" s="20"/>
      <c r="S101" s="12"/>
      <c r="U101" s="20"/>
    </row>
    <row r="102" spans="2:21">
      <c r="B102" s="64"/>
      <c r="C102" s="20"/>
      <c r="D102" s="20"/>
      <c r="E102" s="250"/>
      <c r="F102" s="64"/>
      <c r="G102" s="64"/>
      <c r="H102" s="64"/>
      <c r="I102" s="64"/>
      <c r="J102" s="64"/>
      <c r="K102" s="20"/>
      <c r="L102" s="20"/>
      <c r="M102" s="20"/>
      <c r="N102" s="250"/>
      <c r="O102" s="250"/>
      <c r="P102" s="20"/>
      <c r="Q102" s="20"/>
      <c r="R102" s="20"/>
      <c r="S102" s="12"/>
      <c r="U102" s="20"/>
    </row>
    <row r="103" spans="2:21">
      <c r="B103" s="64"/>
      <c r="C103" s="20"/>
      <c r="D103" s="20"/>
      <c r="E103" s="250"/>
      <c r="F103" s="64"/>
      <c r="G103" s="64"/>
      <c r="H103" s="64"/>
      <c r="I103" s="64"/>
      <c r="J103" s="64"/>
      <c r="K103" s="20"/>
      <c r="L103" s="20"/>
      <c r="M103" s="20"/>
      <c r="N103" s="250"/>
      <c r="O103" s="250"/>
      <c r="P103" s="20"/>
      <c r="Q103" s="20"/>
      <c r="R103" s="20"/>
      <c r="S103" s="12"/>
      <c r="U103" s="20"/>
    </row>
    <row r="104" spans="2:21">
      <c r="B104" s="64"/>
      <c r="C104" s="20"/>
      <c r="D104" s="20"/>
      <c r="E104" s="250"/>
      <c r="F104" s="64"/>
      <c r="G104" s="64"/>
      <c r="H104" s="64"/>
      <c r="I104" s="64"/>
      <c r="J104" s="64"/>
      <c r="K104" s="20"/>
      <c r="L104" s="20"/>
      <c r="M104" s="20"/>
      <c r="N104" s="250"/>
      <c r="O104" s="250"/>
      <c r="P104" s="20"/>
      <c r="Q104" s="20"/>
      <c r="R104" s="20"/>
      <c r="S104" s="12"/>
      <c r="U104" s="20"/>
    </row>
    <row r="105" spans="2:21">
      <c r="B105" s="64"/>
      <c r="C105" s="20"/>
      <c r="D105" s="20"/>
      <c r="E105" s="250"/>
      <c r="F105" s="64"/>
      <c r="G105" s="64"/>
      <c r="H105" s="64"/>
      <c r="I105" s="64"/>
      <c r="J105" s="64"/>
      <c r="K105" s="20"/>
      <c r="L105" s="20"/>
      <c r="M105" s="20"/>
      <c r="N105" s="250"/>
      <c r="O105" s="250"/>
      <c r="P105" s="20"/>
      <c r="Q105" s="20"/>
      <c r="R105" s="20"/>
      <c r="S105" s="12"/>
      <c r="U105" s="20"/>
    </row>
    <row r="106" spans="2:21">
      <c r="B106" s="64"/>
      <c r="C106" s="20"/>
      <c r="D106" s="20"/>
      <c r="E106" s="250"/>
      <c r="F106" s="64"/>
      <c r="G106" s="64"/>
      <c r="H106" s="64"/>
      <c r="I106" s="64"/>
      <c r="J106" s="64"/>
      <c r="K106" s="20"/>
      <c r="L106" s="20"/>
      <c r="M106" s="20"/>
      <c r="N106" s="250"/>
      <c r="O106" s="250"/>
      <c r="P106" s="20"/>
      <c r="Q106" s="20"/>
      <c r="R106" s="20"/>
      <c r="S106" s="12"/>
      <c r="U106" s="20"/>
    </row>
    <row r="107" spans="2:21">
      <c r="B107" s="64"/>
      <c r="C107" s="20"/>
      <c r="D107" s="20"/>
      <c r="E107" s="250"/>
      <c r="F107" s="64"/>
      <c r="G107" s="64"/>
      <c r="H107" s="64"/>
      <c r="I107" s="64"/>
      <c r="J107" s="64"/>
      <c r="K107" s="20"/>
      <c r="L107" s="20"/>
      <c r="M107" s="20"/>
      <c r="N107" s="250"/>
      <c r="O107" s="250"/>
      <c r="P107" s="20"/>
      <c r="Q107" s="20"/>
      <c r="R107" s="20"/>
      <c r="S107" s="12"/>
      <c r="U107" s="20"/>
    </row>
    <row r="108" spans="2:21">
      <c r="B108" s="64"/>
      <c r="C108" s="20"/>
      <c r="D108" s="20"/>
      <c r="E108" s="250"/>
      <c r="F108" s="64"/>
      <c r="G108" s="64"/>
      <c r="H108" s="64"/>
      <c r="I108" s="64"/>
      <c r="J108" s="64"/>
      <c r="K108" s="20"/>
      <c r="L108" s="20"/>
      <c r="M108" s="20"/>
      <c r="N108" s="250"/>
      <c r="O108" s="250"/>
      <c r="P108" s="20"/>
      <c r="Q108" s="20"/>
      <c r="R108" s="20"/>
      <c r="S108" s="12"/>
      <c r="U108" s="20"/>
    </row>
    <row r="109" spans="2:21">
      <c r="B109" s="64"/>
      <c r="C109" s="20"/>
      <c r="D109" s="20"/>
      <c r="E109" s="250"/>
      <c r="F109" s="64"/>
      <c r="G109" s="64"/>
      <c r="H109" s="64"/>
      <c r="I109" s="64"/>
      <c r="J109" s="64"/>
      <c r="K109" s="20"/>
      <c r="L109" s="20"/>
      <c r="M109" s="20"/>
      <c r="N109" s="250"/>
      <c r="O109" s="250"/>
      <c r="P109" s="20"/>
      <c r="Q109" s="20"/>
      <c r="R109" s="20"/>
      <c r="S109" s="12"/>
      <c r="U109" s="20"/>
    </row>
    <row r="110" spans="2:21">
      <c r="B110" s="64"/>
      <c r="C110" s="20"/>
      <c r="D110" s="20"/>
      <c r="E110" s="250"/>
      <c r="F110" s="64"/>
      <c r="G110" s="64"/>
      <c r="H110" s="64"/>
      <c r="I110" s="64"/>
      <c r="J110" s="64"/>
      <c r="K110" s="20"/>
      <c r="L110" s="20"/>
      <c r="M110" s="20"/>
      <c r="N110" s="250"/>
      <c r="O110" s="250"/>
      <c r="P110" s="20"/>
      <c r="Q110" s="20"/>
      <c r="R110" s="20"/>
      <c r="S110" s="12"/>
      <c r="U110" s="20"/>
    </row>
    <row r="111" spans="2:21">
      <c r="B111" s="64"/>
      <c r="C111" s="20"/>
      <c r="D111" s="20"/>
      <c r="E111" s="250"/>
      <c r="F111" s="64"/>
      <c r="G111" s="64"/>
      <c r="H111" s="64"/>
      <c r="I111" s="64"/>
      <c r="J111" s="64"/>
      <c r="K111" s="20"/>
      <c r="L111" s="20"/>
      <c r="M111" s="20"/>
      <c r="N111" s="250"/>
      <c r="O111" s="250"/>
      <c r="P111" s="20"/>
      <c r="Q111" s="20"/>
      <c r="R111" s="20"/>
      <c r="S111" s="12"/>
      <c r="U111" s="20"/>
    </row>
    <row r="112" spans="2:21">
      <c r="B112" s="64"/>
      <c r="C112" s="20"/>
      <c r="D112" s="20"/>
      <c r="E112" s="250"/>
      <c r="F112" s="64"/>
      <c r="G112" s="64"/>
      <c r="H112" s="64"/>
      <c r="I112" s="64"/>
      <c r="J112" s="64"/>
      <c r="K112" s="20"/>
      <c r="L112" s="20"/>
      <c r="M112" s="20"/>
      <c r="N112" s="250"/>
      <c r="O112" s="250"/>
      <c r="P112" s="20"/>
      <c r="Q112" s="20"/>
      <c r="R112" s="20"/>
      <c r="S112" s="12"/>
      <c r="U112" s="20"/>
    </row>
    <row r="113" spans="1:21">
      <c r="B113" s="64"/>
      <c r="C113" s="20"/>
      <c r="D113" s="20"/>
      <c r="E113" s="250"/>
      <c r="F113" s="64"/>
      <c r="G113" s="64"/>
      <c r="H113" s="64"/>
      <c r="I113" s="64"/>
      <c r="J113" s="64"/>
      <c r="K113" s="20"/>
      <c r="L113" s="20"/>
      <c r="M113" s="20"/>
      <c r="N113" s="250"/>
      <c r="O113" s="250"/>
      <c r="P113" s="20"/>
      <c r="Q113" s="20"/>
      <c r="R113" s="20"/>
      <c r="S113" s="12"/>
      <c r="U113" s="20"/>
    </row>
    <row r="114" spans="1:21">
      <c r="B114" s="64"/>
      <c r="C114" s="20"/>
      <c r="D114" s="20"/>
      <c r="E114" s="250"/>
      <c r="F114" s="64"/>
      <c r="G114" s="64"/>
      <c r="H114" s="64"/>
      <c r="I114" s="64"/>
      <c r="J114" s="64"/>
      <c r="K114" s="20"/>
      <c r="L114" s="20"/>
      <c r="M114" s="20"/>
      <c r="N114" s="250"/>
      <c r="O114" s="250"/>
      <c r="P114" s="20"/>
      <c r="Q114" s="20"/>
      <c r="R114" s="20"/>
      <c r="S114" s="12"/>
      <c r="U114" s="20"/>
    </row>
    <row r="115" spans="1:21">
      <c r="B115" s="64"/>
      <c r="C115" s="20"/>
      <c r="D115" s="20"/>
      <c r="E115" s="250"/>
      <c r="F115" s="64"/>
      <c r="G115" s="64"/>
      <c r="H115" s="64"/>
      <c r="I115" s="64"/>
      <c r="J115" s="64"/>
      <c r="K115" s="20"/>
      <c r="L115" s="20"/>
      <c r="M115" s="20"/>
      <c r="N115" s="250"/>
      <c r="O115" s="250"/>
      <c r="P115" s="20"/>
      <c r="Q115" s="20"/>
      <c r="R115" s="20"/>
      <c r="S115" s="12"/>
      <c r="U115" s="20"/>
    </row>
    <row r="116" spans="1:21">
      <c r="B116" s="64"/>
      <c r="C116" s="20"/>
      <c r="D116" s="20"/>
      <c r="E116" s="250"/>
      <c r="F116" s="64"/>
      <c r="G116" s="64"/>
      <c r="H116" s="64"/>
      <c r="I116" s="64"/>
      <c r="J116" s="64"/>
      <c r="K116" s="20"/>
      <c r="L116" s="20"/>
      <c r="M116" s="20"/>
      <c r="N116" s="250"/>
      <c r="O116" s="250"/>
      <c r="P116" s="20"/>
      <c r="Q116" s="20"/>
      <c r="R116" s="20"/>
      <c r="S116" s="12"/>
      <c r="U116" s="20"/>
    </row>
    <row r="117" spans="1:21">
      <c r="B117" s="64"/>
      <c r="C117" s="20"/>
      <c r="D117" s="20"/>
      <c r="E117" s="250"/>
      <c r="F117" s="64"/>
      <c r="G117" s="64"/>
      <c r="H117" s="64"/>
      <c r="I117" s="64"/>
      <c r="J117" s="64"/>
      <c r="K117" s="20"/>
      <c r="L117" s="20"/>
      <c r="M117" s="20"/>
      <c r="N117" s="250"/>
      <c r="O117" s="250"/>
      <c r="P117" s="20"/>
      <c r="Q117" s="20"/>
      <c r="R117" s="20"/>
      <c r="S117" s="12"/>
      <c r="U117" s="20"/>
    </row>
    <row r="118" spans="1:21">
      <c r="B118" s="64"/>
      <c r="C118" s="20"/>
      <c r="D118" s="20"/>
      <c r="E118" s="250"/>
      <c r="F118" s="64"/>
      <c r="G118" s="64"/>
      <c r="H118" s="64"/>
      <c r="I118" s="64"/>
      <c r="J118" s="64"/>
      <c r="K118" s="20"/>
      <c r="L118" s="20"/>
      <c r="M118" s="20"/>
      <c r="N118" s="250"/>
      <c r="O118" s="250"/>
      <c r="P118" s="20"/>
      <c r="Q118" s="20"/>
      <c r="R118" s="20"/>
      <c r="S118" s="12"/>
      <c r="U118" s="20"/>
    </row>
    <row r="119" spans="1:21">
      <c r="B119" s="64"/>
      <c r="C119" s="20"/>
      <c r="D119" s="20"/>
      <c r="E119" s="250"/>
      <c r="F119" s="64"/>
      <c r="G119" s="64"/>
      <c r="H119" s="64"/>
      <c r="I119" s="64"/>
      <c r="J119" s="64"/>
      <c r="K119" s="20"/>
      <c r="L119" s="20"/>
      <c r="M119" s="20"/>
      <c r="N119" s="250"/>
      <c r="O119" s="250"/>
      <c r="P119" s="20"/>
      <c r="Q119" s="20"/>
      <c r="R119" s="20"/>
      <c r="S119" s="12"/>
      <c r="U119" s="20"/>
    </row>
    <row r="120" spans="1:21">
      <c r="B120" s="64"/>
      <c r="C120" s="20"/>
      <c r="D120" s="20"/>
      <c r="E120" s="250"/>
      <c r="F120" s="64"/>
      <c r="G120" s="64"/>
      <c r="H120" s="64"/>
      <c r="I120" s="64"/>
      <c r="J120" s="64"/>
      <c r="K120" s="20"/>
      <c r="L120" s="20"/>
      <c r="M120" s="20"/>
      <c r="N120" s="250"/>
      <c r="O120" s="250"/>
      <c r="P120" s="20"/>
      <c r="Q120" s="20"/>
      <c r="R120" s="20"/>
      <c r="S120" s="12"/>
      <c r="U120" s="20"/>
    </row>
    <row r="121" spans="1:21">
      <c r="B121" s="64"/>
      <c r="C121" s="20"/>
      <c r="D121" s="20"/>
      <c r="E121" s="250"/>
      <c r="F121" s="64"/>
      <c r="G121" s="64"/>
      <c r="H121" s="64"/>
      <c r="I121" s="64"/>
      <c r="J121" s="64"/>
      <c r="K121" s="20"/>
      <c r="L121" s="20"/>
      <c r="M121" s="20"/>
      <c r="N121" s="250"/>
      <c r="O121" s="250"/>
      <c r="P121" s="20"/>
      <c r="Q121" s="20"/>
      <c r="R121" s="20"/>
      <c r="S121" s="12"/>
      <c r="U121" s="20"/>
    </row>
    <row r="122" spans="1:21">
      <c r="B122" s="64"/>
      <c r="C122" s="20"/>
      <c r="D122" s="20"/>
      <c r="E122" s="250"/>
      <c r="F122" s="64"/>
      <c r="G122" s="64"/>
      <c r="H122" s="64"/>
      <c r="I122" s="64"/>
      <c r="J122" s="64"/>
      <c r="K122" s="20"/>
      <c r="L122" s="20"/>
      <c r="M122" s="20"/>
      <c r="N122" s="250"/>
      <c r="O122" s="250"/>
      <c r="P122" s="20"/>
      <c r="Q122" s="20"/>
      <c r="R122" s="20"/>
      <c r="S122" s="12"/>
      <c r="U122" s="20"/>
    </row>
    <row r="123" spans="1:21">
      <c r="B123" s="64"/>
      <c r="C123" s="20"/>
      <c r="D123" s="20"/>
      <c r="E123" s="250"/>
      <c r="F123" s="64"/>
      <c r="G123" s="64"/>
      <c r="H123" s="64"/>
      <c r="I123" s="64"/>
      <c r="J123" s="64"/>
      <c r="K123" s="20"/>
      <c r="L123" s="20"/>
      <c r="M123" s="20"/>
      <c r="N123" s="250"/>
      <c r="O123" s="250"/>
      <c r="P123" s="20"/>
      <c r="Q123" s="20"/>
      <c r="R123" s="20"/>
      <c r="S123" s="12"/>
      <c r="U123" s="20"/>
    </row>
    <row r="124" spans="1:21">
      <c r="A124" s="20"/>
      <c r="B124" s="64"/>
      <c r="C124" s="20"/>
      <c r="D124" s="20"/>
      <c r="E124" s="250"/>
      <c r="F124" s="64"/>
      <c r="G124" s="64"/>
      <c r="H124" s="64"/>
      <c r="I124" s="64"/>
      <c r="J124" s="64"/>
      <c r="K124" s="20"/>
      <c r="L124" s="20"/>
      <c r="M124" s="20"/>
      <c r="N124" s="250"/>
      <c r="O124" s="250"/>
      <c r="P124" s="20"/>
      <c r="Q124" s="20"/>
      <c r="R124" s="20"/>
      <c r="S124" s="12"/>
      <c r="U124" s="20"/>
    </row>
    <row r="125" spans="1:21">
      <c r="A125" s="20"/>
      <c r="B125" s="64"/>
      <c r="C125" s="20"/>
      <c r="D125" s="20"/>
      <c r="E125" s="250"/>
      <c r="F125" s="64"/>
      <c r="G125" s="64"/>
      <c r="H125" s="64"/>
      <c r="I125" s="64"/>
      <c r="J125" s="64"/>
      <c r="K125" s="20"/>
      <c r="L125" s="20"/>
      <c r="M125" s="20"/>
      <c r="N125" s="250"/>
      <c r="O125" s="250"/>
      <c r="P125" s="20"/>
      <c r="Q125" s="20"/>
      <c r="R125" s="20"/>
      <c r="S125" s="12"/>
      <c r="U125" s="20"/>
    </row>
    <row r="126" spans="1:21">
      <c r="A126" s="20"/>
      <c r="B126" s="64"/>
      <c r="C126" s="20"/>
      <c r="D126" s="20"/>
      <c r="E126" s="250"/>
      <c r="F126" s="64"/>
      <c r="G126" s="64"/>
      <c r="H126" s="64"/>
      <c r="I126" s="64"/>
      <c r="J126" s="64"/>
      <c r="K126" s="20"/>
      <c r="L126" s="20"/>
      <c r="M126" s="20"/>
      <c r="N126" s="250"/>
      <c r="O126" s="250"/>
      <c r="P126" s="20"/>
      <c r="Q126" s="20"/>
      <c r="R126" s="20"/>
      <c r="S126" s="12"/>
      <c r="U126" s="20"/>
    </row>
    <row r="127" spans="1:21">
      <c r="A127" s="20"/>
      <c r="B127" s="64"/>
      <c r="C127" s="20"/>
      <c r="D127" s="20"/>
      <c r="E127" s="250"/>
      <c r="F127" s="64"/>
      <c r="G127" s="64"/>
      <c r="H127" s="64"/>
      <c r="I127" s="64"/>
      <c r="J127" s="64"/>
      <c r="K127" s="20"/>
      <c r="L127" s="20"/>
      <c r="M127" s="20"/>
      <c r="N127" s="250"/>
      <c r="O127" s="250"/>
      <c r="P127" s="20"/>
      <c r="Q127" s="20"/>
      <c r="R127" s="20"/>
      <c r="S127" s="12"/>
      <c r="U127" s="20"/>
    </row>
    <row r="128" spans="1:21">
      <c r="A128" s="20"/>
      <c r="B128" s="64"/>
      <c r="C128" s="20"/>
      <c r="D128" s="20"/>
      <c r="E128" s="250"/>
      <c r="F128" s="64"/>
      <c r="G128" s="64"/>
      <c r="H128" s="64"/>
      <c r="I128" s="64"/>
      <c r="J128" s="64"/>
      <c r="K128" s="20"/>
      <c r="L128" s="20"/>
      <c r="M128" s="20"/>
      <c r="N128" s="250"/>
      <c r="O128" s="250"/>
      <c r="P128" s="20"/>
      <c r="Q128" s="20"/>
      <c r="R128" s="20"/>
      <c r="S128" s="12"/>
      <c r="U128" s="20"/>
    </row>
    <row r="129" spans="1:21">
      <c r="A129" s="20"/>
      <c r="B129" s="64"/>
      <c r="C129" s="20"/>
      <c r="D129" s="20"/>
      <c r="E129" s="250"/>
      <c r="F129" s="64"/>
      <c r="G129" s="64"/>
      <c r="H129" s="64"/>
      <c r="I129" s="64"/>
      <c r="J129" s="64"/>
      <c r="K129" s="20"/>
      <c r="L129" s="20"/>
      <c r="M129" s="20"/>
      <c r="N129" s="250"/>
      <c r="O129" s="250"/>
      <c r="P129" s="20"/>
      <c r="Q129" s="20"/>
      <c r="R129" s="20"/>
      <c r="S129" s="12"/>
      <c r="U129" s="20"/>
    </row>
    <row r="130" spans="1:21">
      <c r="A130" s="20"/>
      <c r="B130" s="64"/>
      <c r="C130" s="20"/>
      <c r="D130" s="20"/>
      <c r="E130" s="250"/>
      <c r="F130" s="64"/>
      <c r="G130" s="64"/>
      <c r="H130" s="64"/>
      <c r="I130" s="64"/>
      <c r="J130" s="64"/>
      <c r="K130" s="20"/>
      <c r="L130" s="20"/>
      <c r="M130" s="20"/>
      <c r="N130" s="250"/>
      <c r="O130" s="250"/>
      <c r="P130" s="20"/>
      <c r="Q130" s="20"/>
      <c r="R130" s="20"/>
      <c r="S130" s="12"/>
      <c r="U130" s="20"/>
    </row>
    <row r="131" spans="1:21">
      <c r="A131" s="20"/>
      <c r="B131" s="64"/>
      <c r="C131" s="20"/>
      <c r="D131" s="20"/>
      <c r="E131" s="250"/>
      <c r="F131" s="64"/>
      <c r="G131" s="64"/>
      <c r="H131" s="64"/>
      <c r="I131" s="64"/>
      <c r="J131" s="64"/>
      <c r="K131" s="20"/>
      <c r="L131" s="20"/>
      <c r="M131" s="20"/>
      <c r="N131" s="250"/>
      <c r="O131" s="250"/>
      <c r="P131" s="20"/>
      <c r="Q131" s="20"/>
      <c r="R131" s="20"/>
      <c r="S131" s="12"/>
      <c r="U131" s="20"/>
    </row>
    <row r="132" spans="1:21">
      <c r="A132" s="20"/>
      <c r="B132" s="64"/>
      <c r="C132" s="20"/>
      <c r="D132" s="20"/>
      <c r="E132" s="250"/>
      <c r="F132" s="64"/>
      <c r="G132" s="64"/>
      <c r="H132" s="64"/>
      <c r="I132" s="64"/>
      <c r="J132" s="64"/>
      <c r="K132" s="20"/>
      <c r="L132" s="20"/>
      <c r="M132" s="20"/>
      <c r="N132" s="250"/>
      <c r="O132" s="250"/>
      <c r="P132" s="20"/>
      <c r="Q132" s="20"/>
      <c r="R132" s="20"/>
      <c r="S132" s="12"/>
      <c r="U132" s="20"/>
    </row>
    <row r="133" spans="1:21">
      <c r="A133" s="20"/>
      <c r="B133" s="64"/>
      <c r="C133" s="20"/>
      <c r="D133" s="20"/>
      <c r="E133" s="250"/>
      <c r="F133" s="64"/>
      <c r="G133" s="64"/>
      <c r="H133" s="64"/>
      <c r="I133" s="64"/>
      <c r="J133" s="64"/>
      <c r="K133" s="20"/>
      <c r="L133" s="20"/>
      <c r="M133" s="20"/>
      <c r="N133" s="250"/>
      <c r="O133" s="250"/>
      <c r="P133" s="20"/>
      <c r="Q133" s="20"/>
      <c r="R133" s="20"/>
      <c r="S133" s="12"/>
      <c r="U133" s="20"/>
    </row>
    <row r="134" spans="1:21">
      <c r="A134" s="20"/>
      <c r="B134" s="64"/>
      <c r="C134" s="20"/>
      <c r="D134" s="20"/>
      <c r="E134" s="250"/>
      <c r="F134" s="64"/>
      <c r="G134" s="64"/>
      <c r="H134" s="64"/>
      <c r="I134" s="64"/>
      <c r="J134" s="64"/>
      <c r="K134" s="20"/>
      <c r="L134" s="20"/>
      <c r="M134" s="20"/>
      <c r="N134" s="250"/>
      <c r="O134" s="250"/>
      <c r="P134" s="20"/>
      <c r="Q134" s="20"/>
      <c r="R134" s="20"/>
      <c r="S134" s="12"/>
      <c r="U134" s="20"/>
    </row>
    <row r="135" spans="1:21">
      <c r="A135" s="20"/>
      <c r="B135" s="64"/>
      <c r="C135" s="20"/>
      <c r="D135" s="20"/>
      <c r="E135" s="250"/>
      <c r="F135" s="64"/>
      <c r="G135" s="64"/>
      <c r="H135" s="64"/>
      <c r="I135" s="64"/>
      <c r="J135" s="64"/>
      <c r="K135" s="20"/>
      <c r="L135" s="20"/>
      <c r="M135" s="20"/>
      <c r="N135" s="250"/>
      <c r="O135" s="250"/>
      <c r="P135" s="20"/>
      <c r="Q135" s="20"/>
      <c r="R135" s="20"/>
      <c r="S135" s="12"/>
      <c r="U135" s="20"/>
    </row>
    <row r="136" spans="1:21">
      <c r="A136" s="20"/>
      <c r="B136" s="64"/>
      <c r="C136" s="20"/>
      <c r="D136" s="20"/>
      <c r="E136" s="250"/>
      <c r="F136" s="64"/>
      <c r="G136" s="64"/>
      <c r="H136" s="64"/>
      <c r="I136" s="64"/>
      <c r="J136" s="64"/>
      <c r="K136" s="20"/>
      <c r="L136" s="20"/>
      <c r="M136" s="20"/>
      <c r="N136" s="250"/>
      <c r="O136" s="250"/>
      <c r="P136" s="20"/>
      <c r="Q136" s="20"/>
      <c r="R136" s="20"/>
      <c r="S136" s="12"/>
      <c r="U136" s="20"/>
    </row>
    <row r="137" spans="1:21">
      <c r="A137" s="20"/>
      <c r="B137" s="64"/>
      <c r="C137" s="20"/>
      <c r="D137" s="20"/>
      <c r="E137" s="250"/>
      <c r="F137" s="64"/>
      <c r="G137" s="64"/>
      <c r="H137" s="64"/>
      <c r="I137" s="64"/>
      <c r="J137" s="64"/>
      <c r="K137" s="20"/>
      <c r="L137" s="20"/>
      <c r="M137" s="20"/>
      <c r="N137" s="250"/>
      <c r="O137" s="250"/>
      <c r="P137" s="20"/>
      <c r="Q137" s="20"/>
      <c r="R137" s="20"/>
      <c r="S137" s="12"/>
      <c r="U137" s="20"/>
    </row>
    <row r="138" spans="1:21">
      <c r="A138" s="20"/>
      <c r="B138" s="64"/>
      <c r="C138" s="20"/>
      <c r="D138" s="20"/>
      <c r="E138" s="250"/>
      <c r="F138" s="64"/>
      <c r="G138" s="64"/>
      <c r="H138" s="64"/>
      <c r="I138" s="64"/>
      <c r="J138" s="64"/>
      <c r="K138" s="20"/>
      <c r="L138" s="20"/>
      <c r="M138" s="20"/>
      <c r="N138" s="250"/>
      <c r="O138" s="250"/>
      <c r="P138" s="20"/>
      <c r="Q138" s="20"/>
      <c r="R138" s="20"/>
      <c r="S138" s="12"/>
      <c r="U138" s="20"/>
    </row>
    <row r="139" spans="1:21">
      <c r="A139" s="20"/>
      <c r="B139" s="64"/>
      <c r="C139" s="20"/>
      <c r="D139" s="20"/>
      <c r="E139" s="250"/>
      <c r="F139" s="64"/>
      <c r="G139" s="64"/>
      <c r="H139" s="64"/>
      <c r="I139" s="64"/>
      <c r="J139" s="64"/>
      <c r="K139" s="20"/>
      <c r="L139" s="20"/>
      <c r="M139" s="20"/>
      <c r="N139" s="250"/>
      <c r="O139" s="250"/>
      <c r="P139" s="20"/>
      <c r="Q139" s="20"/>
      <c r="R139" s="20"/>
      <c r="S139" s="12"/>
      <c r="U139" s="20"/>
    </row>
    <row r="140" spans="1:21">
      <c r="A140" s="20"/>
      <c r="B140" s="64"/>
      <c r="C140" s="20"/>
      <c r="D140" s="20"/>
      <c r="E140" s="250"/>
      <c r="F140" s="64"/>
      <c r="G140" s="64"/>
      <c r="H140" s="64"/>
      <c r="I140" s="64"/>
      <c r="J140" s="64"/>
      <c r="K140" s="20"/>
      <c r="L140" s="20"/>
      <c r="M140" s="20"/>
      <c r="N140" s="250"/>
      <c r="O140" s="250"/>
      <c r="P140" s="20"/>
      <c r="Q140" s="20"/>
      <c r="R140" s="20"/>
      <c r="S140" s="12"/>
      <c r="U140" s="20"/>
    </row>
    <row r="141" spans="1:21">
      <c r="A141" s="20"/>
      <c r="B141" s="64"/>
      <c r="C141" s="20"/>
      <c r="D141" s="20"/>
      <c r="E141" s="250"/>
      <c r="F141" s="64"/>
      <c r="G141" s="64"/>
      <c r="H141" s="64"/>
      <c r="I141" s="64"/>
      <c r="J141" s="64"/>
      <c r="K141" s="20"/>
      <c r="L141" s="20"/>
      <c r="M141" s="20"/>
      <c r="N141" s="250"/>
      <c r="O141" s="250"/>
      <c r="P141" s="20"/>
      <c r="Q141" s="20"/>
      <c r="R141" s="20"/>
      <c r="S141" s="12"/>
      <c r="U141" s="20"/>
    </row>
    <row r="142" spans="1:21">
      <c r="A142" s="20"/>
      <c r="B142" s="64"/>
      <c r="C142" s="20"/>
      <c r="D142" s="20"/>
      <c r="E142" s="250"/>
      <c r="F142" s="64"/>
      <c r="G142" s="64"/>
      <c r="H142" s="64"/>
      <c r="I142" s="64"/>
      <c r="J142" s="64"/>
      <c r="K142" s="20"/>
      <c r="L142" s="20"/>
      <c r="M142" s="20"/>
      <c r="N142" s="250"/>
      <c r="O142" s="250"/>
      <c r="P142" s="20"/>
      <c r="Q142" s="20"/>
      <c r="R142" s="20"/>
      <c r="S142" s="12"/>
      <c r="U142" s="20"/>
    </row>
    <row r="143" spans="1:21">
      <c r="A143" s="20"/>
      <c r="B143" s="64"/>
      <c r="C143" s="20"/>
      <c r="D143" s="20"/>
      <c r="E143" s="250"/>
      <c r="F143" s="64"/>
      <c r="G143" s="64"/>
      <c r="H143" s="64"/>
      <c r="I143" s="64"/>
      <c r="J143" s="64"/>
      <c r="K143" s="20"/>
      <c r="L143" s="20"/>
      <c r="M143" s="20"/>
      <c r="N143" s="250"/>
      <c r="O143" s="250"/>
      <c r="P143" s="20"/>
      <c r="Q143" s="20"/>
      <c r="R143" s="20"/>
      <c r="S143" s="12"/>
      <c r="U143" s="20"/>
    </row>
    <row r="144" spans="1:21">
      <c r="A144" s="20"/>
      <c r="B144" s="64"/>
      <c r="C144" s="20"/>
      <c r="D144" s="20"/>
      <c r="E144" s="250"/>
      <c r="F144" s="64"/>
      <c r="G144" s="64"/>
      <c r="H144" s="64"/>
      <c r="I144" s="64"/>
      <c r="J144" s="64"/>
      <c r="K144" s="20"/>
      <c r="L144" s="20"/>
      <c r="M144" s="20"/>
      <c r="N144" s="250"/>
      <c r="O144" s="250"/>
      <c r="P144" s="20"/>
      <c r="Q144" s="20"/>
      <c r="R144" s="20"/>
      <c r="S144" s="12"/>
      <c r="U144" s="20"/>
    </row>
    <row r="145" spans="1:21">
      <c r="A145" s="20"/>
      <c r="B145" s="64"/>
      <c r="C145" s="20"/>
      <c r="D145" s="20"/>
      <c r="E145" s="250"/>
      <c r="F145" s="64"/>
      <c r="G145" s="64"/>
      <c r="H145" s="64"/>
      <c r="I145" s="64"/>
      <c r="J145" s="64"/>
      <c r="K145" s="20"/>
      <c r="L145" s="20"/>
      <c r="M145" s="20"/>
      <c r="N145" s="250"/>
      <c r="O145" s="250"/>
      <c r="P145" s="20"/>
      <c r="Q145" s="20"/>
      <c r="R145" s="20"/>
      <c r="S145" s="12"/>
      <c r="U145" s="20"/>
    </row>
    <row r="146" spans="1:21">
      <c r="A146" s="20"/>
      <c r="B146" s="64"/>
      <c r="C146" s="20"/>
      <c r="D146" s="20"/>
      <c r="E146" s="250"/>
      <c r="F146" s="64"/>
      <c r="G146" s="64"/>
      <c r="H146" s="64"/>
      <c r="I146" s="64"/>
      <c r="J146" s="64"/>
      <c r="K146" s="20"/>
      <c r="L146" s="20"/>
      <c r="M146" s="20"/>
      <c r="N146" s="250"/>
      <c r="O146" s="250"/>
      <c r="P146" s="20"/>
      <c r="Q146" s="20"/>
      <c r="R146" s="20"/>
      <c r="S146" s="12"/>
      <c r="U146" s="20"/>
    </row>
    <row r="147" spans="1:21">
      <c r="A147" s="20"/>
      <c r="B147" s="64"/>
      <c r="C147" s="20"/>
      <c r="D147" s="20"/>
      <c r="E147" s="250"/>
      <c r="F147" s="64"/>
      <c r="G147" s="64"/>
      <c r="H147" s="64"/>
      <c r="I147" s="64"/>
      <c r="J147" s="64"/>
      <c r="K147" s="20"/>
      <c r="L147" s="20"/>
      <c r="M147" s="20"/>
      <c r="N147" s="250"/>
      <c r="O147" s="250"/>
      <c r="P147" s="20"/>
      <c r="Q147" s="20"/>
      <c r="R147" s="20"/>
      <c r="S147" s="12"/>
      <c r="U147" s="20"/>
    </row>
    <row r="148" spans="1:21">
      <c r="A148" s="20"/>
      <c r="B148" s="64"/>
      <c r="C148" s="20"/>
      <c r="D148" s="20"/>
      <c r="E148" s="250"/>
      <c r="F148" s="64"/>
      <c r="G148" s="64"/>
      <c r="H148" s="64"/>
      <c r="I148" s="64"/>
      <c r="J148" s="64"/>
      <c r="K148" s="20"/>
      <c r="L148" s="20"/>
      <c r="M148" s="20"/>
      <c r="N148" s="250"/>
      <c r="O148" s="250"/>
      <c r="P148" s="20"/>
      <c r="Q148" s="20"/>
      <c r="R148" s="20"/>
      <c r="S148" s="12"/>
      <c r="U148" s="20"/>
    </row>
    <row r="149" spans="1:21">
      <c r="A149" s="20"/>
      <c r="B149" s="64"/>
      <c r="C149" s="20"/>
      <c r="D149" s="20"/>
      <c r="E149" s="250"/>
      <c r="F149" s="64"/>
      <c r="G149" s="64"/>
      <c r="H149" s="64"/>
      <c r="I149" s="64"/>
      <c r="J149" s="64"/>
      <c r="K149" s="20"/>
      <c r="L149" s="20"/>
      <c r="M149" s="20"/>
      <c r="N149" s="250"/>
      <c r="O149" s="250"/>
      <c r="P149" s="20"/>
      <c r="Q149" s="20"/>
      <c r="R149" s="20"/>
      <c r="S149" s="12"/>
      <c r="U149" s="20"/>
    </row>
    <row r="150" spans="1:21">
      <c r="A150" s="20"/>
      <c r="B150" s="64"/>
      <c r="C150" s="20"/>
      <c r="D150" s="20"/>
      <c r="E150" s="250"/>
      <c r="F150" s="64"/>
      <c r="G150" s="64"/>
      <c r="H150" s="64"/>
      <c r="I150" s="64"/>
      <c r="J150" s="64"/>
      <c r="K150" s="20"/>
      <c r="L150" s="20"/>
      <c r="M150" s="20"/>
      <c r="N150" s="250"/>
      <c r="O150" s="250"/>
      <c r="P150" s="20"/>
      <c r="Q150" s="20"/>
      <c r="R150" s="20"/>
      <c r="S150" s="12"/>
      <c r="U150" s="20"/>
    </row>
    <row r="151" spans="1:21">
      <c r="A151" s="20"/>
      <c r="B151" s="64"/>
      <c r="C151" s="20"/>
      <c r="D151" s="20"/>
      <c r="E151" s="250"/>
      <c r="F151" s="64"/>
      <c r="G151" s="64"/>
      <c r="H151" s="64"/>
      <c r="I151" s="64"/>
      <c r="J151" s="64"/>
      <c r="K151" s="20"/>
      <c r="L151" s="20"/>
      <c r="M151" s="20"/>
      <c r="N151" s="250"/>
      <c r="O151" s="250"/>
      <c r="P151" s="20"/>
      <c r="Q151" s="20"/>
      <c r="R151" s="20"/>
      <c r="S151" s="12"/>
      <c r="U151" s="20"/>
    </row>
    <row r="152" spans="1:21">
      <c r="A152" s="20"/>
      <c r="B152" s="64"/>
      <c r="C152" s="20"/>
      <c r="D152" s="20"/>
      <c r="E152" s="250"/>
      <c r="F152" s="64"/>
      <c r="G152" s="64"/>
      <c r="H152" s="64"/>
      <c r="I152" s="64"/>
      <c r="J152" s="64"/>
      <c r="K152" s="20"/>
      <c r="L152" s="20"/>
      <c r="M152" s="20"/>
      <c r="N152" s="250"/>
      <c r="O152" s="250"/>
      <c r="P152" s="20"/>
      <c r="Q152" s="20"/>
      <c r="R152" s="20"/>
      <c r="S152" s="12"/>
      <c r="U152" s="20"/>
    </row>
    <row r="153" spans="1:21">
      <c r="A153" s="20"/>
      <c r="B153" s="64"/>
      <c r="C153" s="20"/>
      <c r="D153" s="20"/>
      <c r="E153" s="250"/>
      <c r="F153" s="64"/>
      <c r="G153" s="64"/>
      <c r="H153" s="64"/>
      <c r="I153" s="64"/>
      <c r="J153" s="64"/>
      <c r="K153" s="20"/>
      <c r="L153" s="20"/>
      <c r="M153" s="20"/>
      <c r="N153" s="250"/>
      <c r="O153" s="250"/>
      <c r="P153" s="20"/>
      <c r="Q153" s="20"/>
      <c r="R153" s="20"/>
      <c r="S153" s="12"/>
      <c r="U153" s="20"/>
    </row>
    <row r="154" spans="1:21">
      <c r="A154" s="20"/>
      <c r="B154" s="64"/>
      <c r="C154" s="20"/>
      <c r="D154" s="20"/>
      <c r="E154" s="250"/>
      <c r="F154" s="64"/>
      <c r="G154" s="64"/>
      <c r="H154" s="64"/>
      <c r="I154" s="64"/>
      <c r="J154" s="64"/>
      <c r="K154" s="20"/>
      <c r="L154" s="20"/>
      <c r="M154" s="20"/>
      <c r="N154" s="250"/>
      <c r="O154" s="250"/>
      <c r="P154" s="20"/>
      <c r="Q154" s="20"/>
      <c r="R154" s="20"/>
      <c r="S154" s="12"/>
      <c r="U154" s="20"/>
    </row>
    <row r="155" spans="1:21">
      <c r="A155" s="20"/>
      <c r="B155" s="64"/>
      <c r="C155" s="20"/>
      <c r="D155" s="20"/>
      <c r="E155" s="250"/>
      <c r="F155" s="64"/>
      <c r="G155" s="64"/>
      <c r="H155" s="64"/>
      <c r="I155" s="64"/>
      <c r="J155" s="64"/>
      <c r="K155" s="20"/>
      <c r="L155" s="20"/>
      <c r="M155" s="20"/>
      <c r="N155" s="250"/>
      <c r="O155" s="250"/>
      <c r="P155" s="20"/>
      <c r="Q155" s="20"/>
      <c r="R155" s="20"/>
      <c r="S155" s="12"/>
      <c r="U155" s="20"/>
    </row>
    <row r="156" spans="1:21">
      <c r="A156" s="20"/>
      <c r="B156" s="64"/>
      <c r="C156" s="20"/>
      <c r="D156" s="20"/>
      <c r="E156" s="250"/>
      <c r="F156" s="64"/>
      <c r="G156" s="64"/>
      <c r="H156" s="64"/>
      <c r="I156" s="64"/>
      <c r="J156" s="64"/>
      <c r="K156" s="20"/>
      <c r="L156" s="20"/>
      <c r="M156" s="20"/>
      <c r="N156" s="250"/>
      <c r="O156" s="250"/>
      <c r="P156" s="20"/>
      <c r="Q156" s="20"/>
      <c r="R156" s="20"/>
      <c r="S156" s="12"/>
      <c r="U156" s="20"/>
    </row>
    <row r="157" spans="1:21">
      <c r="A157" s="20"/>
      <c r="B157" s="64"/>
      <c r="C157" s="20"/>
      <c r="D157" s="20"/>
      <c r="E157" s="250"/>
      <c r="F157" s="64"/>
      <c r="G157" s="64"/>
      <c r="H157" s="64"/>
      <c r="I157" s="64"/>
      <c r="J157" s="64"/>
      <c r="K157" s="20"/>
      <c r="L157" s="20"/>
      <c r="M157" s="20"/>
      <c r="N157" s="250"/>
      <c r="O157" s="250"/>
      <c r="P157" s="20"/>
      <c r="Q157" s="20"/>
      <c r="R157" s="20"/>
      <c r="S157" s="12"/>
      <c r="U157" s="20"/>
    </row>
    <row r="158" spans="1:21">
      <c r="A158" s="20"/>
      <c r="B158" s="64"/>
      <c r="C158" s="20"/>
      <c r="D158" s="20"/>
      <c r="E158" s="250"/>
      <c r="F158" s="64"/>
      <c r="G158" s="64"/>
      <c r="H158" s="64"/>
      <c r="I158" s="64"/>
      <c r="J158" s="64"/>
      <c r="K158" s="20"/>
      <c r="L158" s="20"/>
      <c r="M158" s="20"/>
      <c r="N158" s="250"/>
      <c r="O158" s="250"/>
      <c r="P158" s="20"/>
      <c r="Q158" s="20"/>
      <c r="R158" s="20"/>
      <c r="S158" s="12"/>
      <c r="U158" s="20"/>
    </row>
    <row r="159" spans="1:21">
      <c r="A159" s="20"/>
      <c r="B159" s="64"/>
      <c r="C159" s="20"/>
      <c r="D159" s="20"/>
      <c r="E159" s="250"/>
      <c r="F159" s="64"/>
      <c r="G159" s="64"/>
      <c r="H159" s="64"/>
      <c r="I159" s="64"/>
      <c r="J159" s="64"/>
      <c r="K159" s="20"/>
      <c r="L159" s="20"/>
      <c r="M159" s="20"/>
      <c r="N159" s="250"/>
      <c r="O159" s="250"/>
      <c r="P159" s="20"/>
      <c r="Q159" s="20"/>
      <c r="R159" s="20"/>
      <c r="S159" s="12"/>
      <c r="U159" s="20"/>
    </row>
    <row r="160" spans="1:21">
      <c r="A160" s="20"/>
      <c r="B160" s="64"/>
      <c r="C160" s="20"/>
      <c r="D160" s="20"/>
      <c r="E160" s="250"/>
      <c r="F160" s="64"/>
      <c r="G160" s="64"/>
      <c r="H160" s="64"/>
      <c r="I160" s="64"/>
      <c r="J160" s="64"/>
      <c r="K160" s="20"/>
      <c r="L160" s="20"/>
      <c r="M160" s="20"/>
      <c r="N160" s="250"/>
      <c r="O160" s="250"/>
      <c r="P160" s="20"/>
      <c r="Q160" s="20"/>
      <c r="R160" s="20"/>
      <c r="S160" s="12"/>
      <c r="U160" s="20"/>
    </row>
    <row r="161" spans="1:21">
      <c r="A161" s="20"/>
      <c r="B161" s="64"/>
      <c r="C161" s="20"/>
      <c r="D161" s="20"/>
      <c r="E161" s="250"/>
      <c r="F161" s="64"/>
      <c r="G161" s="64"/>
      <c r="H161" s="64"/>
      <c r="I161" s="64"/>
      <c r="J161" s="64"/>
      <c r="K161" s="20"/>
      <c r="L161" s="20"/>
      <c r="M161" s="20"/>
      <c r="N161" s="250"/>
      <c r="O161" s="250"/>
      <c r="P161" s="20"/>
      <c r="Q161" s="20"/>
      <c r="R161" s="20"/>
      <c r="S161" s="12"/>
      <c r="U161" s="20"/>
    </row>
    <row r="162" spans="1:21">
      <c r="A162" s="20"/>
      <c r="B162" s="64"/>
      <c r="C162" s="20"/>
      <c r="D162" s="20"/>
      <c r="E162" s="250"/>
      <c r="F162" s="64"/>
      <c r="G162" s="64"/>
      <c r="H162" s="64"/>
      <c r="I162" s="64"/>
      <c r="J162" s="64"/>
      <c r="K162" s="20"/>
      <c r="L162" s="20"/>
      <c r="M162" s="20"/>
      <c r="N162" s="250"/>
      <c r="O162" s="250"/>
      <c r="P162" s="20"/>
      <c r="Q162" s="20"/>
      <c r="R162" s="20"/>
      <c r="S162" s="12"/>
      <c r="U162" s="20"/>
    </row>
    <row r="163" spans="1:21">
      <c r="A163" s="20"/>
      <c r="B163" s="64"/>
      <c r="C163" s="20"/>
      <c r="D163" s="20"/>
      <c r="E163" s="250"/>
      <c r="F163" s="64"/>
      <c r="G163" s="64"/>
      <c r="H163" s="64"/>
      <c r="I163" s="64"/>
      <c r="J163" s="64"/>
      <c r="K163" s="20"/>
      <c r="L163" s="20"/>
      <c r="M163" s="20"/>
      <c r="N163" s="250"/>
      <c r="O163" s="250"/>
      <c r="P163" s="20"/>
      <c r="Q163" s="20"/>
      <c r="R163" s="20"/>
      <c r="S163" s="12"/>
      <c r="U163" s="20"/>
    </row>
    <row r="164" spans="1:21">
      <c r="A164" s="20"/>
      <c r="B164" s="64"/>
      <c r="C164" s="20"/>
      <c r="D164" s="20"/>
      <c r="E164" s="250"/>
      <c r="F164" s="64"/>
      <c r="G164" s="64"/>
      <c r="H164" s="64"/>
      <c r="I164" s="64"/>
      <c r="J164" s="64"/>
      <c r="K164" s="20"/>
      <c r="L164" s="20"/>
      <c r="M164" s="20"/>
      <c r="N164" s="250"/>
      <c r="O164" s="250"/>
      <c r="P164" s="20"/>
      <c r="Q164" s="20"/>
      <c r="R164" s="20"/>
      <c r="S164" s="12"/>
      <c r="U164" s="20"/>
    </row>
    <row r="165" spans="1:21">
      <c r="A165" s="20"/>
      <c r="B165" s="64"/>
      <c r="C165" s="20"/>
      <c r="D165" s="20"/>
      <c r="E165" s="250"/>
      <c r="F165" s="64"/>
      <c r="G165" s="64"/>
      <c r="H165" s="64"/>
      <c r="I165" s="64"/>
      <c r="J165" s="64"/>
      <c r="K165" s="20"/>
      <c r="L165" s="20"/>
      <c r="M165" s="20"/>
      <c r="N165" s="250"/>
      <c r="O165" s="250"/>
      <c r="P165" s="20"/>
      <c r="Q165" s="20"/>
      <c r="R165" s="20"/>
      <c r="S165" s="12"/>
      <c r="U165" s="20"/>
    </row>
    <row r="166" spans="1:21">
      <c r="A166" s="20"/>
      <c r="B166" s="64"/>
      <c r="C166" s="20"/>
      <c r="D166" s="20"/>
      <c r="E166" s="250"/>
      <c r="F166" s="64"/>
      <c r="G166" s="64"/>
      <c r="H166" s="64"/>
      <c r="I166" s="64"/>
      <c r="J166" s="64"/>
      <c r="K166" s="20"/>
      <c r="L166" s="20"/>
      <c r="M166" s="20"/>
      <c r="N166" s="250"/>
      <c r="O166" s="250"/>
      <c r="P166" s="20"/>
      <c r="Q166" s="20"/>
      <c r="R166" s="20"/>
      <c r="S166" s="12"/>
      <c r="U166" s="20"/>
    </row>
    <row r="167" spans="1:21">
      <c r="A167" s="20"/>
      <c r="B167" s="64"/>
      <c r="C167" s="20"/>
      <c r="D167" s="20"/>
      <c r="E167" s="250"/>
      <c r="F167" s="64"/>
      <c r="G167" s="64"/>
      <c r="H167" s="64"/>
      <c r="I167" s="64"/>
      <c r="J167" s="64"/>
      <c r="K167" s="20"/>
      <c r="L167" s="20"/>
      <c r="M167" s="20"/>
      <c r="N167" s="250"/>
      <c r="O167" s="250"/>
      <c r="P167" s="20"/>
      <c r="Q167" s="20"/>
      <c r="R167" s="20"/>
      <c r="S167" s="12"/>
      <c r="U167" s="20"/>
    </row>
    <row r="168" spans="1:21">
      <c r="A168" s="20"/>
      <c r="B168" s="64"/>
      <c r="C168" s="20"/>
      <c r="D168" s="20"/>
      <c r="E168" s="250"/>
      <c r="F168" s="64"/>
      <c r="G168" s="64"/>
      <c r="H168" s="64"/>
      <c r="I168" s="64"/>
      <c r="J168" s="64"/>
      <c r="K168" s="20"/>
      <c r="L168" s="20"/>
      <c r="M168" s="20"/>
      <c r="N168" s="250"/>
      <c r="O168" s="250"/>
      <c r="P168" s="20"/>
      <c r="Q168" s="20"/>
      <c r="R168" s="20"/>
      <c r="S168" s="12"/>
      <c r="U168" s="20"/>
    </row>
    <row r="169" spans="1:21">
      <c r="A169" s="20"/>
      <c r="B169" s="64"/>
      <c r="C169" s="20"/>
      <c r="D169" s="20"/>
      <c r="E169" s="250"/>
      <c r="F169" s="64"/>
      <c r="G169" s="64"/>
      <c r="H169" s="64"/>
      <c r="I169" s="64"/>
      <c r="J169" s="64"/>
      <c r="K169" s="20"/>
      <c r="L169" s="20"/>
      <c r="M169" s="20"/>
      <c r="N169" s="250"/>
      <c r="O169" s="250"/>
      <c r="P169" s="20"/>
      <c r="Q169" s="20"/>
      <c r="R169" s="20"/>
      <c r="S169" s="12"/>
      <c r="U169" s="20"/>
    </row>
    <row r="170" spans="1:21">
      <c r="A170" s="20"/>
      <c r="B170" s="64"/>
      <c r="C170" s="20"/>
      <c r="D170" s="20"/>
      <c r="E170" s="250"/>
      <c r="F170" s="64"/>
      <c r="G170" s="64"/>
      <c r="H170" s="64"/>
      <c r="I170" s="64"/>
      <c r="J170" s="64"/>
      <c r="K170" s="20"/>
      <c r="L170" s="20"/>
      <c r="M170" s="20"/>
      <c r="N170" s="250"/>
      <c r="O170" s="250"/>
      <c r="P170" s="20"/>
      <c r="Q170" s="20"/>
      <c r="R170" s="20"/>
      <c r="S170" s="12"/>
      <c r="U170" s="20"/>
    </row>
    <row r="171" spans="1:21">
      <c r="A171" s="20"/>
      <c r="B171" s="64"/>
      <c r="C171" s="20"/>
      <c r="D171" s="20"/>
      <c r="E171" s="250"/>
      <c r="F171" s="64"/>
      <c r="G171" s="64"/>
      <c r="H171" s="64"/>
      <c r="I171" s="64"/>
      <c r="J171" s="64"/>
      <c r="K171" s="20"/>
      <c r="L171" s="20"/>
      <c r="M171" s="20"/>
      <c r="N171" s="250"/>
      <c r="O171" s="250"/>
      <c r="P171" s="20"/>
      <c r="Q171" s="20"/>
      <c r="R171" s="20"/>
      <c r="S171" s="12"/>
      <c r="U171" s="20"/>
    </row>
    <row r="172" spans="1:21">
      <c r="A172" s="20"/>
      <c r="B172" s="64"/>
      <c r="C172" s="20"/>
      <c r="D172" s="20"/>
      <c r="E172" s="250"/>
      <c r="F172" s="64"/>
      <c r="G172" s="64"/>
      <c r="H172" s="64"/>
      <c r="I172" s="64"/>
      <c r="J172" s="64"/>
      <c r="K172" s="20"/>
      <c r="L172" s="20"/>
      <c r="M172" s="20"/>
      <c r="N172" s="250"/>
      <c r="O172" s="250"/>
      <c r="P172" s="20"/>
      <c r="Q172" s="20"/>
      <c r="R172" s="20"/>
      <c r="S172" s="12"/>
      <c r="U172" s="20"/>
    </row>
    <row r="173" spans="1:21">
      <c r="A173" s="20"/>
      <c r="B173" s="64"/>
      <c r="C173" s="20"/>
      <c r="D173" s="20"/>
      <c r="E173" s="250"/>
      <c r="F173" s="64"/>
      <c r="G173" s="64"/>
      <c r="H173" s="64"/>
      <c r="I173" s="64"/>
      <c r="J173" s="64"/>
      <c r="K173" s="20"/>
      <c r="L173" s="20"/>
      <c r="M173" s="20"/>
      <c r="N173" s="250"/>
      <c r="O173" s="250"/>
      <c r="P173" s="20"/>
      <c r="Q173" s="20"/>
      <c r="R173" s="20"/>
      <c r="S173" s="12"/>
      <c r="U173" s="20"/>
    </row>
    <row r="174" spans="1:21">
      <c r="A174" s="20"/>
      <c r="B174" s="64"/>
      <c r="C174" s="20"/>
      <c r="D174" s="20"/>
      <c r="E174" s="250"/>
      <c r="F174" s="64"/>
      <c r="G174" s="64"/>
      <c r="H174" s="64"/>
      <c r="I174" s="64"/>
      <c r="J174" s="64"/>
      <c r="K174" s="20"/>
      <c r="L174" s="20"/>
      <c r="M174" s="20"/>
      <c r="N174" s="250"/>
      <c r="O174" s="250"/>
      <c r="P174" s="20"/>
      <c r="Q174" s="20"/>
      <c r="R174" s="20"/>
      <c r="S174" s="12"/>
      <c r="U174" s="20"/>
    </row>
    <row r="175" spans="1:21">
      <c r="A175" s="20"/>
      <c r="B175" s="64"/>
      <c r="C175" s="20"/>
      <c r="D175" s="20"/>
      <c r="E175" s="250"/>
      <c r="F175" s="64"/>
      <c r="G175" s="64"/>
      <c r="H175" s="64"/>
      <c r="I175" s="64"/>
      <c r="J175" s="64"/>
      <c r="K175" s="20"/>
      <c r="L175" s="20"/>
      <c r="M175" s="20"/>
      <c r="N175" s="250"/>
      <c r="O175" s="250"/>
      <c r="P175" s="20"/>
      <c r="Q175" s="20"/>
      <c r="R175" s="20"/>
      <c r="S175" s="12"/>
      <c r="U175" s="20"/>
    </row>
    <row r="176" spans="1:21">
      <c r="A176" s="20"/>
      <c r="B176" s="64"/>
      <c r="C176" s="20"/>
      <c r="D176" s="20"/>
      <c r="E176" s="250"/>
      <c r="F176" s="64"/>
      <c r="G176" s="64"/>
      <c r="H176" s="64"/>
      <c r="I176" s="64"/>
      <c r="J176" s="64"/>
      <c r="K176" s="20"/>
      <c r="L176" s="20"/>
      <c r="M176" s="20"/>
      <c r="N176" s="250"/>
      <c r="O176" s="250"/>
      <c r="P176" s="20"/>
      <c r="Q176" s="20"/>
      <c r="R176" s="20"/>
      <c r="S176" s="12"/>
      <c r="U176" s="20"/>
    </row>
    <row r="177" spans="1:21">
      <c r="A177" s="20"/>
      <c r="B177" s="64"/>
      <c r="C177" s="20"/>
      <c r="D177" s="20"/>
      <c r="E177" s="250"/>
      <c r="F177" s="64"/>
      <c r="G177" s="64"/>
      <c r="H177" s="64"/>
      <c r="I177" s="64"/>
      <c r="J177" s="64"/>
      <c r="K177" s="20"/>
      <c r="L177" s="20"/>
      <c r="M177" s="20"/>
      <c r="N177" s="250"/>
      <c r="O177" s="250"/>
      <c r="P177" s="20"/>
      <c r="Q177" s="20"/>
      <c r="R177" s="20"/>
      <c r="S177" s="12"/>
      <c r="U177" s="20"/>
    </row>
    <row r="178" spans="1:21">
      <c r="A178" s="20"/>
      <c r="B178" s="64"/>
      <c r="C178" s="20"/>
      <c r="D178" s="20"/>
      <c r="E178" s="250"/>
      <c r="F178" s="64"/>
      <c r="G178" s="64"/>
      <c r="H178" s="64"/>
      <c r="I178" s="64"/>
      <c r="J178" s="64"/>
      <c r="K178" s="20"/>
      <c r="L178" s="20"/>
      <c r="M178" s="20"/>
      <c r="N178" s="250"/>
      <c r="O178" s="250"/>
      <c r="P178" s="20"/>
      <c r="Q178" s="20"/>
      <c r="R178" s="20"/>
      <c r="S178" s="12"/>
      <c r="U178" s="20"/>
    </row>
    <row r="179" spans="1:21">
      <c r="A179" s="20"/>
      <c r="B179" s="64"/>
      <c r="C179" s="20"/>
      <c r="D179" s="20"/>
      <c r="E179" s="250"/>
      <c r="F179" s="64"/>
      <c r="G179" s="64"/>
      <c r="H179" s="64"/>
      <c r="I179" s="64"/>
      <c r="J179" s="64"/>
      <c r="K179" s="20"/>
      <c r="L179" s="20"/>
      <c r="M179" s="20"/>
      <c r="N179" s="250"/>
      <c r="O179" s="250"/>
      <c r="P179" s="20"/>
      <c r="Q179" s="20"/>
      <c r="R179" s="20"/>
      <c r="S179" s="12"/>
      <c r="U179" s="20"/>
    </row>
  </sheetData>
  <dataConsolidate/>
  <mergeCells count="35">
    <mergeCell ref="A55:A56"/>
    <mergeCell ref="A36:A37"/>
    <mergeCell ref="A39:A40"/>
    <mergeCell ref="A41:A43"/>
    <mergeCell ref="A28:A32"/>
    <mergeCell ref="A49:A50"/>
    <mergeCell ref="A51:A52"/>
    <mergeCell ref="A53:A54"/>
    <mergeCell ref="A33:A35"/>
    <mergeCell ref="A45:A48"/>
    <mergeCell ref="V4:W5"/>
    <mergeCell ref="V1:W1"/>
    <mergeCell ref="V3:W3"/>
    <mergeCell ref="AT44:AU44"/>
    <mergeCell ref="A6:A8"/>
    <mergeCell ref="A9:A13"/>
    <mergeCell ref="Y19:AD19"/>
    <mergeCell ref="Y1:AA1"/>
    <mergeCell ref="M1:U1"/>
    <mergeCell ref="C1:K1"/>
    <mergeCell ref="A4:A5"/>
    <mergeCell ref="Y39:AD39"/>
    <mergeCell ref="AH32:AM32"/>
    <mergeCell ref="AT45:AT48"/>
    <mergeCell ref="AU45:AU48"/>
    <mergeCell ref="V6:W8"/>
    <mergeCell ref="V21:W24"/>
    <mergeCell ref="A15:A20"/>
    <mergeCell ref="A21:A24"/>
    <mergeCell ref="AT41:AU43"/>
    <mergeCell ref="V33:V35"/>
    <mergeCell ref="W33:W35"/>
    <mergeCell ref="V36:V37"/>
    <mergeCell ref="W36:W37"/>
    <mergeCell ref="A26:A27"/>
  </mergeCells>
  <conditionalFormatting sqref="T3:T56">
    <cfRule type="cellIs" dxfId="87" priority="7" operator="lessThan">
      <formula>0</formula>
    </cfRule>
  </conditionalFormatting>
  <conditionalFormatting sqref="U3:U56">
    <cfRule type="containsText" dxfId="86" priority="9" operator="containsText" text="Yes">
      <formula>NOT(ISERROR(SEARCH("Yes",U3)))</formula>
    </cfRule>
  </conditionalFormatting>
  <conditionalFormatting sqref="AF44:AG45 Z3:AE12">
    <cfRule type="cellIs" dxfId="85" priority="6" operator="greaterThan">
      <formula>0</formula>
    </cfRule>
  </conditionalFormatting>
  <conditionalFormatting sqref="Z21:AE32">
    <cfRule type="cellIs" dxfId="84" priority="4" operator="greaterThan">
      <formula>0</formula>
    </cfRule>
  </conditionalFormatting>
  <conditionalFormatting sqref="AA41:AE52">
    <cfRule type="cellIs" dxfId="83" priority="3" operator="greaterThan">
      <formula>0</formula>
    </cfRule>
  </conditionalFormatting>
  <conditionalFormatting sqref="AI34:AN45">
    <cfRule type="cellIs" dxfId="82" priority="2" operator="greaterThan">
      <formula>0</formula>
    </cfRule>
  </conditionalFormatting>
  <conditionalFormatting sqref="Z41:Z52">
    <cfRule type="cellIs" dxfId="81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9"/>
  <sheetViews>
    <sheetView topLeftCell="AB1" zoomScaleNormal="100" workbookViewId="0">
      <selection activeCell="AS43" sqref="AS4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16.42578125" style="59" customWidth="1"/>
    <col min="18" max="18" width="22" style="59" customWidth="1"/>
    <col min="19" max="19" width="21" style="60" customWidth="1"/>
    <col min="20" max="20" width="28.140625" style="391" customWidth="1"/>
    <col min="21" max="21" width="26.42578125" style="59" customWidth="1"/>
    <col min="22" max="22" width="31.85546875" style="58" customWidth="1"/>
    <col min="23" max="23" width="48.140625" style="58" customWidth="1"/>
    <col min="24" max="24" width="26.140625" style="58" customWidth="1"/>
    <col min="25" max="25" width="22.85546875" style="5" customWidth="1"/>
    <col min="26" max="26" width="12.7109375" style="5" customWidth="1"/>
    <col min="27" max="27" width="16.140625" style="5" customWidth="1"/>
    <col min="28" max="16384" width="9" style="5"/>
  </cols>
  <sheetData>
    <row r="1" spans="1:51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88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493" t="s">
        <v>520</v>
      </c>
      <c r="W1" s="494"/>
      <c r="X1" s="392"/>
      <c r="Y1" s="509" t="s">
        <v>513</v>
      </c>
      <c r="Z1" s="510"/>
      <c r="AA1" s="511"/>
    </row>
    <row r="2" spans="1:51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263" t="s">
        <v>442</v>
      </c>
      <c r="W2" s="176" t="s">
        <v>441</v>
      </c>
      <c r="X2" s="392"/>
      <c r="Y2" s="88"/>
      <c r="Z2" s="391"/>
      <c r="AA2" s="97"/>
    </row>
    <row r="3" spans="1:51" ht="15" customHeight="1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495" t="s">
        <v>351</v>
      </c>
      <c r="W3" s="496"/>
      <c r="X3" s="393"/>
      <c r="Y3" s="131" t="s">
        <v>389</v>
      </c>
      <c r="Z3" s="130" t="s">
        <v>388</v>
      </c>
      <c r="AA3" s="129" t="s">
        <v>387</v>
      </c>
    </row>
    <row r="4" spans="1:51" ht="15" customHeight="1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477" t="s">
        <v>351</v>
      </c>
      <c r="W4" s="478"/>
      <c r="X4" s="393"/>
      <c r="Y4" s="157" t="s">
        <v>16</v>
      </c>
      <c r="Z4" s="156">
        <v>33.590000000000003</v>
      </c>
      <c r="AA4" s="97">
        <f>Z4/E32*100</f>
        <v>13.436</v>
      </c>
      <c r="AJ4" s="497" t="s">
        <v>543</v>
      </c>
      <c r="AK4" s="498"/>
      <c r="AL4" s="498"/>
      <c r="AM4" s="498"/>
      <c r="AN4" s="498"/>
      <c r="AO4" s="499"/>
      <c r="AP4" s="155"/>
    </row>
    <row r="5" spans="1:51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481"/>
      <c r="W5" s="482"/>
      <c r="X5" s="393"/>
      <c r="Y5" s="157" t="s">
        <v>14</v>
      </c>
      <c r="Z5" s="156">
        <v>16.62</v>
      </c>
      <c r="AA5" s="97">
        <f>Z5/E26*100</f>
        <v>8.31</v>
      </c>
      <c r="AJ5" s="355" t="s">
        <v>484</v>
      </c>
      <c r="AK5" s="357" t="s">
        <v>485</v>
      </c>
      <c r="AL5" s="357" t="s">
        <v>486</v>
      </c>
      <c r="AM5" s="357" t="s">
        <v>487</v>
      </c>
      <c r="AN5" s="357" t="s">
        <v>488</v>
      </c>
      <c r="AO5" s="358" t="s">
        <v>489</v>
      </c>
      <c r="AP5" s="270" t="s">
        <v>416</v>
      </c>
    </row>
    <row r="6" spans="1:51" ht="14.25" customHeight="1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477" t="s">
        <v>351</v>
      </c>
      <c r="W6" s="478"/>
      <c r="X6" s="386"/>
      <c r="Y6" s="157" t="s">
        <v>20</v>
      </c>
      <c r="Z6" s="156">
        <v>20.91</v>
      </c>
      <c r="AA6" s="97">
        <f>Z6/E39*100</f>
        <v>8.3640000000000008</v>
      </c>
      <c r="AJ6" s="60" t="s">
        <v>84</v>
      </c>
      <c r="AK6" s="359">
        <v>0</v>
      </c>
      <c r="AL6" s="359">
        <v>0</v>
      </c>
      <c r="AM6" s="360">
        <v>0</v>
      </c>
      <c r="AN6" s="360">
        <v>0</v>
      </c>
      <c r="AO6" s="386">
        <v>0</v>
      </c>
      <c r="AP6" s="361">
        <f>SUM(AK6:AO6)</f>
        <v>0</v>
      </c>
      <c r="AS6" s="471" t="s">
        <v>490</v>
      </c>
      <c r="AT6" s="471" t="s">
        <v>491</v>
      </c>
      <c r="AU6" s="363" t="s">
        <v>492</v>
      </c>
    </row>
    <row r="7" spans="1:51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479"/>
      <c r="W7" s="480"/>
      <c r="X7" s="386"/>
      <c r="Y7" s="157" t="s">
        <v>19</v>
      </c>
      <c r="Z7" s="156">
        <v>69.75</v>
      </c>
      <c r="AA7" s="97">
        <f>Z7/250*100</f>
        <v>27.900000000000002</v>
      </c>
      <c r="AJ7" s="60" t="s">
        <v>85</v>
      </c>
      <c r="AK7" s="359">
        <v>0</v>
      </c>
      <c r="AL7" s="359">
        <v>0</v>
      </c>
      <c r="AM7" s="359">
        <v>0</v>
      </c>
      <c r="AN7" s="359">
        <v>0</v>
      </c>
      <c r="AO7" s="386">
        <v>0</v>
      </c>
      <c r="AP7" s="60">
        <f t="shared" ref="AP7:AP17" si="12">SUM(AK7:AO7)</f>
        <v>0</v>
      </c>
      <c r="AS7" s="61" t="s">
        <v>485</v>
      </c>
      <c r="AT7" s="61">
        <v>100</v>
      </c>
      <c r="AU7" s="420">
        <v>15</v>
      </c>
    </row>
    <row r="8" spans="1:51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481"/>
      <c r="W8" s="482"/>
      <c r="X8" s="386"/>
      <c r="Y8" s="347" t="s">
        <v>416</v>
      </c>
      <c r="Z8" s="155">
        <f ca="1">SUM(Z4:Z21)</f>
        <v>140.87</v>
      </c>
      <c r="AA8" s="97"/>
      <c r="AJ8" s="60" t="s">
        <v>86</v>
      </c>
      <c r="AK8" s="359">
        <v>0</v>
      </c>
      <c r="AL8" s="359">
        <v>0</v>
      </c>
      <c r="AM8" s="359">
        <v>0</v>
      </c>
      <c r="AN8" s="359">
        <v>0</v>
      </c>
      <c r="AO8" s="386">
        <v>0</v>
      </c>
      <c r="AP8" s="60">
        <f t="shared" si="12"/>
        <v>0</v>
      </c>
      <c r="AS8" s="364" t="s">
        <v>486</v>
      </c>
      <c r="AT8" s="364">
        <v>150</v>
      </c>
      <c r="AU8" s="421">
        <v>16.3689</v>
      </c>
    </row>
    <row r="9" spans="1:51" ht="14.25" customHeight="1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55"/>
      <c r="W9" s="118"/>
      <c r="X9" s="386"/>
      <c r="Y9" s="120" t="s">
        <v>365</v>
      </c>
      <c r="Z9" s="348">
        <f ca="1">(Z8/11200)*100</f>
        <v>1.2577678571428572</v>
      </c>
      <c r="AA9" s="87"/>
      <c r="AJ9" s="60" t="s">
        <v>87</v>
      </c>
      <c r="AK9" s="359">
        <v>1</v>
      </c>
      <c r="AL9" s="359">
        <v>0</v>
      </c>
      <c r="AM9" s="359">
        <v>0</v>
      </c>
      <c r="AN9" s="359">
        <v>0</v>
      </c>
      <c r="AO9" s="386">
        <v>0</v>
      </c>
      <c r="AP9" s="60">
        <f t="shared" si="12"/>
        <v>1</v>
      </c>
      <c r="AS9" s="364" t="s">
        <v>487</v>
      </c>
      <c r="AT9" s="364">
        <v>200</v>
      </c>
      <c r="AU9" s="421">
        <v>16.746700000000001</v>
      </c>
    </row>
    <row r="10" spans="1:51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256"/>
      <c r="W10" s="142"/>
      <c r="X10" s="386"/>
      <c r="Y10" s="393"/>
      <c r="Z10" s="393"/>
      <c r="AA10" s="393"/>
      <c r="AJ10" s="60" t="s">
        <v>88</v>
      </c>
      <c r="AK10" s="359">
        <v>1</v>
      </c>
      <c r="AL10" s="359">
        <v>0</v>
      </c>
      <c r="AM10" s="359">
        <v>0</v>
      </c>
      <c r="AN10" s="359">
        <v>0</v>
      </c>
      <c r="AO10" s="386">
        <v>0</v>
      </c>
      <c r="AP10" s="60">
        <f t="shared" si="12"/>
        <v>1</v>
      </c>
      <c r="AS10" s="364" t="s">
        <v>488</v>
      </c>
      <c r="AT10" s="364">
        <v>250</v>
      </c>
      <c r="AU10" s="421">
        <v>16.886600000000001</v>
      </c>
    </row>
    <row r="11" spans="1:51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256"/>
      <c r="W11" s="142"/>
      <c r="X11" s="386"/>
      <c r="Y11" s="393"/>
      <c r="Z11" s="393"/>
      <c r="AA11" s="393"/>
      <c r="AJ11" s="60" t="s">
        <v>89</v>
      </c>
      <c r="AK11" s="359">
        <v>0</v>
      </c>
      <c r="AL11" s="359">
        <v>0</v>
      </c>
      <c r="AM11" s="359">
        <v>0</v>
      </c>
      <c r="AN11" s="359">
        <v>0</v>
      </c>
      <c r="AO11" s="386">
        <v>0</v>
      </c>
      <c r="AP11" s="60">
        <f t="shared" si="12"/>
        <v>0</v>
      </c>
      <c r="AS11" s="365" t="s">
        <v>525</v>
      </c>
      <c r="AT11" s="365">
        <v>300</v>
      </c>
      <c r="AU11" s="422">
        <v>17</v>
      </c>
    </row>
    <row r="12" spans="1:51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256"/>
      <c r="W12" s="142"/>
      <c r="AJ12" s="60" t="s">
        <v>90</v>
      </c>
      <c r="AK12" s="359">
        <v>1</v>
      </c>
      <c r="AL12" s="359">
        <v>0</v>
      </c>
      <c r="AM12" s="359">
        <v>0</v>
      </c>
      <c r="AN12" s="359">
        <v>0</v>
      </c>
      <c r="AO12" s="386">
        <v>0</v>
      </c>
      <c r="AP12" s="60">
        <f t="shared" si="12"/>
        <v>1</v>
      </c>
    </row>
    <row r="13" spans="1:51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257"/>
      <c r="W13" s="113"/>
      <c r="AJ13" s="60" t="s">
        <v>91</v>
      </c>
      <c r="AK13" s="359">
        <v>0</v>
      </c>
      <c r="AL13" s="359">
        <v>0</v>
      </c>
      <c r="AM13" s="386">
        <v>0</v>
      </c>
      <c r="AN13" s="386">
        <v>0</v>
      </c>
      <c r="AO13" s="386">
        <v>0</v>
      </c>
      <c r="AP13" s="60">
        <f t="shared" si="12"/>
        <v>0</v>
      </c>
    </row>
    <row r="14" spans="1:51" ht="13.5" thickBot="1">
      <c r="A14" s="387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389"/>
      <c r="W14" s="390"/>
      <c r="AJ14" s="60" t="s">
        <v>92</v>
      </c>
      <c r="AK14" s="386">
        <v>0</v>
      </c>
      <c r="AL14" s="386">
        <v>0</v>
      </c>
      <c r="AM14" s="386">
        <v>0</v>
      </c>
      <c r="AN14" s="386">
        <v>0</v>
      </c>
      <c r="AO14" s="386">
        <v>0</v>
      </c>
      <c r="AP14" s="60">
        <f t="shared" si="12"/>
        <v>0</v>
      </c>
    </row>
    <row r="15" spans="1:51" ht="14.25" customHeight="1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3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4">F15</f>
        <v>414.50749999999999</v>
      </c>
      <c r="Q15" s="90">
        <v>0.75</v>
      </c>
      <c r="R15" s="98">
        <f t="shared" si="11"/>
        <v>310.88062500000001</v>
      </c>
      <c r="S15" s="90">
        <f t="shared" ref="S15:S24" si="15">O15*I15</f>
        <v>400</v>
      </c>
      <c r="T15" s="286">
        <f t="shared" ref="T15:T24" si="16">S15-R15</f>
        <v>89.119374999999991</v>
      </c>
      <c r="U15" s="80" t="str">
        <f t="shared" ref="U15:U24" si="17">IF(T15&gt;=0,"No","Yes")</f>
        <v>No</v>
      </c>
      <c r="V15" s="258"/>
      <c r="W15" s="118"/>
      <c r="AJ15" s="60" t="s">
        <v>93</v>
      </c>
      <c r="AK15" s="386">
        <v>1</v>
      </c>
      <c r="AL15" s="359">
        <v>0</v>
      </c>
      <c r="AM15" s="386">
        <v>0</v>
      </c>
      <c r="AN15" s="386">
        <v>0</v>
      </c>
      <c r="AO15" s="386">
        <v>0</v>
      </c>
      <c r="AP15" s="60">
        <f t="shared" si="12"/>
        <v>1</v>
      </c>
      <c r="AS15" s="497" t="s">
        <v>545</v>
      </c>
      <c r="AT15" s="498"/>
      <c r="AU15" s="498"/>
      <c r="AV15" s="498"/>
      <c r="AW15" s="498"/>
      <c r="AX15" s="499"/>
      <c r="AY15" s="155"/>
    </row>
    <row r="16" spans="1:51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3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4"/>
        <v>249.06020000000001</v>
      </c>
      <c r="Q16" s="90">
        <v>0.75</v>
      </c>
      <c r="R16" s="89">
        <f t="shared" si="11"/>
        <v>186.79515000000001</v>
      </c>
      <c r="S16" s="90">
        <f t="shared" si="15"/>
        <v>250</v>
      </c>
      <c r="T16" s="286">
        <f t="shared" si="16"/>
        <v>63.204849999999993</v>
      </c>
      <c r="U16" s="80" t="str">
        <f t="shared" si="17"/>
        <v>No</v>
      </c>
      <c r="V16" s="259"/>
      <c r="W16" s="139"/>
      <c r="AJ16" s="60" t="s">
        <v>94</v>
      </c>
      <c r="AK16" s="386">
        <v>1</v>
      </c>
      <c r="AL16" s="359">
        <v>0</v>
      </c>
      <c r="AM16" s="386">
        <v>0</v>
      </c>
      <c r="AN16" s="386">
        <v>0</v>
      </c>
      <c r="AO16" s="386">
        <v>0</v>
      </c>
      <c r="AP16" s="60">
        <f t="shared" si="12"/>
        <v>1</v>
      </c>
      <c r="AS16" s="355" t="s">
        <v>484</v>
      </c>
      <c r="AT16" s="357" t="s">
        <v>485</v>
      </c>
      <c r="AU16" s="357" t="s">
        <v>486</v>
      </c>
      <c r="AV16" s="357" t="s">
        <v>487</v>
      </c>
      <c r="AW16" s="357" t="s">
        <v>488</v>
      </c>
      <c r="AX16" s="358" t="s">
        <v>525</v>
      </c>
      <c r="AY16" s="270" t="s">
        <v>416</v>
      </c>
    </row>
    <row r="17" spans="1:51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3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4"/>
        <v>185.4342</v>
      </c>
      <c r="Q17" s="90">
        <v>0.75</v>
      </c>
      <c r="R17" s="89">
        <f t="shared" si="11"/>
        <v>139.07565</v>
      </c>
      <c r="S17" s="90">
        <f t="shared" si="15"/>
        <v>300</v>
      </c>
      <c r="T17" s="286">
        <f t="shared" si="16"/>
        <v>160.92435</v>
      </c>
      <c r="U17" s="80" t="str">
        <f t="shared" si="17"/>
        <v>No</v>
      </c>
      <c r="V17" s="259"/>
      <c r="W17" s="139"/>
      <c r="AJ17" s="366" t="s">
        <v>482</v>
      </c>
      <c r="AK17" s="367">
        <v>0</v>
      </c>
      <c r="AL17" s="367">
        <v>0</v>
      </c>
      <c r="AM17" s="367">
        <v>0</v>
      </c>
      <c r="AN17" s="367">
        <v>0</v>
      </c>
      <c r="AO17" s="367">
        <v>0</v>
      </c>
      <c r="AP17" s="366">
        <f t="shared" si="12"/>
        <v>0</v>
      </c>
      <c r="AS17" s="60" t="s">
        <v>84</v>
      </c>
      <c r="AT17" s="470">
        <f>AK6+AK26</f>
        <v>0</v>
      </c>
      <c r="AU17" s="470">
        <f t="shared" ref="AU17:AX28" si="18">AL6+AL26</f>
        <v>4</v>
      </c>
      <c r="AV17" s="470">
        <f t="shared" si="18"/>
        <v>2</v>
      </c>
      <c r="AW17" s="470">
        <f t="shared" si="18"/>
        <v>1</v>
      </c>
      <c r="AX17" s="470">
        <f t="shared" si="18"/>
        <v>0</v>
      </c>
      <c r="AY17" s="361">
        <f>SUM(AT17:AX17)</f>
        <v>7</v>
      </c>
    </row>
    <row r="18" spans="1:51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3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4"/>
        <v>213.84829999999999</v>
      </c>
      <c r="Q18" s="90">
        <v>0.75</v>
      </c>
      <c r="R18" s="89">
        <f t="shared" si="11"/>
        <v>160.386225</v>
      </c>
      <c r="S18" s="90">
        <f t="shared" si="15"/>
        <v>300</v>
      </c>
      <c r="T18" s="286">
        <f t="shared" si="16"/>
        <v>139.613775</v>
      </c>
      <c r="U18" s="80" t="str">
        <f t="shared" si="17"/>
        <v>No</v>
      </c>
      <c r="V18" s="260"/>
      <c r="W18" s="139"/>
      <c r="AJ18" s="270" t="s">
        <v>493</v>
      </c>
      <c r="AK18" s="368">
        <f t="shared" ref="AK18:AP18" si="19">SUM(AK6:AK17)</f>
        <v>5</v>
      </c>
      <c r="AL18" s="368">
        <f t="shared" si="19"/>
        <v>0</v>
      </c>
      <c r="AM18" s="368">
        <f t="shared" si="19"/>
        <v>0</v>
      </c>
      <c r="AN18" s="368">
        <f t="shared" si="19"/>
        <v>0</v>
      </c>
      <c r="AO18" s="368">
        <f t="shared" si="19"/>
        <v>0</v>
      </c>
      <c r="AP18" s="369">
        <f t="shared" si="19"/>
        <v>5</v>
      </c>
      <c r="AS18" s="60" t="s">
        <v>85</v>
      </c>
      <c r="AT18" s="470">
        <f t="shared" ref="AT18:AT28" si="20">AK7+AK27</f>
        <v>0</v>
      </c>
      <c r="AU18" s="470">
        <f t="shared" si="18"/>
        <v>7</v>
      </c>
      <c r="AV18" s="470">
        <f t="shared" si="18"/>
        <v>3</v>
      </c>
      <c r="AW18" s="470">
        <f t="shared" si="18"/>
        <v>0</v>
      </c>
      <c r="AX18" s="470">
        <f t="shared" si="18"/>
        <v>2</v>
      </c>
      <c r="AY18" s="60">
        <f t="shared" ref="AY18:AY28" si="21">SUM(AT18:AX18)</f>
        <v>12</v>
      </c>
    </row>
    <row r="19" spans="1:51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3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4"/>
        <v>320.7817</v>
      </c>
      <c r="Q19" s="90">
        <v>0.75</v>
      </c>
      <c r="R19" s="89">
        <f t="shared" si="11"/>
        <v>240.586275</v>
      </c>
      <c r="S19" s="90">
        <f t="shared" si="15"/>
        <v>400</v>
      </c>
      <c r="T19" s="286">
        <f t="shared" si="16"/>
        <v>159.413725</v>
      </c>
      <c r="U19" s="80" t="str">
        <f t="shared" si="17"/>
        <v>No</v>
      </c>
      <c r="V19" s="260"/>
      <c r="W19" s="139"/>
      <c r="AJ19" s="270" t="s">
        <v>492</v>
      </c>
      <c r="AK19" s="370">
        <f>PRODUCT(AK18*AU7)</f>
        <v>75</v>
      </c>
      <c r="AL19" s="370">
        <f>PRODUCT(AL18*AU8)</f>
        <v>0</v>
      </c>
      <c r="AM19" s="370">
        <f>PRODUCT(AM18*AU9)</f>
        <v>0</v>
      </c>
      <c r="AN19" s="370">
        <f>PRODUCT(AN18*AU10)</f>
        <v>0</v>
      </c>
      <c r="AO19" s="370">
        <f>PRODUCT(AO18*AU11)</f>
        <v>0</v>
      </c>
      <c r="AP19" s="270">
        <f>SUM(AK19:AO19)</f>
        <v>75</v>
      </c>
      <c r="AS19" s="60" t="s">
        <v>86</v>
      </c>
      <c r="AT19" s="470">
        <f t="shared" si="20"/>
        <v>0</v>
      </c>
      <c r="AU19" s="470">
        <f t="shared" si="18"/>
        <v>0</v>
      </c>
      <c r="AV19" s="470">
        <f t="shared" si="18"/>
        <v>3</v>
      </c>
      <c r="AW19" s="470">
        <f t="shared" si="18"/>
        <v>0</v>
      </c>
      <c r="AX19" s="470">
        <f t="shared" si="18"/>
        <v>1</v>
      </c>
      <c r="AY19" s="60">
        <f t="shared" si="21"/>
        <v>4</v>
      </c>
    </row>
    <row r="20" spans="1:51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3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4"/>
        <v>22.35</v>
      </c>
      <c r="Q20" s="90">
        <v>0.75</v>
      </c>
      <c r="R20" s="89">
        <f t="shared" si="11"/>
        <v>16.762500000000003</v>
      </c>
      <c r="S20" s="90">
        <f t="shared" si="15"/>
        <v>150</v>
      </c>
      <c r="T20" s="286">
        <f t="shared" si="16"/>
        <v>133.23750000000001</v>
      </c>
      <c r="U20" s="80" t="str">
        <f t="shared" si="17"/>
        <v>No</v>
      </c>
      <c r="V20" s="261"/>
      <c r="W20" s="113"/>
      <c r="AJ20" s="270" t="s">
        <v>491</v>
      </c>
      <c r="AK20" s="370">
        <f>AK18*AT7</f>
        <v>500</v>
      </c>
      <c r="AL20" s="370">
        <f>AL18*AT8</f>
        <v>0</v>
      </c>
      <c r="AM20" s="370">
        <f>AM18*AT9</f>
        <v>0</v>
      </c>
      <c r="AN20" s="370">
        <f>AN18*AT10</f>
        <v>0</v>
      </c>
      <c r="AO20" s="370">
        <f>AO18*AT11</f>
        <v>0</v>
      </c>
      <c r="AP20" s="270">
        <f>SUM(AK20:AO20)</f>
        <v>500</v>
      </c>
      <c r="AS20" s="60" t="s">
        <v>87</v>
      </c>
      <c r="AT20" s="470">
        <f t="shared" si="20"/>
        <v>1</v>
      </c>
      <c r="AU20" s="470">
        <f t="shared" si="18"/>
        <v>10</v>
      </c>
      <c r="AV20" s="470">
        <f t="shared" si="18"/>
        <v>15</v>
      </c>
      <c r="AW20" s="470">
        <f t="shared" si="18"/>
        <v>8</v>
      </c>
      <c r="AX20" s="470">
        <f t="shared" si="18"/>
        <v>0</v>
      </c>
      <c r="AY20" s="60">
        <f t="shared" si="21"/>
        <v>34</v>
      </c>
    </row>
    <row r="21" spans="1:51" ht="14.25" customHeight="1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3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4"/>
        <v>200.1122</v>
      </c>
      <c r="Q21" s="80">
        <v>0.75</v>
      </c>
      <c r="R21" s="98">
        <f t="shared" si="11"/>
        <v>150.08414999999999</v>
      </c>
      <c r="S21" s="80">
        <f t="shared" si="15"/>
        <v>150</v>
      </c>
      <c r="T21" s="79">
        <f t="shared" si="16"/>
        <v>-8.4149999999993952E-2</v>
      </c>
      <c r="U21" s="187" t="str">
        <f t="shared" si="17"/>
        <v>Yes</v>
      </c>
      <c r="V21" s="477" t="s">
        <v>351</v>
      </c>
      <c r="W21" s="478"/>
      <c r="AS21" s="60" t="s">
        <v>88</v>
      </c>
      <c r="AT21" s="470">
        <f t="shared" si="20"/>
        <v>1</v>
      </c>
      <c r="AU21" s="470">
        <f t="shared" si="18"/>
        <v>0</v>
      </c>
      <c r="AV21" s="470">
        <f t="shared" si="18"/>
        <v>8</v>
      </c>
      <c r="AW21" s="470">
        <f t="shared" si="18"/>
        <v>1</v>
      </c>
      <c r="AX21" s="470">
        <f t="shared" si="18"/>
        <v>0</v>
      </c>
      <c r="AY21" s="60">
        <f t="shared" si="21"/>
        <v>10</v>
      </c>
    </row>
    <row r="22" spans="1:51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3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4"/>
        <v>416.14780000000002</v>
      </c>
      <c r="Q22" s="90">
        <v>0.75</v>
      </c>
      <c r="R22" s="89">
        <f t="shared" si="11"/>
        <v>312.11085000000003</v>
      </c>
      <c r="S22" s="90">
        <f t="shared" si="15"/>
        <v>450</v>
      </c>
      <c r="T22" s="286">
        <f t="shared" si="16"/>
        <v>137.88914999999997</v>
      </c>
      <c r="U22" s="80" t="str">
        <f t="shared" si="17"/>
        <v>No</v>
      </c>
      <c r="V22" s="479"/>
      <c r="W22" s="480"/>
      <c r="AS22" s="60" t="s">
        <v>89</v>
      </c>
      <c r="AT22" s="470">
        <f t="shared" si="20"/>
        <v>0</v>
      </c>
      <c r="AU22" s="470">
        <f t="shared" si="18"/>
        <v>7</v>
      </c>
      <c r="AV22" s="470">
        <f t="shared" si="18"/>
        <v>1</v>
      </c>
      <c r="AW22" s="470">
        <f t="shared" si="18"/>
        <v>1</v>
      </c>
      <c r="AX22" s="470">
        <f t="shared" si="18"/>
        <v>0</v>
      </c>
      <c r="AY22" s="60">
        <f t="shared" si="21"/>
        <v>9</v>
      </c>
    </row>
    <row r="23" spans="1:51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3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4"/>
        <v>24.103000000000002</v>
      </c>
      <c r="Q23" s="90">
        <v>0.75</v>
      </c>
      <c r="R23" s="89">
        <f t="shared" si="11"/>
        <v>18.077249999999999</v>
      </c>
      <c r="S23" s="90">
        <f t="shared" si="15"/>
        <v>150</v>
      </c>
      <c r="T23" s="286">
        <f t="shared" si="16"/>
        <v>131.92275000000001</v>
      </c>
      <c r="U23" s="80" t="str">
        <f t="shared" si="17"/>
        <v>No</v>
      </c>
      <c r="V23" s="479"/>
      <c r="W23" s="480"/>
      <c r="AS23" s="60" t="s">
        <v>90</v>
      </c>
      <c r="AT23" s="470">
        <f t="shared" si="20"/>
        <v>1</v>
      </c>
      <c r="AU23" s="470">
        <f t="shared" si="18"/>
        <v>0</v>
      </c>
      <c r="AV23" s="470">
        <f t="shared" si="18"/>
        <v>1</v>
      </c>
      <c r="AW23" s="470">
        <f t="shared" si="18"/>
        <v>1</v>
      </c>
      <c r="AX23" s="470">
        <f t="shared" si="18"/>
        <v>1</v>
      </c>
      <c r="AY23" s="60">
        <f t="shared" si="21"/>
        <v>4</v>
      </c>
    </row>
    <row r="24" spans="1:51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3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4"/>
        <v>22.35</v>
      </c>
      <c r="Q24" s="114">
        <v>0.75</v>
      </c>
      <c r="R24" s="69">
        <f t="shared" si="11"/>
        <v>16.762500000000003</v>
      </c>
      <c r="S24" s="114">
        <f t="shared" si="15"/>
        <v>150</v>
      </c>
      <c r="T24" s="288">
        <f t="shared" si="16"/>
        <v>133.23750000000001</v>
      </c>
      <c r="U24" s="80" t="str">
        <f t="shared" si="17"/>
        <v>No</v>
      </c>
      <c r="V24" s="481"/>
      <c r="W24" s="482"/>
      <c r="AJ24" s="497" t="s">
        <v>544</v>
      </c>
      <c r="AK24" s="498"/>
      <c r="AL24" s="498"/>
      <c r="AM24" s="498"/>
      <c r="AN24" s="498"/>
      <c r="AO24" s="499"/>
      <c r="AP24" s="155"/>
      <c r="AS24" s="60" t="s">
        <v>91</v>
      </c>
      <c r="AT24" s="470">
        <f t="shared" si="20"/>
        <v>0</v>
      </c>
      <c r="AU24" s="470">
        <f t="shared" si="18"/>
        <v>10</v>
      </c>
      <c r="AV24" s="470">
        <f t="shared" si="18"/>
        <v>2</v>
      </c>
      <c r="AW24" s="470">
        <f t="shared" si="18"/>
        <v>1</v>
      </c>
      <c r="AX24" s="470">
        <f t="shared" si="18"/>
        <v>0</v>
      </c>
      <c r="AY24" s="60">
        <f t="shared" si="21"/>
        <v>13</v>
      </c>
    </row>
    <row r="25" spans="1:51" ht="15" customHeight="1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389"/>
      <c r="W25" s="390"/>
      <c r="AJ25" s="355" t="s">
        <v>484</v>
      </c>
      <c r="AK25" s="357" t="s">
        <v>485</v>
      </c>
      <c r="AL25" s="357" t="s">
        <v>486</v>
      </c>
      <c r="AM25" s="357" t="s">
        <v>487</v>
      </c>
      <c r="AN25" s="357" t="s">
        <v>488</v>
      </c>
      <c r="AO25" s="358" t="s">
        <v>525</v>
      </c>
      <c r="AP25" s="270" t="s">
        <v>416</v>
      </c>
      <c r="AS25" s="60" t="s">
        <v>92</v>
      </c>
      <c r="AT25" s="470">
        <f t="shared" si="20"/>
        <v>0</v>
      </c>
      <c r="AU25" s="470">
        <f t="shared" si="18"/>
        <v>4</v>
      </c>
      <c r="AV25" s="470">
        <f t="shared" si="18"/>
        <v>7</v>
      </c>
      <c r="AW25" s="470">
        <f t="shared" si="18"/>
        <v>0</v>
      </c>
      <c r="AX25" s="470">
        <f t="shared" si="18"/>
        <v>0</v>
      </c>
      <c r="AY25" s="60">
        <f t="shared" si="21"/>
        <v>11</v>
      </c>
    </row>
    <row r="26" spans="1:51" ht="13.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22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23">F26</f>
        <v>664.51419999999996</v>
      </c>
      <c r="Q26" s="80">
        <v>0.75</v>
      </c>
      <c r="R26" s="98">
        <f t="shared" si="11"/>
        <v>498.38564999999994</v>
      </c>
      <c r="S26" s="80">
        <f t="shared" ref="S26:S56" si="24">O26*I26</f>
        <v>450</v>
      </c>
      <c r="T26" s="79">
        <f t="shared" ref="T26:T56" si="25">S26-R26</f>
        <v>-48.385649999999941</v>
      </c>
      <c r="U26" s="199" t="str">
        <f t="shared" ref="U26:U56" si="26">IF(T26&gt;=0,"No","Yes")</f>
        <v>Yes</v>
      </c>
      <c r="V26" s="255" t="s">
        <v>383</v>
      </c>
      <c r="W26" s="118">
        <v>16.62</v>
      </c>
      <c r="AJ26" s="60" t="s">
        <v>84</v>
      </c>
      <c r="AK26" s="470">
        <v>0</v>
      </c>
      <c r="AL26" s="470">
        <f>4</f>
        <v>4</v>
      </c>
      <c r="AM26" s="416">
        <f>1+1</f>
        <v>2</v>
      </c>
      <c r="AN26" s="416">
        <f>1</f>
        <v>1</v>
      </c>
      <c r="AO26" s="470">
        <v>0</v>
      </c>
      <c r="AP26" s="361">
        <f>SUM(AK26:AO26)</f>
        <v>7</v>
      </c>
      <c r="AS26" s="60" t="s">
        <v>93</v>
      </c>
      <c r="AT26" s="470">
        <f t="shared" si="20"/>
        <v>1</v>
      </c>
      <c r="AU26" s="470">
        <f t="shared" si="18"/>
        <v>0</v>
      </c>
      <c r="AV26" s="470">
        <f t="shared" si="18"/>
        <v>2</v>
      </c>
      <c r="AW26" s="470">
        <f t="shared" si="18"/>
        <v>3</v>
      </c>
      <c r="AX26" s="470">
        <f t="shared" si="18"/>
        <v>0</v>
      </c>
      <c r="AY26" s="60">
        <f t="shared" si="21"/>
        <v>6</v>
      </c>
    </row>
    <row r="27" spans="1:51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22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23"/>
        <v>424.66829999999999</v>
      </c>
      <c r="Q27" s="114">
        <v>0.75</v>
      </c>
      <c r="R27" s="89">
        <f t="shared" si="11"/>
        <v>318.50122499999998</v>
      </c>
      <c r="S27" s="114">
        <f t="shared" si="24"/>
        <v>450</v>
      </c>
      <c r="T27" s="288">
        <f t="shared" si="25"/>
        <v>131.49877500000002</v>
      </c>
      <c r="U27" s="187" t="str">
        <f t="shared" si="26"/>
        <v>No</v>
      </c>
      <c r="V27" s="262"/>
      <c r="W27" s="145"/>
      <c r="AJ27" s="60" t="s">
        <v>85</v>
      </c>
      <c r="AK27" s="470">
        <v>0</v>
      </c>
      <c r="AL27" s="470">
        <f>3+2+2</f>
        <v>7</v>
      </c>
      <c r="AM27" s="470">
        <f>2+1</f>
        <v>3</v>
      </c>
      <c r="AN27" s="470">
        <v>0</v>
      </c>
      <c r="AO27" s="470">
        <f>1+1</f>
        <v>2</v>
      </c>
      <c r="AP27" s="60">
        <f t="shared" ref="AP27:AP37" si="27">SUM(AK27:AO27)</f>
        <v>12</v>
      </c>
      <c r="AS27" s="60" t="s">
        <v>94</v>
      </c>
      <c r="AT27" s="470">
        <f t="shared" si="20"/>
        <v>1</v>
      </c>
      <c r="AU27" s="470">
        <f t="shared" si="18"/>
        <v>1</v>
      </c>
      <c r="AV27" s="470">
        <f t="shared" si="18"/>
        <v>2</v>
      </c>
      <c r="AW27" s="470">
        <f t="shared" si="18"/>
        <v>4</v>
      </c>
      <c r="AX27" s="470">
        <f t="shared" si="18"/>
        <v>0</v>
      </c>
      <c r="AY27" s="60">
        <f t="shared" si="21"/>
        <v>8</v>
      </c>
    </row>
    <row r="28" spans="1:51" ht="13.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22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23"/>
        <v>414.50749999999999</v>
      </c>
      <c r="Q28" s="90">
        <v>0.75</v>
      </c>
      <c r="R28" s="98">
        <f t="shared" si="11"/>
        <v>310.88062500000001</v>
      </c>
      <c r="S28" s="90">
        <f t="shared" si="24"/>
        <v>300</v>
      </c>
      <c r="T28" s="286">
        <f t="shared" si="25"/>
        <v>-10.880625000000009</v>
      </c>
      <c r="U28" s="187" t="str">
        <f t="shared" si="26"/>
        <v>Yes</v>
      </c>
      <c r="V28" s="255"/>
      <c r="W28" s="118"/>
      <c r="AJ28" s="60" t="s">
        <v>86</v>
      </c>
      <c r="AK28" s="470">
        <v>0</v>
      </c>
      <c r="AL28" s="470">
        <v>0</v>
      </c>
      <c r="AM28" s="359">
        <f>2+1</f>
        <v>3</v>
      </c>
      <c r="AN28" s="470">
        <v>0</v>
      </c>
      <c r="AO28" s="470">
        <f>1</f>
        <v>1</v>
      </c>
      <c r="AP28" s="60">
        <f t="shared" si="27"/>
        <v>4</v>
      </c>
      <c r="AS28" s="366" t="s">
        <v>482</v>
      </c>
      <c r="AT28" s="470">
        <f t="shared" si="20"/>
        <v>0</v>
      </c>
      <c r="AU28" s="470">
        <f t="shared" si="18"/>
        <v>1</v>
      </c>
      <c r="AV28" s="470">
        <f t="shared" si="18"/>
        <v>2</v>
      </c>
      <c r="AW28" s="470">
        <f t="shared" si="18"/>
        <v>0</v>
      </c>
      <c r="AX28" s="470">
        <f t="shared" si="18"/>
        <v>0</v>
      </c>
      <c r="AY28" s="366">
        <f t="shared" si="21"/>
        <v>3</v>
      </c>
    </row>
    <row r="29" spans="1:51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22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23"/>
        <v>185.4342</v>
      </c>
      <c r="Q29" s="90">
        <v>0.75</v>
      </c>
      <c r="R29" s="89">
        <f t="shared" si="11"/>
        <v>139.07565</v>
      </c>
      <c r="S29" s="90">
        <f t="shared" si="24"/>
        <v>300</v>
      </c>
      <c r="T29" s="286">
        <f t="shared" si="25"/>
        <v>160.92435</v>
      </c>
      <c r="U29" s="187" t="str">
        <f t="shared" si="26"/>
        <v>No</v>
      </c>
      <c r="V29" s="260" t="s">
        <v>394</v>
      </c>
      <c r="W29" s="139">
        <v>33.590000000000003</v>
      </c>
      <c r="Y29" s="18"/>
      <c r="Z29" s="393"/>
      <c r="AA29" s="18"/>
      <c r="AB29" s="393"/>
      <c r="AC29" s="393"/>
      <c r="AD29" s="353"/>
      <c r="AE29" s="393"/>
      <c r="AJ29" s="60" t="s">
        <v>87</v>
      </c>
      <c r="AK29" s="470">
        <v>0</v>
      </c>
      <c r="AL29" s="417">
        <f>4+3+3</f>
        <v>10</v>
      </c>
      <c r="AM29" s="470">
        <f>2+2+3+6+2</f>
        <v>15</v>
      </c>
      <c r="AN29" s="470">
        <f>1+3+4</f>
        <v>8</v>
      </c>
      <c r="AO29" s="470">
        <v>0</v>
      </c>
      <c r="AP29" s="60">
        <f t="shared" si="27"/>
        <v>33</v>
      </c>
      <c r="AS29" s="270" t="s">
        <v>493</v>
      </c>
      <c r="AT29" s="368">
        <f t="shared" ref="AT29:AY29" si="28">SUM(AT17:AT28)</f>
        <v>5</v>
      </c>
      <c r="AU29" s="368">
        <f t="shared" si="28"/>
        <v>44</v>
      </c>
      <c r="AV29" s="368">
        <f t="shared" si="28"/>
        <v>48</v>
      </c>
      <c r="AW29" s="368">
        <f t="shared" si="28"/>
        <v>20</v>
      </c>
      <c r="AX29" s="368">
        <f t="shared" si="28"/>
        <v>4</v>
      </c>
      <c r="AY29" s="369">
        <f t="shared" si="28"/>
        <v>121</v>
      </c>
    </row>
    <row r="30" spans="1:51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22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23"/>
        <v>213.84829999999999</v>
      </c>
      <c r="Q30" s="90">
        <v>0.75</v>
      </c>
      <c r="R30" s="89">
        <f t="shared" si="11"/>
        <v>160.386225</v>
      </c>
      <c r="S30" s="90">
        <f t="shared" si="24"/>
        <v>200</v>
      </c>
      <c r="T30" s="286">
        <f t="shared" si="25"/>
        <v>39.613775000000004</v>
      </c>
      <c r="U30" s="199" t="str">
        <f t="shared" si="26"/>
        <v>No</v>
      </c>
      <c r="V30" s="256"/>
      <c r="W30" s="142"/>
      <c r="Y30" s="18"/>
      <c r="Z30" s="393"/>
      <c r="AA30" s="18"/>
      <c r="AB30" s="393"/>
      <c r="AC30" s="393"/>
      <c r="AD30" s="393"/>
      <c r="AE30" s="393"/>
      <c r="AJ30" s="60" t="s">
        <v>88</v>
      </c>
      <c r="AK30" s="470">
        <v>0</v>
      </c>
      <c r="AL30" s="470">
        <v>0</v>
      </c>
      <c r="AM30" s="470">
        <f>1+1+1+3+1+1</f>
        <v>8</v>
      </c>
      <c r="AN30" s="470">
        <f>1</f>
        <v>1</v>
      </c>
      <c r="AO30" s="470">
        <v>0</v>
      </c>
      <c r="AP30" s="60">
        <f t="shared" si="27"/>
        <v>9</v>
      </c>
      <c r="AS30" s="270" t="s">
        <v>492</v>
      </c>
      <c r="AT30" s="370">
        <f>PRODUCT(AT29*AU7)</f>
        <v>75</v>
      </c>
      <c r="AU30" s="418">
        <f>PRODUCT(AU29*AU8)</f>
        <v>720.23159999999996</v>
      </c>
      <c r="AV30" s="418">
        <f>PRODUCT(AV29*AU9)</f>
        <v>803.84159999999997</v>
      </c>
      <c r="AW30" s="418">
        <f>PRODUCT(AW29*AU10)</f>
        <v>337.73200000000003</v>
      </c>
      <c r="AX30" s="418">
        <f>PRODUCT(AX29*AU11)</f>
        <v>68</v>
      </c>
      <c r="AY30" s="419">
        <f>SUM(AT30:AX30)</f>
        <v>2004.8051999999998</v>
      </c>
    </row>
    <row r="31" spans="1:51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22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23"/>
        <v>320.7817</v>
      </c>
      <c r="Q31" s="90">
        <v>0.75</v>
      </c>
      <c r="R31" s="89">
        <f t="shared" si="11"/>
        <v>240.586275</v>
      </c>
      <c r="S31" s="90">
        <f t="shared" si="24"/>
        <v>300</v>
      </c>
      <c r="T31" s="286">
        <f t="shared" si="25"/>
        <v>59.413724999999999</v>
      </c>
      <c r="U31" s="199" t="str">
        <f t="shared" si="26"/>
        <v>No</v>
      </c>
      <c r="V31" s="260"/>
      <c r="W31" s="139"/>
      <c r="Y31" s="18"/>
      <c r="Z31" s="393"/>
      <c r="AA31" s="393"/>
      <c r="AB31" s="393"/>
      <c r="AC31" s="393"/>
      <c r="AD31" s="393"/>
      <c r="AE31" s="393"/>
      <c r="AJ31" s="60" t="s">
        <v>89</v>
      </c>
      <c r="AK31" s="470">
        <v>0</v>
      </c>
      <c r="AL31" s="470">
        <f>3+3+1</f>
        <v>7</v>
      </c>
      <c r="AM31" s="470">
        <f>1</f>
        <v>1</v>
      </c>
      <c r="AN31" s="470">
        <f>1</f>
        <v>1</v>
      </c>
      <c r="AO31" s="470">
        <v>0</v>
      </c>
      <c r="AP31" s="60">
        <f t="shared" si="27"/>
        <v>9</v>
      </c>
      <c r="AS31" s="270" t="s">
        <v>526</v>
      </c>
      <c r="AT31" s="370">
        <f>AT29*AT7</f>
        <v>500</v>
      </c>
      <c r="AU31" s="370">
        <f>AU29*AT8</f>
        <v>6600</v>
      </c>
      <c r="AV31" s="370">
        <f>AV29*AT9</f>
        <v>9600</v>
      </c>
      <c r="AW31" s="370">
        <f>AW29*AT10</f>
        <v>5000</v>
      </c>
      <c r="AX31" s="370">
        <f>AX29*AT11</f>
        <v>1200</v>
      </c>
      <c r="AY31" s="270">
        <f>SUM(AT31:AX31)</f>
        <v>22900</v>
      </c>
    </row>
    <row r="32" spans="1:51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22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23"/>
        <v>277.57420000000002</v>
      </c>
      <c r="Q32" s="90">
        <v>0.75</v>
      </c>
      <c r="R32" s="89">
        <f t="shared" si="11"/>
        <v>208.18065000000001</v>
      </c>
      <c r="S32" s="90">
        <f t="shared" si="24"/>
        <v>150</v>
      </c>
      <c r="T32" s="286">
        <f t="shared" si="25"/>
        <v>-58.180650000000014</v>
      </c>
      <c r="U32" s="187" t="str">
        <f t="shared" si="26"/>
        <v>Yes</v>
      </c>
      <c r="V32" s="257"/>
      <c r="W32" s="113"/>
      <c r="X32" s="393"/>
      <c r="Y32" s="393"/>
      <c r="Z32" s="393"/>
      <c r="AA32" s="393"/>
      <c r="AB32" s="393"/>
      <c r="AC32" s="393"/>
      <c r="AD32" s="393"/>
      <c r="AE32" s="393"/>
      <c r="AJ32" s="60" t="s">
        <v>90</v>
      </c>
      <c r="AK32" s="470">
        <v>0</v>
      </c>
      <c r="AL32" s="359">
        <v>0</v>
      </c>
      <c r="AM32" s="359">
        <f>1</f>
        <v>1</v>
      </c>
      <c r="AN32" s="470">
        <f>1</f>
        <v>1</v>
      </c>
      <c r="AO32" s="470">
        <f>1</f>
        <v>1</v>
      </c>
      <c r="AP32" s="60">
        <f t="shared" si="27"/>
        <v>3</v>
      </c>
    </row>
    <row r="33" spans="1:50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22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23"/>
        <v>593.39</v>
      </c>
      <c r="Q33" s="80">
        <v>0.75</v>
      </c>
      <c r="R33" s="98">
        <f t="shared" si="11"/>
        <v>445.04250000000002</v>
      </c>
      <c r="S33" s="80">
        <f t="shared" si="24"/>
        <v>600</v>
      </c>
      <c r="T33" s="79">
        <f t="shared" si="25"/>
        <v>154.95749999999998</v>
      </c>
      <c r="U33" s="187" t="str">
        <f t="shared" si="26"/>
        <v>No</v>
      </c>
      <c r="V33" s="485"/>
      <c r="W33" s="488"/>
      <c r="X33" s="393"/>
      <c r="AB33" s="391"/>
      <c r="AJ33" s="60" t="s">
        <v>91</v>
      </c>
      <c r="AK33" s="470">
        <v>0</v>
      </c>
      <c r="AL33" s="359">
        <f>2+3+1+2+1+1</f>
        <v>10</v>
      </c>
      <c r="AM33" s="470">
        <f>1+1</f>
        <v>2</v>
      </c>
      <c r="AN33" s="470">
        <f>1</f>
        <v>1</v>
      </c>
      <c r="AO33" s="470">
        <v>0</v>
      </c>
      <c r="AP33" s="60">
        <f t="shared" si="27"/>
        <v>13</v>
      </c>
    </row>
    <row r="34" spans="1:50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22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23"/>
        <v>185.4342</v>
      </c>
      <c r="Q34" s="90">
        <v>0.75</v>
      </c>
      <c r="R34" s="89">
        <f t="shared" si="11"/>
        <v>139.07565</v>
      </c>
      <c r="S34" s="90">
        <f t="shared" si="24"/>
        <v>300</v>
      </c>
      <c r="T34" s="286">
        <f t="shared" si="25"/>
        <v>160.92435</v>
      </c>
      <c r="U34" s="187" t="str">
        <f t="shared" si="26"/>
        <v>No</v>
      </c>
      <c r="V34" s="486"/>
      <c r="W34" s="489"/>
      <c r="X34" s="393"/>
      <c r="AB34" s="391"/>
      <c r="AJ34" s="60" t="s">
        <v>92</v>
      </c>
      <c r="AK34" s="470">
        <v>0</v>
      </c>
      <c r="AL34" s="359">
        <f>2+2</f>
        <v>4</v>
      </c>
      <c r="AM34" s="470">
        <f>6+1</f>
        <v>7</v>
      </c>
      <c r="AN34" s="470">
        <v>0</v>
      </c>
      <c r="AO34" s="470">
        <v>0</v>
      </c>
      <c r="AP34" s="60">
        <f t="shared" si="27"/>
        <v>11</v>
      </c>
    </row>
    <row r="35" spans="1:50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22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23"/>
        <v>491.47570000000002</v>
      </c>
      <c r="Q35" s="114">
        <v>0.75</v>
      </c>
      <c r="R35" s="89">
        <f t="shared" si="11"/>
        <v>368.60677500000003</v>
      </c>
      <c r="S35" s="114">
        <f t="shared" si="24"/>
        <v>450</v>
      </c>
      <c r="T35" s="288">
        <f t="shared" si="25"/>
        <v>81.393224999999973</v>
      </c>
      <c r="U35" s="187" t="str">
        <f t="shared" si="26"/>
        <v>No</v>
      </c>
      <c r="V35" s="487"/>
      <c r="W35" s="490"/>
      <c r="X35" s="393"/>
      <c r="AJ35" s="60" t="s">
        <v>93</v>
      </c>
      <c r="AK35" s="470">
        <v>0</v>
      </c>
      <c r="AL35" s="359">
        <v>0</v>
      </c>
      <c r="AM35" s="470">
        <f>1+1</f>
        <v>2</v>
      </c>
      <c r="AN35" s="470">
        <f>3</f>
        <v>3</v>
      </c>
      <c r="AO35" s="470">
        <v>0</v>
      </c>
      <c r="AP35" s="60">
        <f t="shared" si="27"/>
        <v>5</v>
      </c>
    </row>
    <row r="36" spans="1:50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22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23"/>
        <v>213.84829999999999</v>
      </c>
      <c r="Q36" s="90">
        <v>0.75</v>
      </c>
      <c r="R36" s="98">
        <f t="shared" si="11"/>
        <v>160.386225</v>
      </c>
      <c r="S36" s="90">
        <f t="shared" si="24"/>
        <v>300</v>
      </c>
      <c r="T36" s="286">
        <f t="shared" si="25"/>
        <v>139.613775</v>
      </c>
      <c r="U36" s="187" t="str">
        <f t="shared" si="26"/>
        <v>No</v>
      </c>
      <c r="V36" s="485"/>
      <c r="W36" s="488"/>
      <c r="X36" s="393"/>
      <c r="AJ36" s="60" t="s">
        <v>94</v>
      </c>
      <c r="AK36" s="470">
        <v>0</v>
      </c>
      <c r="AL36" s="417">
        <f>1</f>
        <v>1</v>
      </c>
      <c r="AM36" s="470">
        <f>1+1</f>
        <v>2</v>
      </c>
      <c r="AN36" s="470">
        <f>4</f>
        <v>4</v>
      </c>
      <c r="AO36" s="470">
        <v>0</v>
      </c>
      <c r="AP36" s="60">
        <f t="shared" si="27"/>
        <v>7</v>
      </c>
    </row>
    <row r="37" spans="1:50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22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23"/>
        <v>1151.328</v>
      </c>
      <c r="Q37" s="90">
        <v>0.75</v>
      </c>
      <c r="R37" s="69">
        <f t="shared" si="11"/>
        <v>863.49599999999998</v>
      </c>
      <c r="S37" s="90">
        <f t="shared" si="24"/>
        <v>1200</v>
      </c>
      <c r="T37" s="286">
        <f t="shared" si="25"/>
        <v>336.50400000000002</v>
      </c>
      <c r="U37" s="187" t="str">
        <f t="shared" si="26"/>
        <v>No</v>
      </c>
      <c r="V37" s="487"/>
      <c r="W37" s="490"/>
      <c r="X37" s="393"/>
      <c r="AJ37" s="366" t="s">
        <v>482</v>
      </c>
      <c r="AK37" s="367">
        <v>0</v>
      </c>
      <c r="AL37" s="367">
        <f>1</f>
        <v>1</v>
      </c>
      <c r="AM37" s="367">
        <f>2</f>
        <v>2</v>
      </c>
      <c r="AN37" s="367">
        <v>0</v>
      </c>
      <c r="AO37" s="367">
        <v>0</v>
      </c>
      <c r="AP37" s="366">
        <f t="shared" si="27"/>
        <v>3</v>
      </c>
    </row>
    <row r="38" spans="1:50" ht="13.5" thickBot="1">
      <c r="A38" s="387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22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23"/>
        <v>779.52329999999995</v>
      </c>
      <c r="Q38" s="167">
        <v>0.75</v>
      </c>
      <c r="R38" s="89">
        <f t="shared" si="11"/>
        <v>584.64247499999999</v>
      </c>
      <c r="S38" s="167">
        <f t="shared" si="24"/>
        <v>450</v>
      </c>
      <c r="T38" s="287">
        <f t="shared" si="25"/>
        <v>-134.64247499999999</v>
      </c>
      <c r="U38" s="199" t="str">
        <f t="shared" si="26"/>
        <v>Yes</v>
      </c>
      <c r="V38" s="260" t="s">
        <v>370</v>
      </c>
      <c r="W38" s="124">
        <v>69.75</v>
      </c>
      <c r="X38" s="18"/>
      <c r="AJ38" s="270" t="s">
        <v>493</v>
      </c>
      <c r="AK38" s="368">
        <f t="shared" ref="AK38:AP38" si="29">SUM(AK26:AK37)</f>
        <v>0</v>
      </c>
      <c r="AL38" s="368">
        <f t="shared" si="29"/>
        <v>44</v>
      </c>
      <c r="AM38" s="368">
        <f t="shared" si="29"/>
        <v>48</v>
      </c>
      <c r="AN38" s="368">
        <f t="shared" si="29"/>
        <v>20</v>
      </c>
      <c r="AO38" s="368">
        <f t="shared" si="29"/>
        <v>4</v>
      </c>
      <c r="AP38" s="369">
        <f t="shared" si="29"/>
        <v>116</v>
      </c>
    </row>
    <row r="39" spans="1:50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22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23"/>
        <v>886.15449999999998</v>
      </c>
      <c r="Q39" s="90">
        <v>0.75</v>
      </c>
      <c r="R39" s="98">
        <f t="shared" si="11"/>
        <v>664.61587499999996</v>
      </c>
      <c r="S39" s="90">
        <f t="shared" si="24"/>
        <v>600</v>
      </c>
      <c r="T39" s="286">
        <f t="shared" si="25"/>
        <v>-64.61587499999996</v>
      </c>
      <c r="U39" s="199" t="str">
        <f t="shared" si="26"/>
        <v>Yes</v>
      </c>
      <c r="V39" s="255" t="s">
        <v>20</v>
      </c>
      <c r="W39" s="414">
        <v>20.91</v>
      </c>
      <c r="X39" s="18"/>
      <c r="AJ39" s="270" t="s">
        <v>492</v>
      </c>
      <c r="AK39" s="418">
        <f>PRODUCT(AK38*AU7)</f>
        <v>0</v>
      </c>
      <c r="AL39" s="418">
        <f>PRODUCT(AL38*AU8)</f>
        <v>720.23159999999996</v>
      </c>
      <c r="AM39" s="418">
        <f>PRODUCT(AM38*AU9)</f>
        <v>803.84159999999997</v>
      </c>
      <c r="AN39" s="418">
        <f>PRODUCT(AN38*AU10)</f>
        <v>337.73200000000003</v>
      </c>
      <c r="AO39" s="418">
        <f>PRODUCT(AO38*AU11)</f>
        <v>68</v>
      </c>
      <c r="AP39" s="419">
        <f>SUM(AK39:AO39)</f>
        <v>1929.8051999999998</v>
      </c>
    </row>
    <row r="40" spans="1:50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22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23"/>
        <v>233.80699999999999</v>
      </c>
      <c r="Q40" s="90">
        <v>0.75</v>
      </c>
      <c r="R40" s="89">
        <f t="shared" si="11"/>
        <v>175.35524999999998</v>
      </c>
      <c r="S40" s="90">
        <f t="shared" si="24"/>
        <v>300</v>
      </c>
      <c r="T40" s="286">
        <f t="shared" si="25"/>
        <v>124.64475000000002</v>
      </c>
      <c r="U40" s="187" t="str">
        <f t="shared" si="26"/>
        <v>No</v>
      </c>
      <c r="V40" s="257"/>
      <c r="W40" s="415"/>
      <c r="X40" s="472"/>
      <c r="AJ40" s="270" t="s">
        <v>526</v>
      </c>
      <c r="AK40" s="370">
        <f>AK38*AT7</f>
        <v>0</v>
      </c>
      <c r="AL40" s="370">
        <f>AL38*AT8</f>
        <v>6600</v>
      </c>
      <c r="AM40" s="370">
        <f>AM38*AT9</f>
        <v>9600</v>
      </c>
      <c r="AN40" s="370">
        <f>AN38*AT10</f>
        <v>5000</v>
      </c>
      <c r="AO40" s="370">
        <f>AO38*AT11</f>
        <v>1200</v>
      </c>
      <c r="AP40" s="270">
        <f>SUM(AK40:AO40)</f>
        <v>22400</v>
      </c>
    </row>
    <row r="41" spans="1:50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22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23"/>
        <v>416.14780000000002</v>
      </c>
      <c r="Q41" s="80">
        <v>0.75</v>
      </c>
      <c r="R41" s="98">
        <f t="shared" si="11"/>
        <v>312.11085000000003</v>
      </c>
      <c r="S41" s="80">
        <f t="shared" si="24"/>
        <v>450</v>
      </c>
      <c r="T41" s="79">
        <f t="shared" si="25"/>
        <v>137.88914999999997</v>
      </c>
      <c r="U41" s="187" t="str">
        <f t="shared" si="26"/>
        <v>No</v>
      </c>
      <c r="AE41" s="392"/>
      <c r="AF41" s="392"/>
      <c r="AG41" s="392"/>
      <c r="AH41" s="393"/>
      <c r="AI41" s="393"/>
      <c r="AJ41" s="393"/>
      <c r="AK41" s="393"/>
      <c r="AL41" s="393"/>
      <c r="AM41" s="393"/>
      <c r="AN41" s="393"/>
      <c r="AO41" s="393"/>
      <c r="AP41" s="393"/>
      <c r="AT41" s="476"/>
      <c r="AU41" s="476"/>
      <c r="AV41" s="386"/>
      <c r="AW41" s="393"/>
      <c r="AX41" s="393"/>
    </row>
    <row r="42" spans="1:50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22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23"/>
        <v>424.66829999999999</v>
      </c>
      <c r="Q42" s="90">
        <v>0.75</v>
      </c>
      <c r="R42" s="89">
        <f t="shared" si="11"/>
        <v>318.50122499999998</v>
      </c>
      <c r="S42" s="90">
        <f t="shared" si="24"/>
        <v>450</v>
      </c>
      <c r="T42" s="286">
        <f t="shared" si="25"/>
        <v>131.49877500000002</v>
      </c>
      <c r="U42" s="187" t="str">
        <f t="shared" si="26"/>
        <v>No</v>
      </c>
      <c r="Y42" s="500"/>
      <c r="Z42" s="500"/>
      <c r="AA42" s="500"/>
      <c r="AC42" s="508"/>
      <c r="AD42" s="508"/>
      <c r="AE42" s="508"/>
      <c r="AF42" s="508"/>
      <c r="AG42" s="508"/>
      <c r="AH42" s="508"/>
      <c r="AI42" s="391"/>
      <c r="AN42" s="393"/>
      <c r="AO42" s="392"/>
      <c r="AP42" s="392"/>
      <c r="AT42" s="476"/>
      <c r="AU42" s="476"/>
      <c r="AV42" s="386"/>
      <c r="AW42" s="393"/>
      <c r="AX42" s="393"/>
    </row>
    <row r="43" spans="1:50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22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23"/>
        <v>80.336669999999998</v>
      </c>
      <c r="Q43" s="114">
        <v>0.75</v>
      </c>
      <c r="R43" s="69">
        <f t="shared" si="11"/>
        <v>60.252502499999999</v>
      </c>
      <c r="S43" s="114">
        <f t="shared" si="24"/>
        <v>150</v>
      </c>
      <c r="T43" s="288">
        <f t="shared" si="25"/>
        <v>89.747497500000009</v>
      </c>
      <c r="U43" s="187" t="str">
        <f t="shared" si="26"/>
        <v>No</v>
      </c>
      <c r="Y43" s="393"/>
      <c r="Z43" s="393"/>
      <c r="AA43" s="393"/>
      <c r="AC43" s="379"/>
      <c r="AD43" s="380"/>
      <c r="AE43" s="380"/>
      <c r="AF43" s="380"/>
      <c r="AG43" s="392"/>
      <c r="AH43" s="392"/>
      <c r="AI43" s="392"/>
      <c r="AN43" s="393"/>
      <c r="AO43" s="393"/>
      <c r="AP43" s="393"/>
      <c r="AT43" s="476"/>
      <c r="AU43" s="476"/>
      <c r="AV43" s="386"/>
      <c r="AW43" s="393"/>
      <c r="AX43" s="393"/>
    </row>
    <row r="44" spans="1:50" ht="13.5" thickBot="1">
      <c r="A44" s="387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22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23"/>
        <v>67.241829999999993</v>
      </c>
      <c r="Q44" s="90">
        <v>0.75</v>
      </c>
      <c r="R44" s="89">
        <f t="shared" si="11"/>
        <v>50.431372499999995</v>
      </c>
      <c r="S44" s="90">
        <f t="shared" si="24"/>
        <v>150</v>
      </c>
      <c r="T44" s="286">
        <f t="shared" si="25"/>
        <v>99.568627500000005</v>
      </c>
      <c r="U44" s="187" t="str">
        <f t="shared" si="26"/>
        <v>No</v>
      </c>
      <c r="Y44" s="392"/>
      <c r="Z44" s="392"/>
      <c r="AA44" s="392"/>
      <c r="AC44" s="393"/>
      <c r="AD44" s="359"/>
      <c r="AE44" s="359"/>
      <c r="AF44" s="359"/>
      <c r="AG44" s="359"/>
      <c r="AH44" s="386"/>
      <c r="AI44" s="393"/>
      <c r="AN44" s="393"/>
      <c r="AO44" s="349"/>
      <c r="AP44" s="349"/>
      <c r="AT44" s="476"/>
      <c r="AU44" s="476"/>
      <c r="AV44" s="386"/>
      <c r="AW44" s="393"/>
      <c r="AX44" s="393"/>
    </row>
    <row r="45" spans="1:50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22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23"/>
        <v>175.91919999999999</v>
      </c>
      <c r="Q45" s="80">
        <v>0.75</v>
      </c>
      <c r="R45" s="98">
        <f t="shared" si="11"/>
        <v>131.93939999999998</v>
      </c>
      <c r="S45" s="80">
        <f t="shared" si="24"/>
        <v>300</v>
      </c>
      <c r="T45" s="79">
        <f t="shared" si="25"/>
        <v>168.06060000000002</v>
      </c>
      <c r="U45" s="187" t="str">
        <f t="shared" si="26"/>
        <v>No</v>
      </c>
      <c r="Y45" s="393"/>
      <c r="Z45" s="393"/>
      <c r="AA45" s="393"/>
      <c r="AC45" s="393"/>
      <c r="AD45" s="359"/>
      <c r="AE45" s="359"/>
      <c r="AF45" s="359"/>
      <c r="AG45" s="359"/>
      <c r="AH45" s="386"/>
      <c r="AI45" s="393"/>
      <c r="AN45" s="393"/>
      <c r="AO45" s="393"/>
      <c r="AP45" s="393"/>
      <c r="AT45" s="476"/>
      <c r="AU45" s="476"/>
      <c r="AV45" s="386"/>
      <c r="AW45" s="393"/>
      <c r="AX45" s="393"/>
    </row>
    <row r="46" spans="1:50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22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23"/>
        <v>115.1143</v>
      </c>
      <c r="Q46" s="90">
        <v>0.75</v>
      </c>
      <c r="R46" s="89">
        <f t="shared" si="11"/>
        <v>86.335724999999996</v>
      </c>
      <c r="S46" s="90">
        <f t="shared" si="24"/>
        <v>150</v>
      </c>
      <c r="T46" s="286">
        <f t="shared" si="25"/>
        <v>63.664275000000004</v>
      </c>
      <c r="U46" s="187" t="str">
        <f t="shared" si="26"/>
        <v>No</v>
      </c>
      <c r="Y46" s="393"/>
      <c r="Z46" s="393"/>
      <c r="AA46" s="393"/>
      <c r="AC46" s="393"/>
      <c r="AD46" s="359"/>
      <c r="AE46" s="359"/>
      <c r="AF46" s="359"/>
      <c r="AG46" s="359"/>
      <c r="AH46" s="386"/>
      <c r="AI46" s="393"/>
      <c r="AN46" s="393"/>
      <c r="AO46" s="393"/>
      <c r="AP46" s="393"/>
      <c r="AT46" s="476"/>
      <c r="AU46" s="476"/>
      <c r="AV46" s="386"/>
      <c r="AW46" s="393"/>
      <c r="AX46" s="393"/>
    </row>
    <row r="47" spans="1:50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22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23"/>
        <v>87.5685</v>
      </c>
      <c r="Q47" s="90">
        <v>0.75</v>
      </c>
      <c r="R47" s="89">
        <f t="shared" si="11"/>
        <v>65.676375000000007</v>
      </c>
      <c r="S47" s="90">
        <f t="shared" si="24"/>
        <v>150</v>
      </c>
      <c r="T47" s="286">
        <f t="shared" si="25"/>
        <v>84.323624999999993</v>
      </c>
      <c r="U47" s="187" t="str">
        <f t="shared" si="26"/>
        <v>No</v>
      </c>
      <c r="Y47" s="393"/>
      <c r="Z47" s="393"/>
      <c r="AA47" s="393"/>
      <c r="AC47" s="393"/>
      <c r="AD47" s="359"/>
      <c r="AE47" s="359"/>
      <c r="AF47" s="359"/>
      <c r="AG47" s="359"/>
      <c r="AH47" s="386"/>
      <c r="AI47" s="393"/>
      <c r="AN47" s="393"/>
      <c r="AO47" s="393"/>
      <c r="AP47" s="393"/>
      <c r="AT47" s="476"/>
      <c r="AU47" s="476"/>
      <c r="AV47" s="386"/>
      <c r="AW47" s="393"/>
      <c r="AX47" s="393"/>
    </row>
    <row r="48" spans="1:50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22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23"/>
        <v>46.164000000000001</v>
      </c>
      <c r="Q48" s="114">
        <v>0.75</v>
      </c>
      <c r="R48" s="89">
        <f t="shared" si="11"/>
        <v>34.623000000000005</v>
      </c>
      <c r="S48" s="114">
        <f t="shared" si="24"/>
        <v>150</v>
      </c>
      <c r="T48" s="288">
        <f t="shared" si="25"/>
        <v>115.377</v>
      </c>
      <c r="U48" s="187" t="str">
        <f t="shared" si="26"/>
        <v>No</v>
      </c>
      <c r="Y48" s="393"/>
      <c r="Z48" s="393"/>
      <c r="AA48" s="393"/>
      <c r="AC48" s="393"/>
      <c r="AD48" s="359"/>
      <c r="AE48" s="359"/>
      <c r="AF48" s="359"/>
      <c r="AG48" s="359"/>
      <c r="AH48" s="386"/>
      <c r="AI48" s="393"/>
      <c r="AJ48" s="393"/>
      <c r="AN48" s="393"/>
      <c r="AO48" s="393"/>
      <c r="AP48" s="393"/>
      <c r="AT48" s="476"/>
      <c r="AU48" s="476"/>
      <c r="AV48" s="386"/>
      <c r="AW48" s="393"/>
      <c r="AX48" s="393"/>
    </row>
    <row r="49" spans="1:50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22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23"/>
        <v>175.91919999999999</v>
      </c>
      <c r="Q49" s="90">
        <v>0.75</v>
      </c>
      <c r="R49" s="98">
        <f t="shared" si="11"/>
        <v>131.93939999999998</v>
      </c>
      <c r="S49" s="90">
        <f t="shared" si="24"/>
        <v>300</v>
      </c>
      <c r="T49" s="286">
        <f t="shared" si="25"/>
        <v>168.06060000000002</v>
      </c>
      <c r="U49" s="187" t="str">
        <f t="shared" si="26"/>
        <v>No</v>
      </c>
      <c r="Y49" s="393"/>
      <c r="Z49" s="393"/>
      <c r="AA49" s="393"/>
      <c r="AC49" s="393"/>
      <c r="AD49" s="359"/>
      <c r="AE49" s="359"/>
      <c r="AF49" s="359"/>
      <c r="AG49" s="359"/>
      <c r="AH49" s="386"/>
      <c r="AI49" s="393"/>
      <c r="AJ49" s="392"/>
      <c r="AN49" s="393"/>
      <c r="AO49" s="393"/>
      <c r="AP49" s="393"/>
      <c r="AT49" s="393"/>
      <c r="AU49" s="393"/>
      <c r="AV49" s="386"/>
      <c r="AW49" s="393"/>
      <c r="AX49" s="393"/>
    </row>
    <row r="50" spans="1:50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22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23"/>
        <v>46.164000000000001</v>
      </c>
      <c r="Q50" s="90">
        <v>0.75</v>
      </c>
      <c r="R50" s="89">
        <f t="shared" si="11"/>
        <v>34.623000000000005</v>
      </c>
      <c r="S50" s="90">
        <f t="shared" si="24"/>
        <v>150</v>
      </c>
      <c r="T50" s="286">
        <f t="shared" si="25"/>
        <v>115.377</v>
      </c>
      <c r="U50" s="187" t="str">
        <f t="shared" si="26"/>
        <v>No</v>
      </c>
      <c r="Y50" s="393"/>
      <c r="Z50" s="393"/>
      <c r="AA50" s="393"/>
      <c r="AC50" s="393"/>
      <c r="AD50" s="359"/>
      <c r="AE50" s="359"/>
      <c r="AF50" s="359"/>
      <c r="AG50" s="359"/>
      <c r="AH50" s="386"/>
      <c r="AI50" s="393"/>
      <c r="AJ50" s="392"/>
      <c r="AN50" s="393"/>
      <c r="AO50" s="393"/>
      <c r="AP50" s="393"/>
      <c r="AT50" s="393"/>
      <c r="AU50" s="393"/>
      <c r="AV50" s="386"/>
      <c r="AW50" s="393"/>
      <c r="AX50" s="393"/>
    </row>
    <row r="51" spans="1:50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22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23"/>
        <v>46.164000000000001</v>
      </c>
      <c r="Q51" s="80">
        <v>0.75</v>
      </c>
      <c r="R51" s="98">
        <f t="shared" si="11"/>
        <v>34.623000000000005</v>
      </c>
      <c r="S51" s="80">
        <f t="shared" si="24"/>
        <v>150</v>
      </c>
      <c r="T51" s="79">
        <f t="shared" si="25"/>
        <v>115.377</v>
      </c>
      <c r="U51" s="187" t="str">
        <f t="shared" si="26"/>
        <v>No</v>
      </c>
      <c r="Y51" s="18"/>
      <c r="Z51" s="18"/>
      <c r="AA51" s="393"/>
      <c r="AC51" s="393"/>
      <c r="AD51" s="359"/>
      <c r="AE51" s="359"/>
      <c r="AF51" s="386"/>
      <c r="AG51" s="386"/>
      <c r="AH51" s="386"/>
      <c r="AI51" s="393"/>
      <c r="AJ51" s="393"/>
      <c r="AN51" s="393"/>
      <c r="AO51" s="393"/>
      <c r="AP51" s="393"/>
      <c r="AT51" s="393"/>
      <c r="AU51" s="393"/>
      <c r="AV51" s="386"/>
      <c r="AW51" s="393"/>
      <c r="AX51" s="393"/>
    </row>
    <row r="52" spans="1:50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22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23"/>
        <v>136.87530000000001</v>
      </c>
      <c r="Q52" s="114">
        <v>0.75</v>
      </c>
      <c r="R52" s="89">
        <f t="shared" si="11"/>
        <v>102.656475</v>
      </c>
      <c r="S52" s="114">
        <f t="shared" si="24"/>
        <v>200</v>
      </c>
      <c r="T52" s="288">
        <f t="shared" si="25"/>
        <v>97.343525</v>
      </c>
      <c r="U52" s="187" t="str">
        <f t="shared" si="26"/>
        <v>No</v>
      </c>
      <c r="Y52" s="18"/>
      <c r="Z52" s="18"/>
      <c r="AA52" s="393"/>
      <c r="AC52" s="393"/>
      <c r="AD52" s="386"/>
      <c r="AE52" s="386"/>
      <c r="AF52" s="386"/>
      <c r="AG52" s="386"/>
      <c r="AH52" s="386"/>
      <c r="AI52" s="393"/>
      <c r="AJ52" s="393"/>
      <c r="AK52" s="393"/>
      <c r="AL52" s="393"/>
      <c r="AN52" s="393"/>
      <c r="AO52" s="393"/>
      <c r="AP52" s="393"/>
      <c r="AT52" s="393"/>
      <c r="AU52" s="393"/>
      <c r="AV52" s="386"/>
      <c r="AW52" s="393"/>
      <c r="AX52" s="393"/>
    </row>
    <row r="53" spans="1:50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22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23"/>
        <v>87.5685</v>
      </c>
      <c r="Q53" s="90">
        <v>0.75</v>
      </c>
      <c r="R53" s="98">
        <f t="shared" si="11"/>
        <v>65.676375000000007</v>
      </c>
      <c r="S53" s="90">
        <f t="shared" si="24"/>
        <v>150</v>
      </c>
      <c r="T53" s="286">
        <f t="shared" si="25"/>
        <v>84.323624999999993</v>
      </c>
      <c r="U53" s="187" t="str">
        <f t="shared" si="26"/>
        <v>No</v>
      </c>
      <c r="AC53" s="393"/>
      <c r="AD53" s="386"/>
      <c r="AE53" s="359"/>
      <c r="AF53" s="386"/>
      <c r="AG53" s="386"/>
      <c r="AH53" s="386"/>
      <c r="AI53" s="393"/>
      <c r="AJ53" s="393"/>
      <c r="AK53" s="393"/>
      <c r="AL53" s="393"/>
      <c r="AN53" s="393"/>
      <c r="AO53" s="393"/>
      <c r="AP53" s="393"/>
      <c r="AT53" s="393"/>
      <c r="AU53" s="393"/>
      <c r="AV53" s="386"/>
      <c r="AW53" s="393"/>
      <c r="AX53" s="393"/>
    </row>
    <row r="54" spans="1:50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22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23"/>
        <v>33.29833</v>
      </c>
      <c r="Q54" s="90">
        <v>0.75</v>
      </c>
      <c r="R54" s="89">
        <f t="shared" si="11"/>
        <v>24.973747500000002</v>
      </c>
      <c r="S54" s="90">
        <f t="shared" si="24"/>
        <v>200</v>
      </c>
      <c r="T54" s="286">
        <f t="shared" si="25"/>
        <v>175.0262525</v>
      </c>
      <c r="U54" s="187" t="str">
        <f t="shared" si="26"/>
        <v>No</v>
      </c>
      <c r="AC54" s="393"/>
      <c r="AD54" s="386"/>
      <c r="AE54" s="359"/>
      <c r="AF54" s="386"/>
      <c r="AG54" s="386"/>
      <c r="AH54" s="386"/>
      <c r="AI54" s="393"/>
      <c r="AJ54" s="18"/>
      <c r="AK54" s="18"/>
      <c r="AL54" s="393"/>
      <c r="AN54" s="393"/>
      <c r="AO54" s="393"/>
      <c r="AP54" s="393"/>
      <c r="AT54" s="393"/>
      <c r="AU54" s="393"/>
      <c r="AV54" s="386"/>
      <c r="AW54" s="393"/>
      <c r="AX54" s="393"/>
    </row>
    <row r="55" spans="1:50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22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23"/>
        <v>233.80699999999999</v>
      </c>
      <c r="Q55" s="80">
        <v>0.75</v>
      </c>
      <c r="R55" s="98">
        <f t="shared" si="11"/>
        <v>175.35524999999998</v>
      </c>
      <c r="S55" s="80">
        <f t="shared" si="24"/>
        <v>300</v>
      </c>
      <c r="T55" s="79">
        <f t="shared" si="25"/>
        <v>124.64475000000002</v>
      </c>
      <c r="U55" s="187" t="str">
        <f t="shared" si="26"/>
        <v>No</v>
      </c>
      <c r="AC55" s="393"/>
      <c r="AD55" s="386"/>
      <c r="AE55" s="386"/>
      <c r="AF55" s="386"/>
      <c r="AG55" s="386"/>
      <c r="AH55" s="386"/>
      <c r="AI55" s="393"/>
      <c r="AJ55" s="393"/>
      <c r="AK55" s="393"/>
      <c r="AL55" s="393"/>
      <c r="AN55" s="393"/>
      <c r="AO55" s="393"/>
      <c r="AP55" s="393"/>
      <c r="AT55" s="393"/>
      <c r="AU55" s="393"/>
      <c r="AV55" s="386"/>
      <c r="AW55" s="393"/>
      <c r="AX55" s="393"/>
    </row>
    <row r="56" spans="1:50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22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23"/>
        <v>136.87530000000001</v>
      </c>
      <c r="Q56" s="114">
        <v>0.75</v>
      </c>
      <c r="R56" s="69">
        <f t="shared" si="11"/>
        <v>102.656475</v>
      </c>
      <c r="S56" s="114">
        <f t="shared" si="24"/>
        <v>200</v>
      </c>
      <c r="T56" s="288">
        <f t="shared" si="25"/>
        <v>97.343525</v>
      </c>
      <c r="U56" s="214" t="str">
        <f t="shared" si="26"/>
        <v>No</v>
      </c>
      <c r="AC56" s="392"/>
      <c r="AD56" s="386"/>
      <c r="AE56" s="386"/>
      <c r="AF56" s="386"/>
      <c r="AG56" s="386"/>
      <c r="AH56" s="386"/>
      <c r="AI56" s="381"/>
      <c r="AJ56" s="393"/>
      <c r="AK56" s="393"/>
      <c r="AL56" s="393"/>
      <c r="AN56" s="393"/>
      <c r="AO56" s="393"/>
      <c r="AP56" s="393"/>
      <c r="AT56" s="393"/>
      <c r="AU56" s="393"/>
      <c r="AV56" s="386"/>
      <c r="AW56" s="393"/>
      <c r="AX56" s="393"/>
    </row>
    <row r="57" spans="1:50">
      <c r="A57" s="391"/>
      <c r="B57" s="64"/>
      <c r="C57" s="391"/>
      <c r="D57" s="391"/>
      <c r="E57" s="391"/>
      <c r="F57" s="64"/>
      <c r="G57" s="64"/>
      <c r="H57" s="64"/>
      <c r="I57" s="64"/>
      <c r="J57" s="64"/>
      <c r="K57" s="391"/>
      <c r="L57" s="391"/>
      <c r="M57" s="391"/>
      <c r="N57" s="391"/>
      <c r="O57" s="391"/>
      <c r="P57" s="391"/>
      <c r="Q57" s="391"/>
      <c r="R57" s="391"/>
      <c r="S57" s="12"/>
      <c r="U57" s="391"/>
      <c r="AC57" s="392"/>
      <c r="AD57" s="393"/>
      <c r="AE57" s="393"/>
      <c r="AF57" s="393"/>
      <c r="AG57" s="393"/>
      <c r="AH57" s="393"/>
      <c r="AI57" s="392"/>
      <c r="AJ57" s="393"/>
      <c r="AK57" s="393"/>
      <c r="AL57" s="393"/>
      <c r="AN57" s="393"/>
      <c r="AO57" s="393"/>
      <c r="AP57" s="393"/>
      <c r="AT57" s="393"/>
      <c r="AU57" s="393"/>
      <c r="AV57" s="393"/>
      <c r="AW57" s="393"/>
      <c r="AX57" s="393"/>
    </row>
    <row r="58" spans="1:50">
      <c r="A58" s="391"/>
      <c r="B58" s="64"/>
      <c r="C58" s="391"/>
      <c r="D58" s="391"/>
      <c r="E58" s="391"/>
      <c r="F58" s="64"/>
      <c r="G58" s="64"/>
      <c r="H58" s="64"/>
      <c r="I58" s="64"/>
      <c r="J58" s="64"/>
      <c r="K58" s="391"/>
      <c r="L58" s="391"/>
      <c r="M58" s="391"/>
      <c r="N58" s="391"/>
      <c r="O58" s="391"/>
      <c r="P58" s="391"/>
      <c r="Q58" s="391"/>
      <c r="R58" s="391"/>
      <c r="S58" s="12"/>
      <c r="U58" s="391"/>
      <c r="AC58" s="392"/>
      <c r="AD58" s="393"/>
      <c r="AE58" s="393"/>
      <c r="AF58" s="393"/>
      <c r="AG58" s="393"/>
      <c r="AH58" s="393"/>
      <c r="AI58" s="392"/>
      <c r="AJ58" s="393"/>
      <c r="AK58" s="393"/>
      <c r="AL58" s="393"/>
      <c r="AN58" s="393"/>
      <c r="AO58" s="393"/>
      <c r="AP58" s="393"/>
    </row>
    <row r="59" spans="1:50">
      <c r="A59" s="391"/>
      <c r="B59" s="64"/>
      <c r="C59" s="391"/>
      <c r="D59" s="391"/>
      <c r="E59" s="391"/>
      <c r="F59" s="64"/>
      <c r="G59" s="64"/>
      <c r="H59" s="64"/>
      <c r="I59" s="64"/>
      <c r="J59" s="64"/>
      <c r="K59" s="391"/>
      <c r="L59" s="391"/>
      <c r="M59" s="391"/>
      <c r="N59" s="391"/>
      <c r="O59" s="391"/>
      <c r="P59" s="391"/>
      <c r="Q59" s="391"/>
      <c r="R59" s="391"/>
      <c r="S59" s="12"/>
      <c r="U59" s="391"/>
      <c r="AC59" s="391"/>
      <c r="AD59" s="391"/>
      <c r="AE59" s="18"/>
      <c r="AF59" s="393"/>
      <c r="AG59" s="18"/>
      <c r="AH59" s="393"/>
      <c r="AI59" s="393"/>
      <c r="AJ59" s="393"/>
      <c r="AK59" s="393"/>
      <c r="AL59" s="392"/>
      <c r="AM59" s="392"/>
      <c r="AN59" s="393"/>
      <c r="AO59" s="392"/>
      <c r="AP59" s="392"/>
    </row>
    <row r="60" spans="1:50">
      <c r="A60" s="391"/>
      <c r="B60" s="64"/>
      <c r="C60" s="391"/>
      <c r="D60" s="391"/>
      <c r="E60" s="391"/>
      <c r="F60" s="64"/>
      <c r="G60" s="64"/>
      <c r="H60" s="64"/>
      <c r="I60" s="64"/>
      <c r="J60" s="64"/>
      <c r="K60" s="391"/>
      <c r="L60" s="391"/>
      <c r="M60" s="391"/>
      <c r="N60" s="391"/>
      <c r="O60" s="391"/>
      <c r="P60" s="391"/>
      <c r="Q60" s="391"/>
      <c r="R60" s="391"/>
      <c r="S60" s="12"/>
      <c r="U60" s="391"/>
      <c r="AC60" s="391"/>
      <c r="AD60" s="391"/>
      <c r="AE60" s="18"/>
      <c r="AF60" s="393"/>
      <c r="AG60" s="393"/>
      <c r="AH60" s="393"/>
      <c r="AI60" s="393"/>
      <c r="AJ60" s="393"/>
      <c r="AK60" s="393"/>
      <c r="AL60" s="393"/>
      <c r="AM60" s="393"/>
      <c r="AN60" s="393"/>
      <c r="AO60" s="393"/>
      <c r="AP60" s="393"/>
    </row>
    <row r="61" spans="1:50">
      <c r="A61" s="391"/>
      <c r="B61" s="64"/>
      <c r="C61" s="391"/>
      <c r="D61" s="391"/>
      <c r="E61" s="391"/>
      <c r="F61" s="64"/>
      <c r="G61" s="64"/>
      <c r="H61" s="64"/>
      <c r="I61" s="64"/>
      <c r="J61" s="64"/>
      <c r="K61" s="391"/>
      <c r="L61" s="391"/>
      <c r="M61" s="391"/>
      <c r="N61" s="391"/>
      <c r="O61" s="391"/>
      <c r="P61" s="391"/>
      <c r="Q61" s="391"/>
      <c r="R61" s="391"/>
      <c r="S61" s="12"/>
      <c r="U61" s="391"/>
      <c r="AC61" s="391"/>
      <c r="AD61" s="391"/>
      <c r="AE61" s="393"/>
      <c r="AF61" s="393"/>
      <c r="AG61" s="393"/>
      <c r="AH61" s="393"/>
      <c r="AI61" s="393"/>
      <c r="AJ61" s="393"/>
      <c r="AK61" s="393"/>
      <c r="AL61" s="349"/>
      <c r="AM61" s="349"/>
      <c r="AN61" s="393"/>
      <c r="AO61" s="349"/>
      <c r="AP61" s="349"/>
    </row>
    <row r="62" spans="1:50">
      <c r="A62" s="391"/>
      <c r="B62" s="65"/>
      <c r="C62" s="391"/>
      <c r="D62" s="391"/>
      <c r="E62" s="391"/>
      <c r="F62" s="64"/>
      <c r="G62" s="64"/>
      <c r="H62" s="64"/>
      <c r="I62" s="64"/>
      <c r="J62" s="64"/>
      <c r="K62" s="391"/>
      <c r="L62" s="391"/>
      <c r="M62" s="391"/>
      <c r="N62" s="391"/>
      <c r="O62" s="391"/>
      <c r="P62" s="391"/>
      <c r="Q62" s="391"/>
      <c r="R62" s="391"/>
      <c r="S62" s="12"/>
      <c r="U62" s="391"/>
      <c r="AC62" s="508"/>
      <c r="AD62" s="508"/>
      <c r="AE62" s="508"/>
      <c r="AF62" s="508"/>
      <c r="AG62" s="508"/>
      <c r="AH62" s="508"/>
      <c r="AI62" s="391"/>
      <c r="AJ62" s="393"/>
      <c r="AK62" s="393"/>
      <c r="AL62" s="393"/>
      <c r="AM62" s="393"/>
      <c r="AN62" s="393"/>
      <c r="AO62" s="393"/>
      <c r="AP62" s="393"/>
    </row>
    <row r="63" spans="1:50">
      <c r="A63" s="391"/>
      <c r="B63" s="65"/>
      <c r="C63" s="391"/>
      <c r="D63" s="391"/>
      <c r="E63" s="391"/>
      <c r="F63" s="64"/>
      <c r="G63" s="64"/>
      <c r="H63" s="64"/>
      <c r="I63" s="64"/>
      <c r="J63" s="64"/>
      <c r="K63" s="391"/>
      <c r="L63" s="391"/>
      <c r="M63" s="391"/>
      <c r="N63" s="391"/>
      <c r="O63" s="391"/>
      <c r="P63" s="391"/>
      <c r="Q63" s="391"/>
      <c r="R63" s="391"/>
      <c r="S63" s="12"/>
      <c r="U63" s="391"/>
      <c r="AC63" s="379"/>
      <c r="AD63" s="380"/>
      <c r="AE63" s="380"/>
      <c r="AF63" s="380"/>
      <c r="AG63" s="392"/>
      <c r="AH63" s="392"/>
      <c r="AI63" s="392"/>
      <c r="AJ63" s="393"/>
      <c r="AK63" s="393"/>
      <c r="AL63" s="393"/>
      <c r="AM63" s="393"/>
      <c r="AN63" s="393"/>
      <c r="AO63" s="393"/>
      <c r="AP63" s="393"/>
    </row>
    <row r="64" spans="1:50">
      <c r="A64" s="391"/>
      <c r="B64" s="65"/>
      <c r="C64" s="391"/>
      <c r="D64" s="391"/>
      <c r="E64" s="391"/>
      <c r="F64" s="64"/>
      <c r="G64" s="64"/>
      <c r="H64" s="64"/>
      <c r="I64" s="64"/>
      <c r="J64" s="64"/>
      <c r="K64" s="391"/>
      <c r="L64" s="391"/>
      <c r="M64" s="391"/>
      <c r="N64" s="391"/>
      <c r="O64" s="391"/>
      <c r="P64" s="391"/>
      <c r="Q64" s="391"/>
      <c r="R64" s="391"/>
      <c r="S64" s="12"/>
      <c r="U64" s="391"/>
      <c r="AC64" s="393"/>
      <c r="AD64" s="359"/>
      <c r="AE64" s="359"/>
      <c r="AF64" s="359"/>
      <c r="AG64" s="359"/>
      <c r="AH64" s="386"/>
      <c r="AI64" s="393"/>
      <c r="AJ64" s="393"/>
      <c r="AK64" s="393"/>
      <c r="AL64" s="393"/>
      <c r="AM64" s="393"/>
      <c r="AN64" s="393"/>
      <c r="AO64" s="393"/>
      <c r="AP64" s="393"/>
    </row>
    <row r="65" spans="1:42">
      <c r="A65" s="391"/>
      <c r="B65" s="64"/>
      <c r="C65" s="391"/>
      <c r="D65" s="391"/>
      <c r="E65" s="391"/>
      <c r="N65" s="391"/>
      <c r="O65" s="391"/>
      <c r="Q65" s="391"/>
      <c r="R65" s="391"/>
      <c r="S65" s="12"/>
      <c r="U65" s="391"/>
      <c r="AC65" s="393"/>
      <c r="AD65" s="359"/>
      <c r="AE65" s="359"/>
      <c r="AF65" s="359"/>
      <c r="AG65" s="359"/>
      <c r="AH65" s="386"/>
      <c r="AI65" s="393"/>
      <c r="AJ65" s="393"/>
      <c r="AK65" s="393"/>
      <c r="AL65" s="393"/>
      <c r="AM65" s="393"/>
      <c r="AN65" s="393"/>
      <c r="AO65" s="393"/>
      <c r="AP65" s="393"/>
    </row>
    <row r="66" spans="1:42">
      <c r="A66" s="391"/>
      <c r="B66" s="64"/>
      <c r="C66" s="391"/>
      <c r="D66" s="391"/>
      <c r="E66" s="391"/>
      <c r="N66" s="391"/>
      <c r="O66" s="391"/>
      <c r="Q66" s="391"/>
      <c r="R66" s="391"/>
      <c r="S66" s="12"/>
      <c r="U66" s="391"/>
      <c r="AC66" s="393"/>
      <c r="AD66" s="359"/>
      <c r="AE66" s="359"/>
      <c r="AF66" s="359"/>
      <c r="AG66" s="359"/>
      <c r="AH66" s="386"/>
      <c r="AI66" s="393"/>
      <c r="AJ66" s="393"/>
      <c r="AK66" s="393"/>
      <c r="AL66" s="393"/>
      <c r="AM66" s="393"/>
      <c r="AN66" s="393"/>
      <c r="AO66" s="393"/>
      <c r="AP66" s="393"/>
    </row>
    <row r="67" spans="1:42">
      <c r="A67" s="391"/>
      <c r="B67" s="64"/>
      <c r="C67" s="391"/>
      <c r="D67" s="391"/>
      <c r="E67" s="391"/>
      <c r="N67" s="391"/>
      <c r="O67" s="391"/>
      <c r="Q67" s="391"/>
      <c r="R67" s="391"/>
      <c r="S67" s="12"/>
      <c r="U67" s="391"/>
      <c r="AC67" s="393"/>
      <c r="AD67" s="359"/>
      <c r="AE67" s="359"/>
      <c r="AF67" s="359"/>
      <c r="AG67" s="359"/>
      <c r="AH67" s="386"/>
      <c r="AI67" s="393"/>
      <c r="AJ67" s="393"/>
      <c r="AK67" s="393"/>
      <c r="AL67" s="393"/>
      <c r="AM67" s="393"/>
      <c r="AN67" s="393"/>
      <c r="AO67" s="393"/>
      <c r="AP67" s="393"/>
    </row>
    <row r="68" spans="1:42">
      <c r="A68" s="391"/>
      <c r="B68" s="64"/>
      <c r="C68" s="391"/>
      <c r="D68" s="391"/>
      <c r="E68" s="391"/>
      <c r="F68" s="64"/>
      <c r="G68" s="64"/>
      <c r="H68" s="64"/>
      <c r="I68" s="64"/>
      <c r="J68" s="64"/>
      <c r="K68" s="391"/>
      <c r="L68" s="391"/>
      <c r="M68" s="391"/>
      <c r="N68" s="391"/>
      <c r="O68" s="391"/>
      <c r="P68" s="391"/>
      <c r="Q68" s="391"/>
      <c r="R68" s="391"/>
      <c r="S68" s="12"/>
      <c r="U68" s="391"/>
      <c r="AC68" s="393"/>
      <c r="AD68" s="359"/>
      <c r="AE68" s="359"/>
      <c r="AF68" s="359"/>
      <c r="AG68" s="359"/>
      <c r="AH68" s="386"/>
      <c r="AI68" s="393"/>
      <c r="AJ68" s="393"/>
      <c r="AK68" s="393"/>
      <c r="AL68" s="393"/>
      <c r="AM68" s="393"/>
      <c r="AN68" s="393"/>
      <c r="AO68" s="393"/>
      <c r="AP68" s="393"/>
    </row>
    <row r="69" spans="1:42">
      <c r="B69" s="64"/>
      <c r="C69" s="391"/>
      <c r="D69" s="391"/>
      <c r="E69" s="391"/>
      <c r="F69" s="64"/>
      <c r="G69" s="64"/>
      <c r="H69" s="64"/>
      <c r="I69" s="64"/>
      <c r="J69" s="64"/>
      <c r="K69" s="391"/>
      <c r="L69" s="391"/>
      <c r="M69" s="391"/>
      <c r="N69" s="391"/>
      <c r="O69" s="391"/>
      <c r="P69" s="391"/>
      <c r="Q69" s="391"/>
      <c r="R69" s="391"/>
      <c r="S69" s="12"/>
      <c r="U69" s="391"/>
      <c r="Y69" s="58"/>
      <c r="Z69" s="58"/>
      <c r="AC69" s="393"/>
      <c r="AD69" s="359"/>
      <c r="AE69" s="359"/>
      <c r="AF69" s="359"/>
      <c r="AG69" s="359"/>
      <c r="AH69" s="386"/>
      <c r="AI69" s="393"/>
      <c r="AJ69" s="393"/>
      <c r="AK69" s="393"/>
      <c r="AL69" s="393"/>
      <c r="AM69" s="393"/>
      <c r="AN69" s="393"/>
      <c r="AO69" s="393"/>
      <c r="AP69" s="393"/>
    </row>
    <row r="70" spans="1:42">
      <c r="B70" s="64"/>
      <c r="C70" s="391"/>
      <c r="D70" s="391"/>
      <c r="E70" s="391"/>
      <c r="F70" s="64"/>
      <c r="G70" s="64"/>
      <c r="H70" s="64"/>
      <c r="I70" s="64"/>
      <c r="J70" s="64"/>
      <c r="K70" s="391"/>
      <c r="L70" s="391"/>
      <c r="M70" s="391"/>
      <c r="N70" s="391"/>
      <c r="O70" s="391"/>
      <c r="P70" s="391"/>
      <c r="Q70" s="391"/>
      <c r="R70" s="391"/>
      <c r="S70" s="12"/>
      <c r="U70" s="391"/>
      <c r="Y70" s="58"/>
      <c r="Z70" s="58"/>
      <c r="AC70" s="393"/>
      <c r="AD70" s="359"/>
      <c r="AE70" s="359"/>
      <c r="AF70" s="359"/>
      <c r="AG70" s="359"/>
      <c r="AH70" s="386"/>
      <c r="AI70" s="393"/>
      <c r="AJ70" s="393"/>
      <c r="AK70" s="393"/>
      <c r="AL70" s="393"/>
      <c r="AM70" s="393"/>
      <c r="AN70" s="393"/>
      <c r="AO70" s="393"/>
      <c r="AP70" s="393"/>
    </row>
    <row r="71" spans="1:42">
      <c r="B71" s="64"/>
      <c r="C71" s="391"/>
      <c r="D71" s="391"/>
      <c r="E71" s="391"/>
      <c r="F71" s="64"/>
      <c r="G71" s="64"/>
      <c r="H71" s="64"/>
      <c r="I71" s="64"/>
      <c r="J71" s="64"/>
      <c r="K71" s="391"/>
      <c r="L71" s="391"/>
      <c r="M71" s="391"/>
      <c r="N71" s="391"/>
      <c r="O71" s="391"/>
      <c r="P71" s="391"/>
      <c r="Q71" s="391"/>
      <c r="R71" s="391"/>
      <c r="S71" s="12"/>
      <c r="U71" s="391"/>
      <c r="Y71" s="58"/>
      <c r="Z71" s="58"/>
      <c r="AC71" s="393"/>
      <c r="AD71" s="359"/>
      <c r="AE71" s="359"/>
      <c r="AF71" s="386"/>
      <c r="AG71" s="386"/>
      <c r="AH71" s="386"/>
      <c r="AI71" s="393"/>
      <c r="AJ71" s="393"/>
      <c r="AK71" s="393"/>
      <c r="AL71" s="393"/>
      <c r="AM71" s="393"/>
      <c r="AN71" s="393"/>
      <c r="AO71" s="393"/>
      <c r="AP71" s="393"/>
    </row>
    <row r="72" spans="1:42">
      <c r="B72" s="64"/>
      <c r="C72" s="391"/>
      <c r="D72" s="391"/>
      <c r="E72" s="391"/>
      <c r="F72" s="64"/>
      <c r="G72" s="64"/>
      <c r="H72" s="64"/>
      <c r="I72" s="64"/>
      <c r="J72" s="64"/>
      <c r="K72" s="391"/>
      <c r="L72" s="391"/>
      <c r="M72" s="391"/>
      <c r="N72" s="391"/>
      <c r="O72" s="391"/>
      <c r="P72" s="391"/>
      <c r="Q72" s="391"/>
      <c r="R72" s="391"/>
      <c r="S72" s="12"/>
      <c r="U72" s="391"/>
      <c r="Y72" s="58"/>
      <c r="Z72" s="58"/>
      <c r="AC72" s="393"/>
      <c r="AD72" s="386"/>
      <c r="AE72" s="386"/>
      <c r="AF72" s="386"/>
      <c r="AG72" s="386"/>
      <c r="AH72" s="386"/>
      <c r="AI72" s="393"/>
      <c r="AJ72" s="393"/>
      <c r="AK72" s="393"/>
      <c r="AL72" s="393"/>
      <c r="AM72" s="393"/>
      <c r="AN72" s="393"/>
      <c r="AO72" s="393"/>
      <c r="AP72" s="393"/>
    </row>
    <row r="73" spans="1:42">
      <c r="B73" s="64"/>
      <c r="C73" s="391"/>
      <c r="D73" s="391"/>
      <c r="E73" s="391"/>
      <c r="F73" s="64"/>
      <c r="G73" s="64"/>
      <c r="H73" s="64"/>
      <c r="I73" s="64"/>
      <c r="J73" s="64"/>
      <c r="K73" s="391"/>
      <c r="L73" s="391"/>
      <c r="M73" s="391"/>
      <c r="N73" s="391"/>
      <c r="O73" s="391"/>
      <c r="P73" s="391"/>
      <c r="Q73" s="391"/>
      <c r="R73" s="391"/>
      <c r="S73" s="12"/>
      <c r="U73" s="391"/>
      <c r="Y73" s="58"/>
      <c r="AC73" s="393"/>
      <c r="AD73" s="386"/>
      <c r="AE73" s="359"/>
      <c r="AF73" s="386"/>
      <c r="AG73" s="386"/>
      <c r="AH73" s="386"/>
      <c r="AI73" s="393"/>
      <c r="AJ73" s="393"/>
      <c r="AK73" s="393"/>
      <c r="AL73" s="393"/>
      <c r="AM73" s="393"/>
      <c r="AN73" s="393"/>
      <c r="AO73" s="393"/>
      <c r="AP73" s="393"/>
    </row>
    <row r="74" spans="1:42">
      <c r="B74" s="64"/>
      <c r="C74" s="391"/>
      <c r="D74" s="391"/>
      <c r="E74" s="391"/>
      <c r="F74" s="64"/>
      <c r="G74" s="64"/>
      <c r="H74" s="64"/>
      <c r="I74" s="64"/>
      <c r="J74" s="64"/>
      <c r="K74" s="391"/>
      <c r="L74" s="391"/>
      <c r="M74" s="391"/>
      <c r="N74" s="391"/>
      <c r="O74" s="391"/>
      <c r="P74" s="391"/>
      <c r="Q74" s="391"/>
      <c r="R74" s="391"/>
      <c r="S74" s="12"/>
      <c r="U74" s="391"/>
      <c r="Y74" s="58"/>
      <c r="AC74" s="393"/>
      <c r="AD74" s="386"/>
      <c r="AE74" s="359"/>
      <c r="AF74" s="386"/>
      <c r="AG74" s="386"/>
      <c r="AH74" s="386"/>
      <c r="AI74" s="393"/>
    </row>
    <row r="75" spans="1:42">
      <c r="B75" s="64"/>
      <c r="C75" s="391"/>
      <c r="D75" s="391"/>
      <c r="E75" s="391"/>
      <c r="F75" s="64"/>
      <c r="G75" s="64"/>
      <c r="H75" s="64"/>
      <c r="I75" s="64"/>
      <c r="J75" s="64"/>
      <c r="K75" s="391"/>
      <c r="L75" s="391"/>
      <c r="M75" s="391"/>
      <c r="N75" s="391"/>
      <c r="O75" s="391"/>
      <c r="P75" s="391"/>
      <c r="Q75" s="391"/>
      <c r="R75" s="391"/>
      <c r="S75" s="12"/>
      <c r="U75" s="391"/>
      <c r="AC75" s="393"/>
      <c r="AD75" s="386"/>
      <c r="AE75" s="386"/>
      <c r="AF75" s="386"/>
      <c r="AG75" s="386"/>
      <c r="AH75" s="386"/>
      <c r="AI75" s="393"/>
    </row>
    <row r="76" spans="1:42">
      <c r="B76" s="64"/>
      <c r="C76" s="391"/>
      <c r="D76" s="391"/>
      <c r="E76" s="391"/>
      <c r="F76" s="64"/>
      <c r="G76" s="64"/>
      <c r="H76" s="64"/>
      <c r="I76" s="64"/>
      <c r="J76" s="64"/>
      <c r="K76" s="391"/>
      <c r="L76" s="391"/>
      <c r="M76" s="391"/>
      <c r="N76" s="391"/>
      <c r="O76" s="391"/>
      <c r="P76" s="391"/>
      <c r="Q76" s="391"/>
      <c r="R76" s="391"/>
      <c r="S76" s="12"/>
      <c r="U76" s="391"/>
      <c r="AC76" s="392"/>
      <c r="AD76" s="386"/>
      <c r="AE76" s="386"/>
      <c r="AF76" s="386"/>
      <c r="AG76" s="386"/>
      <c r="AH76" s="386"/>
      <c r="AI76" s="381"/>
    </row>
    <row r="77" spans="1:42">
      <c r="B77" s="64"/>
      <c r="C77" s="391"/>
      <c r="D77" s="391"/>
      <c r="E77" s="391"/>
      <c r="F77" s="64"/>
      <c r="G77" s="64"/>
      <c r="H77" s="64"/>
      <c r="I77" s="64"/>
      <c r="J77" s="64"/>
      <c r="K77" s="391"/>
      <c r="L77" s="391"/>
      <c r="M77" s="391"/>
      <c r="N77" s="391"/>
      <c r="O77" s="391"/>
      <c r="P77" s="391"/>
      <c r="Q77" s="391"/>
      <c r="R77" s="391"/>
      <c r="S77" s="12"/>
      <c r="U77" s="391"/>
      <c r="AC77" s="392"/>
      <c r="AD77" s="393"/>
      <c r="AE77" s="393"/>
      <c r="AF77" s="393"/>
      <c r="AG77" s="393"/>
      <c r="AH77" s="393"/>
      <c r="AI77" s="392"/>
    </row>
    <row r="78" spans="1:42">
      <c r="B78" s="64"/>
      <c r="C78" s="391"/>
      <c r="D78" s="391"/>
      <c r="E78" s="391"/>
      <c r="F78" s="64"/>
      <c r="G78" s="64"/>
      <c r="H78" s="64"/>
      <c r="I78" s="64"/>
      <c r="J78" s="64"/>
      <c r="K78" s="391"/>
      <c r="L78" s="391"/>
      <c r="M78" s="391"/>
      <c r="N78" s="391"/>
      <c r="O78" s="391"/>
      <c r="P78" s="391"/>
      <c r="Q78" s="391"/>
      <c r="R78" s="391"/>
      <c r="S78" s="12"/>
      <c r="U78" s="391"/>
      <c r="AC78" s="392"/>
      <c r="AD78" s="393"/>
      <c r="AE78" s="393"/>
      <c r="AF78" s="393"/>
      <c r="AG78" s="393"/>
      <c r="AH78" s="393"/>
      <c r="AI78" s="392"/>
    </row>
    <row r="79" spans="1:42">
      <c r="B79" s="64"/>
      <c r="C79" s="391"/>
      <c r="D79" s="391"/>
      <c r="E79" s="391"/>
      <c r="F79" s="64"/>
      <c r="G79" s="64"/>
      <c r="H79" s="64"/>
      <c r="I79" s="64"/>
      <c r="J79" s="64"/>
      <c r="K79" s="391"/>
      <c r="L79" s="391"/>
      <c r="M79" s="391"/>
      <c r="N79" s="391"/>
      <c r="O79" s="391"/>
      <c r="P79" s="391"/>
      <c r="Q79" s="391"/>
      <c r="R79" s="391"/>
      <c r="S79" s="12"/>
      <c r="U79" s="391"/>
      <c r="AC79" s="391"/>
      <c r="AD79" s="391"/>
      <c r="AE79" s="391"/>
      <c r="AF79" s="391"/>
      <c r="AG79" s="391"/>
      <c r="AH79" s="391"/>
      <c r="AI79" s="391"/>
    </row>
    <row r="80" spans="1:42">
      <c r="B80" s="64"/>
      <c r="C80" s="391"/>
      <c r="D80" s="391"/>
      <c r="E80" s="391"/>
      <c r="F80" s="64"/>
      <c r="G80" s="64"/>
      <c r="H80" s="64"/>
      <c r="I80" s="64"/>
      <c r="J80" s="64"/>
      <c r="K80" s="391"/>
      <c r="L80" s="391"/>
      <c r="M80" s="391"/>
      <c r="N80" s="391"/>
      <c r="O80" s="391"/>
      <c r="P80" s="391"/>
      <c r="Q80" s="391"/>
      <c r="R80" s="391"/>
      <c r="S80" s="12"/>
      <c r="U80" s="391"/>
      <c r="AC80" s="391"/>
      <c r="AD80" s="391"/>
      <c r="AE80" s="391"/>
      <c r="AF80" s="391"/>
      <c r="AG80" s="391"/>
      <c r="AH80" s="391"/>
      <c r="AI80" s="391"/>
    </row>
    <row r="81" spans="2:21">
      <c r="B81" s="64"/>
      <c r="C81" s="391"/>
      <c r="D81" s="391"/>
      <c r="E81" s="391"/>
      <c r="F81" s="64"/>
      <c r="G81" s="64"/>
      <c r="H81" s="64"/>
      <c r="I81" s="64"/>
      <c r="J81" s="64"/>
      <c r="K81" s="391"/>
      <c r="L81" s="391"/>
      <c r="M81" s="391"/>
      <c r="N81" s="391"/>
      <c r="O81" s="391"/>
      <c r="P81" s="391"/>
      <c r="Q81" s="391"/>
      <c r="R81" s="391"/>
      <c r="S81" s="12"/>
      <c r="U81" s="391"/>
    </row>
    <row r="82" spans="2:21">
      <c r="B82" s="64"/>
      <c r="C82" s="391"/>
      <c r="D82" s="391"/>
      <c r="E82" s="391"/>
      <c r="F82" s="64"/>
      <c r="G82" s="64"/>
      <c r="H82" s="64"/>
      <c r="I82" s="64"/>
      <c r="J82" s="64"/>
      <c r="K82" s="391"/>
      <c r="L82" s="391"/>
      <c r="M82" s="391"/>
      <c r="N82" s="391"/>
      <c r="O82" s="391"/>
      <c r="P82" s="391"/>
      <c r="Q82" s="391"/>
      <c r="R82" s="391"/>
      <c r="S82" s="12"/>
      <c r="U82" s="391"/>
    </row>
    <row r="83" spans="2:21">
      <c r="B83" s="64"/>
      <c r="C83" s="391"/>
      <c r="D83" s="391"/>
      <c r="E83" s="391"/>
      <c r="F83" s="64"/>
      <c r="G83" s="64"/>
      <c r="H83" s="64"/>
      <c r="I83" s="64"/>
      <c r="J83" s="64"/>
      <c r="K83" s="391"/>
      <c r="L83" s="391"/>
      <c r="M83" s="391"/>
      <c r="N83" s="391"/>
      <c r="O83" s="391"/>
      <c r="P83" s="391"/>
      <c r="Q83" s="391"/>
      <c r="R83" s="391"/>
      <c r="S83" s="12"/>
      <c r="U83" s="391"/>
    </row>
    <row r="84" spans="2:21">
      <c r="B84" s="64"/>
      <c r="C84" s="391"/>
      <c r="D84" s="391"/>
      <c r="E84" s="391"/>
      <c r="F84" s="64"/>
      <c r="G84" s="64"/>
      <c r="H84" s="64"/>
      <c r="I84" s="64"/>
      <c r="J84" s="64"/>
      <c r="K84" s="391"/>
      <c r="L84" s="391"/>
      <c r="M84" s="391"/>
      <c r="N84" s="391"/>
      <c r="O84" s="391"/>
      <c r="P84" s="391"/>
      <c r="Q84" s="391"/>
      <c r="R84" s="391"/>
      <c r="S84" s="12"/>
      <c r="U84" s="391"/>
    </row>
    <row r="85" spans="2:21">
      <c r="B85" s="64"/>
      <c r="C85" s="391"/>
      <c r="D85" s="391"/>
      <c r="E85" s="391"/>
      <c r="F85" s="64"/>
      <c r="G85" s="64"/>
      <c r="H85" s="64"/>
      <c r="I85" s="64"/>
      <c r="J85" s="64"/>
      <c r="K85" s="391"/>
      <c r="L85" s="391"/>
      <c r="M85" s="391"/>
      <c r="N85" s="391"/>
      <c r="O85" s="391"/>
      <c r="P85" s="391"/>
      <c r="Q85" s="391"/>
      <c r="R85" s="391"/>
      <c r="S85" s="12"/>
      <c r="U85" s="391"/>
    </row>
    <row r="86" spans="2:21">
      <c r="B86" s="64"/>
      <c r="C86" s="391"/>
      <c r="D86" s="391"/>
      <c r="E86" s="391"/>
      <c r="F86" s="64"/>
      <c r="G86" s="64"/>
      <c r="H86" s="64"/>
      <c r="I86" s="64"/>
      <c r="J86" s="64"/>
      <c r="K86" s="391"/>
      <c r="L86" s="391"/>
      <c r="M86" s="391"/>
      <c r="N86" s="391"/>
      <c r="O86" s="391"/>
      <c r="P86" s="391"/>
      <c r="Q86" s="391"/>
      <c r="R86" s="391"/>
      <c r="S86" s="12"/>
      <c r="U86" s="391"/>
    </row>
    <row r="87" spans="2:21">
      <c r="B87" s="64"/>
      <c r="C87" s="391"/>
      <c r="D87" s="391"/>
      <c r="E87" s="391"/>
      <c r="F87" s="64"/>
      <c r="G87" s="64"/>
      <c r="H87" s="64"/>
      <c r="I87" s="64"/>
      <c r="J87" s="64"/>
      <c r="K87" s="391"/>
      <c r="L87" s="391"/>
      <c r="M87" s="391"/>
      <c r="N87" s="391"/>
      <c r="O87" s="391"/>
      <c r="P87" s="391"/>
      <c r="Q87" s="391"/>
      <c r="R87" s="391"/>
      <c r="S87" s="12"/>
      <c r="U87" s="391"/>
    </row>
    <row r="88" spans="2:21">
      <c r="B88" s="64"/>
      <c r="C88" s="391"/>
      <c r="D88" s="391"/>
      <c r="E88" s="391"/>
      <c r="F88" s="64"/>
      <c r="G88" s="64"/>
      <c r="H88" s="64"/>
      <c r="I88" s="64"/>
      <c r="J88" s="64"/>
      <c r="K88" s="391"/>
      <c r="L88" s="391"/>
      <c r="M88" s="391"/>
      <c r="N88" s="391"/>
      <c r="O88" s="391"/>
      <c r="P88" s="391"/>
      <c r="Q88" s="391"/>
      <c r="R88" s="391"/>
      <c r="S88" s="12"/>
      <c r="U88" s="391"/>
    </row>
    <row r="89" spans="2:21">
      <c r="B89" s="64"/>
      <c r="C89" s="391"/>
      <c r="D89" s="391"/>
      <c r="E89" s="391"/>
      <c r="F89" s="64"/>
      <c r="G89" s="64"/>
      <c r="H89" s="64"/>
      <c r="I89" s="64"/>
      <c r="J89" s="64"/>
      <c r="K89" s="391"/>
      <c r="L89" s="391"/>
      <c r="M89" s="391"/>
      <c r="N89" s="391"/>
      <c r="O89" s="391"/>
      <c r="P89" s="391"/>
      <c r="Q89" s="391"/>
      <c r="R89" s="391"/>
      <c r="S89" s="12"/>
      <c r="U89" s="391"/>
    </row>
    <row r="90" spans="2:21">
      <c r="B90" s="64"/>
      <c r="C90" s="391"/>
      <c r="D90" s="391"/>
      <c r="E90" s="391"/>
      <c r="F90" s="64"/>
      <c r="G90" s="64"/>
      <c r="H90" s="64"/>
      <c r="I90" s="64"/>
      <c r="J90" s="64"/>
      <c r="K90" s="391"/>
      <c r="L90" s="391"/>
      <c r="M90" s="391"/>
      <c r="N90" s="391"/>
      <c r="O90" s="391"/>
      <c r="P90" s="391"/>
      <c r="Q90" s="391"/>
      <c r="R90" s="391"/>
      <c r="S90" s="12"/>
      <c r="U90" s="391"/>
    </row>
    <row r="91" spans="2:21">
      <c r="B91" s="64"/>
      <c r="C91" s="391"/>
      <c r="D91" s="391"/>
      <c r="E91" s="391"/>
      <c r="F91" s="64"/>
      <c r="G91" s="64"/>
      <c r="H91" s="64"/>
      <c r="I91" s="64"/>
      <c r="J91" s="64"/>
      <c r="K91" s="391"/>
      <c r="L91" s="391"/>
      <c r="M91" s="391"/>
      <c r="N91" s="391"/>
      <c r="O91" s="391"/>
      <c r="P91" s="391"/>
      <c r="Q91" s="391"/>
      <c r="R91" s="391"/>
      <c r="S91" s="12"/>
      <c r="U91" s="391"/>
    </row>
    <row r="92" spans="2:21">
      <c r="B92" s="64"/>
      <c r="C92" s="391"/>
      <c r="D92" s="391"/>
      <c r="E92" s="391"/>
      <c r="F92" s="64"/>
      <c r="G92" s="64"/>
      <c r="H92" s="64"/>
      <c r="I92" s="64"/>
      <c r="J92" s="64"/>
      <c r="K92" s="391"/>
      <c r="L92" s="391"/>
      <c r="M92" s="391"/>
      <c r="N92" s="391"/>
      <c r="O92" s="391"/>
      <c r="P92" s="391"/>
      <c r="Q92" s="391"/>
      <c r="R92" s="391"/>
      <c r="S92" s="12"/>
      <c r="U92" s="391"/>
    </row>
    <row r="93" spans="2:21">
      <c r="B93" s="64"/>
      <c r="C93" s="391"/>
      <c r="D93" s="391"/>
      <c r="E93" s="391"/>
      <c r="F93" s="64"/>
      <c r="G93" s="64"/>
      <c r="H93" s="64"/>
      <c r="I93" s="64"/>
      <c r="J93" s="64"/>
      <c r="K93" s="391"/>
      <c r="L93" s="391"/>
      <c r="M93" s="391"/>
      <c r="N93" s="391"/>
      <c r="O93" s="391"/>
      <c r="P93" s="391"/>
      <c r="Q93" s="391"/>
      <c r="R93" s="391"/>
      <c r="S93" s="12"/>
      <c r="U93" s="391"/>
    </row>
    <row r="94" spans="2:21">
      <c r="B94" s="64"/>
      <c r="C94" s="391"/>
      <c r="D94" s="391"/>
      <c r="E94" s="391"/>
      <c r="F94" s="64"/>
      <c r="G94" s="64"/>
      <c r="H94" s="64"/>
      <c r="I94" s="64"/>
      <c r="J94" s="64"/>
      <c r="K94" s="391"/>
      <c r="L94" s="391"/>
      <c r="M94" s="391"/>
      <c r="N94" s="391"/>
      <c r="O94" s="391"/>
      <c r="P94" s="391"/>
      <c r="Q94" s="391"/>
      <c r="R94" s="391"/>
      <c r="S94" s="12"/>
      <c r="U94" s="391"/>
    </row>
    <row r="95" spans="2:21">
      <c r="B95" s="64"/>
      <c r="C95" s="391"/>
      <c r="D95" s="391"/>
      <c r="E95" s="391"/>
      <c r="F95" s="64"/>
      <c r="G95" s="64"/>
      <c r="H95" s="64"/>
      <c r="I95" s="64"/>
      <c r="J95" s="64"/>
      <c r="K95" s="391"/>
      <c r="L95" s="391"/>
      <c r="M95" s="391"/>
      <c r="N95" s="391"/>
      <c r="O95" s="391"/>
      <c r="P95" s="391"/>
      <c r="Q95" s="391"/>
      <c r="R95" s="391"/>
      <c r="S95" s="12"/>
      <c r="U95" s="391"/>
    </row>
    <row r="96" spans="2:21">
      <c r="B96" s="64"/>
      <c r="C96" s="391"/>
      <c r="D96" s="391"/>
      <c r="E96" s="391"/>
      <c r="F96" s="64"/>
      <c r="G96" s="64"/>
      <c r="H96" s="64"/>
      <c r="I96" s="64"/>
      <c r="J96" s="64"/>
      <c r="K96" s="391"/>
      <c r="L96" s="391"/>
      <c r="M96" s="391"/>
      <c r="N96" s="391"/>
      <c r="O96" s="391"/>
      <c r="P96" s="391"/>
      <c r="Q96" s="391"/>
      <c r="R96" s="391"/>
      <c r="S96" s="12"/>
      <c r="U96" s="391"/>
    </row>
    <row r="97" spans="2:21">
      <c r="B97" s="64"/>
      <c r="C97" s="391"/>
      <c r="D97" s="391"/>
      <c r="E97" s="391"/>
      <c r="F97" s="64"/>
      <c r="G97" s="64"/>
      <c r="H97" s="64"/>
      <c r="I97" s="64"/>
      <c r="J97" s="64"/>
      <c r="K97" s="391"/>
      <c r="L97" s="391"/>
      <c r="M97" s="391"/>
      <c r="N97" s="391"/>
      <c r="O97" s="391"/>
      <c r="P97" s="391"/>
      <c r="Q97" s="391"/>
      <c r="R97" s="391"/>
      <c r="S97" s="12"/>
      <c r="U97" s="391"/>
    </row>
    <row r="98" spans="2:21">
      <c r="B98" s="64"/>
      <c r="C98" s="391"/>
      <c r="D98" s="391"/>
      <c r="E98" s="391"/>
      <c r="F98" s="64"/>
      <c r="G98" s="64"/>
      <c r="H98" s="64"/>
      <c r="I98" s="64"/>
      <c r="J98" s="64"/>
      <c r="K98" s="391"/>
      <c r="L98" s="391"/>
      <c r="M98" s="391"/>
      <c r="N98" s="391"/>
      <c r="O98" s="391"/>
      <c r="P98" s="391"/>
      <c r="Q98" s="391"/>
      <c r="R98" s="391"/>
      <c r="S98" s="12"/>
      <c r="U98" s="391"/>
    </row>
    <row r="99" spans="2:21">
      <c r="B99" s="64"/>
      <c r="C99" s="391"/>
      <c r="D99" s="391"/>
      <c r="E99" s="391"/>
      <c r="F99" s="64"/>
      <c r="G99" s="64"/>
      <c r="H99" s="64"/>
      <c r="I99" s="64"/>
      <c r="J99" s="64"/>
      <c r="K99" s="391"/>
      <c r="L99" s="391"/>
      <c r="M99" s="391"/>
      <c r="N99" s="391"/>
      <c r="O99" s="391"/>
      <c r="P99" s="391"/>
      <c r="Q99" s="391"/>
      <c r="R99" s="391"/>
      <c r="S99" s="12"/>
      <c r="U99" s="391"/>
    </row>
    <row r="100" spans="2:21">
      <c r="B100" s="64"/>
      <c r="C100" s="391"/>
      <c r="D100" s="391"/>
      <c r="E100" s="391"/>
      <c r="F100" s="64"/>
      <c r="G100" s="64"/>
      <c r="H100" s="64"/>
      <c r="I100" s="64"/>
      <c r="J100" s="64"/>
      <c r="K100" s="391"/>
      <c r="L100" s="391"/>
      <c r="M100" s="391"/>
      <c r="N100" s="391"/>
      <c r="O100" s="391"/>
      <c r="P100" s="391"/>
      <c r="Q100" s="391"/>
      <c r="R100" s="391"/>
      <c r="S100" s="12"/>
      <c r="U100" s="391"/>
    </row>
    <row r="101" spans="2:21">
      <c r="B101" s="64"/>
      <c r="C101" s="391"/>
      <c r="D101" s="391"/>
      <c r="E101" s="391"/>
      <c r="F101" s="64"/>
      <c r="G101" s="64"/>
      <c r="H101" s="64"/>
      <c r="I101" s="64"/>
      <c r="J101" s="64"/>
      <c r="K101" s="391"/>
      <c r="L101" s="391"/>
      <c r="M101" s="391"/>
      <c r="N101" s="391"/>
      <c r="O101" s="391"/>
      <c r="P101" s="391"/>
      <c r="Q101" s="391"/>
      <c r="R101" s="391"/>
      <c r="S101" s="12"/>
      <c r="U101" s="391"/>
    </row>
    <row r="102" spans="2:21">
      <c r="B102" s="64"/>
      <c r="C102" s="391"/>
      <c r="D102" s="391"/>
      <c r="E102" s="391"/>
      <c r="F102" s="64"/>
      <c r="G102" s="64"/>
      <c r="H102" s="64"/>
      <c r="I102" s="64"/>
      <c r="J102" s="64"/>
      <c r="K102" s="391"/>
      <c r="L102" s="391"/>
      <c r="M102" s="391"/>
      <c r="N102" s="391"/>
      <c r="O102" s="391"/>
      <c r="P102" s="391"/>
      <c r="Q102" s="391"/>
      <c r="R102" s="391"/>
      <c r="S102" s="12"/>
      <c r="U102" s="391"/>
    </row>
    <row r="103" spans="2:21">
      <c r="B103" s="64"/>
      <c r="C103" s="391"/>
      <c r="D103" s="391"/>
      <c r="E103" s="391"/>
      <c r="F103" s="64"/>
      <c r="G103" s="64"/>
      <c r="H103" s="64"/>
      <c r="I103" s="64"/>
      <c r="J103" s="64"/>
      <c r="K103" s="391"/>
      <c r="L103" s="391"/>
      <c r="M103" s="391"/>
      <c r="N103" s="391"/>
      <c r="O103" s="391"/>
      <c r="P103" s="391"/>
      <c r="Q103" s="391"/>
      <c r="R103" s="391"/>
      <c r="S103" s="12"/>
      <c r="U103" s="391"/>
    </row>
    <row r="104" spans="2:21">
      <c r="B104" s="64"/>
      <c r="C104" s="391"/>
      <c r="D104" s="391"/>
      <c r="E104" s="391"/>
      <c r="F104" s="64"/>
      <c r="G104" s="64"/>
      <c r="H104" s="64"/>
      <c r="I104" s="64"/>
      <c r="J104" s="64"/>
      <c r="K104" s="391"/>
      <c r="L104" s="391"/>
      <c r="M104" s="391"/>
      <c r="N104" s="391"/>
      <c r="O104" s="391"/>
      <c r="P104" s="391"/>
      <c r="Q104" s="391"/>
      <c r="R104" s="391"/>
      <c r="S104" s="12"/>
      <c r="U104" s="391"/>
    </row>
    <row r="105" spans="2:21">
      <c r="B105" s="64"/>
      <c r="C105" s="391"/>
      <c r="D105" s="391"/>
      <c r="E105" s="391"/>
      <c r="F105" s="64"/>
      <c r="G105" s="64"/>
      <c r="H105" s="64"/>
      <c r="I105" s="64"/>
      <c r="J105" s="64"/>
      <c r="K105" s="391"/>
      <c r="L105" s="391"/>
      <c r="M105" s="391"/>
      <c r="N105" s="391"/>
      <c r="O105" s="391"/>
      <c r="P105" s="391"/>
      <c r="Q105" s="391"/>
      <c r="R105" s="391"/>
      <c r="S105" s="12"/>
      <c r="U105" s="391"/>
    </row>
    <row r="106" spans="2:21">
      <c r="B106" s="64"/>
      <c r="C106" s="391"/>
      <c r="D106" s="391"/>
      <c r="E106" s="391"/>
      <c r="F106" s="64"/>
      <c r="G106" s="64"/>
      <c r="H106" s="64"/>
      <c r="I106" s="64"/>
      <c r="J106" s="64"/>
      <c r="K106" s="391"/>
      <c r="L106" s="391"/>
      <c r="M106" s="391"/>
      <c r="N106" s="391"/>
      <c r="O106" s="391"/>
      <c r="P106" s="391"/>
      <c r="Q106" s="391"/>
      <c r="R106" s="391"/>
      <c r="S106" s="12"/>
      <c r="U106" s="391"/>
    </row>
    <row r="107" spans="2:21">
      <c r="B107" s="64"/>
      <c r="C107" s="391"/>
      <c r="D107" s="391"/>
      <c r="E107" s="391"/>
      <c r="F107" s="64"/>
      <c r="G107" s="64"/>
      <c r="H107" s="64"/>
      <c r="I107" s="64"/>
      <c r="J107" s="64"/>
      <c r="K107" s="391"/>
      <c r="L107" s="391"/>
      <c r="M107" s="391"/>
      <c r="N107" s="391"/>
      <c r="O107" s="391"/>
      <c r="P107" s="391"/>
      <c r="Q107" s="391"/>
      <c r="R107" s="391"/>
      <c r="S107" s="12"/>
      <c r="U107" s="391"/>
    </row>
    <row r="108" spans="2:21">
      <c r="B108" s="64"/>
      <c r="C108" s="391"/>
      <c r="D108" s="391"/>
      <c r="E108" s="391"/>
      <c r="F108" s="64"/>
      <c r="G108" s="64"/>
      <c r="H108" s="64"/>
      <c r="I108" s="64"/>
      <c r="J108" s="64"/>
      <c r="K108" s="391"/>
      <c r="L108" s="391"/>
      <c r="M108" s="391"/>
      <c r="N108" s="391"/>
      <c r="O108" s="391"/>
      <c r="P108" s="391"/>
      <c r="Q108" s="391"/>
      <c r="R108" s="391"/>
      <c r="S108" s="12"/>
      <c r="U108" s="391"/>
    </row>
    <row r="109" spans="2:21">
      <c r="B109" s="64"/>
      <c r="C109" s="391"/>
      <c r="D109" s="391"/>
      <c r="E109" s="391"/>
      <c r="F109" s="64"/>
      <c r="G109" s="64"/>
      <c r="H109" s="64"/>
      <c r="I109" s="64"/>
      <c r="J109" s="64"/>
      <c r="K109" s="391"/>
      <c r="L109" s="391"/>
      <c r="M109" s="391"/>
      <c r="N109" s="391"/>
      <c r="O109" s="391"/>
      <c r="P109" s="391"/>
      <c r="Q109" s="391"/>
      <c r="R109" s="391"/>
      <c r="S109" s="12"/>
      <c r="U109" s="391"/>
    </row>
    <row r="110" spans="2:21">
      <c r="B110" s="64"/>
      <c r="C110" s="391"/>
      <c r="D110" s="391"/>
      <c r="E110" s="391"/>
      <c r="F110" s="64"/>
      <c r="G110" s="64"/>
      <c r="H110" s="64"/>
      <c r="I110" s="64"/>
      <c r="J110" s="64"/>
      <c r="K110" s="391"/>
      <c r="L110" s="391"/>
      <c r="M110" s="391"/>
      <c r="N110" s="391"/>
      <c r="O110" s="391"/>
      <c r="P110" s="391"/>
      <c r="Q110" s="391"/>
      <c r="R110" s="391"/>
      <c r="S110" s="12"/>
      <c r="U110" s="391"/>
    </row>
    <row r="111" spans="2:21">
      <c r="B111" s="64"/>
      <c r="C111" s="391"/>
      <c r="D111" s="391"/>
      <c r="E111" s="391"/>
      <c r="F111" s="64"/>
      <c r="G111" s="64"/>
      <c r="H111" s="64"/>
      <c r="I111" s="64"/>
      <c r="J111" s="64"/>
      <c r="K111" s="391"/>
      <c r="L111" s="391"/>
      <c r="M111" s="391"/>
      <c r="N111" s="391"/>
      <c r="O111" s="391"/>
      <c r="P111" s="391"/>
      <c r="Q111" s="391"/>
      <c r="R111" s="391"/>
      <c r="S111" s="12"/>
      <c r="U111" s="391"/>
    </row>
    <row r="112" spans="2:21">
      <c r="B112" s="64"/>
      <c r="C112" s="391"/>
      <c r="D112" s="391"/>
      <c r="E112" s="391"/>
      <c r="F112" s="64"/>
      <c r="G112" s="64"/>
      <c r="H112" s="64"/>
      <c r="I112" s="64"/>
      <c r="J112" s="64"/>
      <c r="K112" s="391"/>
      <c r="L112" s="391"/>
      <c r="M112" s="391"/>
      <c r="N112" s="391"/>
      <c r="O112" s="391"/>
      <c r="P112" s="391"/>
      <c r="Q112" s="391"/>
      <c r="R112" s="391"/>
      <c r="S112" s="12"/>
      <c r="U112" s="391"/>
    </row>
    <row r="113" spans="1:21">
      <c r="B113" s="64"/>
      <c r="C113" s="391"/>
      <c r="D113" s="391"/>
      <c r="E113" s="391"/>
      <c r="F113" s="64"/>
      <c r="G113" s="64"/>
      <c r="H113" s="64"/>
      <c r="I113" s="64"/>
      <c r="J113" s="64"/>
      <c r="K113" s="391"/>
      <c r="L113" s="391"/>
      <c r="M113" s="391"/>
      <c r="N113" s="391"/>
      <c r="O113" s="391"/>
      <c r="P113" s="391"/>
      <c r="Q113" s="391"/>
      <c r="R113" s="391"/>
      <c r="S113" s="12"/>
      <c r="U113" s="391"/>
    </row>
    <row r="114" spans="1:21">
      <c r="B114" s="64"/>
      <c r="C114" s="391"/>
      <c r="D114" s="391"/>
      <c r="E114" s="391"/>
      <c r="F114" s="64"/>
      <c r="G114" s="64"/>
      <c r="H114" s="64"/>
      <c r="I114" s="64"/>
      <c r="J114" s="64"/>
      <c r="K114" s="391"/>
      <c r="L114" s="391"/>
      <c r="M114" s="391"/>
      <c r="N114" s="391"/>
      <c r="O114" s="391"/>
      <c r="P114" s="391"/>
      <c r="Q114" s="391"/>
      <c r="R114" s="391"/>
      <c r="S114" s="12"/>
      <c r="U114" s="391"/>
    </row>
    <row r="115" spans="1:21">
      <c r="B115" s="64"/>
      <c r="C115" s="391"/>
      <c r="D115" s="391"/>
      <c r="E115" s="391"/>
      <c r="F115" s="64"/>
      <c r="G115" s="64"/>
      <c r="H115" s="64"/>
      <c r="I115" s="64"/>
      <c r="J115" s="64"/>
      <c r="K115" s="391"/>
      <c r="L115" s="391"/>
      <c r="M115" s="391"/>
      <c r="N115" s="391"/>
      <c r="O115" s="391"/>
      <c r="P115" s="391"/>
      <c r="Q115" s="391"/>
      <c r="R115" s="391"/>
      <c r="S115" s="12"/>
      <c r="U115" s="391"/>
    </row>
    <row r="116" spans="1:21">
      <c r="B116" s="64"/>
      <c r="C116" s="391"/>
      <c r="D116" s="391"/>
      <c r="E116" s="391"/>
      <c r="F116" s="64"/>
      <c r="G116" s="64"/>
      <c r="H116" s="64"/>
      <c r="I116" s="64"/>
      <c r="J116" s="64"/>
      <c r="K116" s="391"/>
      <c r="L116" s="391"/>
      <c r="M116" s="391"/>
      <c r="N116" s="391"/>
      <c r="O116" s="391"/>
      <c r="P116" s="391"/>
      <c r="Q116" s="391"/>
      <c r="R116" s="391"/>
      <c r="S116" s="12"/>
      <c r="U116" s="391"/>
    </row>
    <row r="117" spans="1:21">
      <c r="B117" s="64"/>
      <c r="C117" s="391"/>
      <c r="D117" s="391"/>
      <c r="E117" s="391"/>
      <c r="F117" s="64"/>
      <c r="G117" s="64"/>
      <c r="H117" s="64"/>
      <c r="I117" s="64"/>
      <c r="J117" s="64"/>
      <c r="K117" s="391"/>
      <c r="L117" s="391"/>
      <c r="M117" s="391"/>
      <c r="N117" s="391"/>
      <c r="O117" s="391"/>
      <c r="P117" s="391"/>
      <c r="Q117" s="391"/>
      <c r="R117" s="391"/>
      <c r="S117" s="12"/>
      <c r="U117" s="391"/>
    </row>
    <row r="118" spans="1:21">
      <c r="B118" s="64"/>
      <c r="C118" s="391"/>
      <c r="D118" s="391"/>
      <c r="E118" s="391"/>
      <c r="F118" s="64"/>
      <c r="G118" s="64"/>
      <c r="H118" s="64"/>
      <c r="I118" s="64"/>
      <c r="J118" s="64"/>
      <c r="K118" s="391"/>
      <c r="L118" s="391"/>
      <c r="M118" s="391"/>
      <c r="N118" s="391"/>
      <c r="O118" s="391"/>
      <c r="P118" s="391"/>
      <c r="Q118" s="391"/>
      <c r="R118" s="391"/>
      <c r="S118" s="12"/>
      <c r="U118" s="391"/>
    </row>
    <row r="119" spans="1:21">
      <c r="B119" s="64"/>
      <c r="C119" s="391"/>
      <c r="D119" s="391"/>
      <c r="E119" s="391"/>
      <c r="F119" s="64"/>
      <c r="G119" s="64"/>
      <c r="H119" s="64"/>
      <c r="I119" s="64"/>
      <c r="J119" s="64"/>
      <c r="K119" s="391"/>
      <c r="L119" s="391"/>
      <c r="M119" s="391"/>
      <c r="N119" s="391"/>
      <c r="O119" s="391"/>
      <c r="P119" s="391"/>
      <c r="Q119" s="391"/>
      <c r="R119" s="391"/>
      <c r="S119" s="12"/>
      <c r="U119" s="391"/>
    </row>
    <row r="120" spans="1:21">
      <c r="B120" s="64"/>
      <c r="C120" s="391"/>
      <c r="D120" s="391"/>
      <c r="E120" s="391"/>
      <c r="F120" s="64"/>
      <c r="G120" s="64"/>
      <c r="H120" s="64"/>
      <c r="I120" s="64"/>
      <c r="J120" s="64"/>
      <c r="K120" s="391"/>
      <c r="L120" s="391"/>
      <c r="M120" s="391"/>
      <c r="N120" s="391"/>
      <c r="O120" s="391"/>
      <c r="P120" s="391"/>
      <c r="Q120" s="391"/>
      <c r="R120" s="391"/>
      <c r="S120" s="12"/>
      <c r="U120" s="391"/>
    </row>
    <row r="121" spans="1:21">
      <c r="B121" s="64"/>
      <c r="C121" s="391"/>
      <c r="D121" s="391"/>
      <c r="E121" s="391"/>
      <c r="F121" s="64"/>
      <c r="G121" s="64"/>
      <c r="H121" s="64"/>
      <c r="I121" s="64"/>
      <c r="J121" s="64"/>
      <c r="K121" s="391"/>
      <c r="L121" s="391"/>
      <c r="M121" s="391"/>
      <c r="N121" s="391"/>
      <c r="O121" s="391"/>
      <c r="P121" s="391"/>
      <c r="Q121" s="391"/>
      <c r="R121" s="391"/>
      <c r="S121" s="12"/>
      <c r="U121" s="391"/>
    </row>
    <row r="122" spans="1:21">
      <c r="B122" s="64"/>
      <c r="C122" s="391"/>
      <c r="D122" s="391"/>
      <c r="E122" s="391"/>
      <c r="F122" s="64"/>
      <c r="G122" s="64"/>
      <c r="H122" s="64"/>
      <c r="I122" s="64"/>
      <c r="J122" s="64"/>
      <c r="K122" s="391"/>
      <c r="L122" s="391"/>
      <c r="M122" s="391"/>
      <c r="N122" s="391"/>
      <c r="O122" s="391"/>
      <c r="P122" s="391"/>
      <c r="Q122" s="391"/>
      <c r="R122" s="391"/>
      <c r="S122" s="12"/>
      <c r="U122" s="391"/>
    </row>
    <row r="123" spans="1:21">
      <c r="B123" s="64"/>
      <c r="C123" s="391"/>
      <c r="D123" s="391"/>
      <c r="E123" s="391"/>
      <c r="F123" s="64"/>
      <c r="G123" s="64"/>
      <c r="H123" s="64"/>
      <c r="I123" s="64"/>
      <c r="J123" s="64"/>
      <c r="K123" s="391"/>
      <c r="L123" s="391"/>
      <c r="M123" s="391"/>
      <c r="N123" s="391"/>
      <c r="O123" s="391"/>
      <c r="P123" s="391"/>
      <c r="Q123" s="391"/>
      <c r="R123" s="391"/>
      <c r="S123" s="12"/>
      <c r="U123" s="391"/>
    </row>
    <row r="124" spans="1:21">
      <c r="A124" s="391"/>
      <c r="B124" s="64"/>
      <c r="C124" s="391"/>
      <c r="D124" s="391"/>
      <c r="E124" s="391"/>
      <c r="F124" s="64"/>
      <c r="G124" s="64"/>
      <c r="H124" s="64"/>
      <c r="I124" s="64"/>
      <c r="J124" s="64"/>
      <c r="K124" s="391"/>
      <c r="L124" s="391"/>
      <c r="M124" s="391"/>
      <c r="N124" s="391"/>
      <c r="O124" s="391"/>
      <c r="P124" s="391"/>
      <c r="Q124" s="391"/>
      <c r="R124" s="391"/>
      <c r="S124" s="12"/>
      <c r="U124" s="391"/>
    </row>
    <row r="125" spans="1:21">
      <c r="A125" s="391"/>
      <c r="B125" s="64"/>
      <c r="C125" s="391"/>
      <c r="D125" s="391"/>
      <c r="E125" s="391"/>
      <c r="F125" s="64"/>
      <c r="G125" s="64"/>
      <c r="H125" s="64"/>
      <c r="I125" s="64"/>
      <c r="J125" s="64"/>
      <c r="K125" s="391"/>
      <c r="L125" s="391"/>
      <c r="M125" s="391"/>
      <c r="N125" s="391"/>
      <c r="O125" s="391"/>
      <c r="P125" s="391"/>
      <c r="Q125" s="391"/>
      <c r="R125" s="391"/>
      <c r="S125" s="12"/>
      <c r="U125" s="391"/>
    </row>
    <row r="126" spans="1:21">
      <c r="A126" s="391"/>
      <c r="B126" s="64"/>
      <c r="C126" s="391"/>
      <c r="D126" s="391"/>
      <c r="E126" s="391"/>
      <c r="F126" s="64"/>
      <c r="G126" s="64"/>
      <c r="H126" s="64"/>
      <c r="I126" s="64"/>
      <c r="J126" s="64"/>
      <c r="K126" s="391"/>
      <c r="L126" s="391"/>
      <c r="M126" s="391"/>
      <c r="N126" s="391"/>
      <c r="O126" s="391"/>
      <c r="P126" s="391"/>
      <c r="Q126" s="391"/>
      <c r="R126" s="391"/>
      <c r="S126" s="12"/>
      <c r="U126" s="391"/>
    </row>
    <row r="127" spans="1:21">
      <c r="A127" s="391"/>
      <c r="B127" s="64"/>
      <c r="C127" s="391"/>
      <c r="D127" s="391"/>
      <c r="E127" s="391"/>
      <c r="F127" s="64"/>
      <c r="G127" s="64"/>
      <c r="H127" s="64"/>
      <c r="I127" s="64"/>
      <c r="J127" s="64"/>
      <c r="K127" s="391"/>
      <c r="L127" s="391"/>
      <c r="M127" s="391"/>
      <c r="N127" s="391"/>
      <c r="O127" s="391"/>
      <c r="P127" s="391"/>
      <c r="Q127" s="391"/>
      <c r="R127" s="391"/>
      <c r="S127" s="12"/>
      <c r="U127" s="391"/>
    </row>
    <row r="128" spans="1:21">
      <c r="A128" s="391"/>
      <c r="B128" s="64"/>
      <c r="C128" s="391"/>
      <c r="D128" s="391"/>
      <c r="E128" s="391"/>
      <c r="F128" s="64"/>
      <c r="G128" s="64"/>
      <c r="H128" s="64"/>
      <c r="I128" s="64"/>
      <c r="J128" s="64"/>
      <c r="K128" s="391"/>
      <c r="L128" s="391"/>
      <c r="M128" s="391"/>
      <c r="N128" s="391"/>
      <c r="O128" s="391"/>
      <c r="P128" s="391"/>
      <c r="Q128" s="391"/>
      <c r="R128" s="391"/>
      <c r="S128" s="12"/>
      <c r="U128" s="391"/>
    </row>
    <row r="129" spans="1:21">
      <c r="A129" s="391"/>
      <c r="B129" s="64"/>
      <c r="C129" s="391"/>
      <c r="D129" s="391"/>
      <c r="E129" s="391"/>
      <c r="F129" s="64"/>
      <c r="G129" s="64"/>
      <c r="H129" s="64"/>
      <c r="I129" s="64"/>
      <c r="J129" s="64"/>
      <c r="K129" s="391"/>
      <c r="L129" s="391"/>
      <c r="M129" s="391"/>
      <c r="N129" s="391"/>
      <c r="O129" s="391"/>
      <c r="P129" s="391"/>
      <c r="Q129" s="391"/>
      <c r="R129" s="391"/>
      <c r="S129" s="12"/>
      <c r="U129" s="391"/>
    </row>
    <row r="130" spans="1:21">
      <c r="A130" s="391"/>
      <c r="B130" s="64"/>
      <c r="C130" s="391"/>
      <c r="D130" s="391"/>
      <c r="E130" s="391"/>
      <c r="F130" s="64"/>
      <c r="G130" s="64"/>
      <c r="H130" s="64"/>
      <c r="I130" s="64"/>
      <c r="J130" s="64"/>
      <c r="K130" s="391"/>
      <c r="L130" s="391"/>
      <c r="M130" s="391"/>
      <c r="N130" s="391"/>
      <c r="O130" s="391"/>
      <c r="P130" s="391"/>
      <c r="Q130" s="391"/>
      <c r="R130" s="391"/>
      <c r="S130" s="12"/>
      <c r="U130" s="391"/>
    </row>
    <row r="131" spans="1:21">
      <c r="A131" s="391"/>
      <c r="B131" s="64"/>
      <c r="C131" s="391"/>
      <c r="D131" s="391"/>
      <c r="E131" s="391"/>
      <c r="F131" s="64"/>
      <c r="G131" s="64"/>
      <c r="H131" s="64"/>
      <c r="I131" s="64"/>
      <c r="J131" s="64"/>
      <c r="K131" s="391"/>
      <c r="L131" s="391"/>
      <c r="M131" s="391"/>
      <c r="N131" s="391"/>
      <c r="O131" s="391"/>
      <c r="P131" s="391"/>
      <c r="Q131" s="391"/>
      <c r="R131" s="391"/>
      <c r="S131" s="12"/>
      <c r="U131" s="391"/>
    </row>
    <row r="132" spans="1:21">
      <c r="A132" s="391"/>
      <c r="B132" s="64"/>
      <c r="C132" s="391"/>
      <c r="D132" s="391"/>
      <c r="E132" s="391"/>
      <c r="F132" s="64"/>
      <c r="G132" s="64"/>
      <c r="H132" s="64"/>
      <c r="I132" s="64"/>
      <c r="J132" s="64"/>
      <c r="K132" s="391"/>
      <c r="L132" s="391"/>
      <c r="M132" s="391"/>
      <c r="N132" s="391"/>
      <c r="O132" s="391"/>
      <c r="P132" s="391"/>
      <c r="Q132" s="391"/>
      <c r="R132" s="391"/>
      <c r="S132" s="12"/>
      <c r="U132" s="391"/>
    </row>
    <row r="133" spans="1:21">
      <c r="A133" s="391"/>
      <c r="B133" s="64"/>
      <c r="C133" s="391"/>
      <c r="D133" s="391"/>
      <c r="E133" s="391"/>
      <c r="F133" s="64"/>
      <c r="G133" s="64"/>
      <c r="H133" s="64"/>
      <c r="I133" s="64"/>
      <c r="J133" s="64"/>
      <c r="K133" s="391"/>
      <c r="L133" s="391"/>
      <c r="M133" s="391"/>
      <c r="N133" s="391"/>
      <c r="O133" s="391"/>
      <c r="P133" s="391"/>
      <c r="Q133" s="391"/>
      <c r="R133" s="391"/>
      <c r="S133" s="12"/>
      <c r="U133" s="391"/>
    </row>
    <row r="134" spans="1:21">
      <c r="A134" s="391"/>
      <c r="B134" s="64"/>
      <c r="C134" s="391"/>
      <c r="D134" s="391"/>
      <c r="E134" s="391"/>
      <c r="F134" s="64"/>
      <c r="G134" s="64"/>
      <c r="H134" s="64"/>
      <c r="I134" s="64"/>
      <c r="J134" s="64"/>
      <c r="K134" s="391"/>
      <c r="L134" s="391"/>
      <c r="M134" s="391"/>
      <c r="N134" s="391"/>
      <c r="O134" s="391"/>
      <c r="P134" s="391"/>
      <c r="Q134" s="391"/>
      <c r="R134" s="391"/>
      <c r="S134" s="12"/>
      <c r="U134" s="391"/>
    </row>
    <row r="135" spans="1:21">
      <c r="A135" s="391"/>
      <c r="B135" s="64"/>
      <c r="C135" s="391"/>
      <c r="D135" s="391"/>
      <c r="E135" s="391"/>
      <c r="F135" s="64"/>
      <c r="G135" s="64"/>
      <c r="H135" s="64"/>
      <c r="I135" s="64"/>
      <c r="J135" s="64"/>
      <c r="K135" s="391"/>
      <c r="L135" s="391"/>
      <c r="M135" s="391"/>
      <c r="N135" s="391"/>
      <c r="O135" s="391"/>
      <c r="P135" s="391"/>
      <c r="Q135" s="391"/>
      <c r="R135" s="391"/>
      <c r="S135" s="12"/>
      <c r="U135" s="391"/>
    </row>
    <row r="136" spans="1:21">
      <c r="A136" s="391"/>
      <c r="B136" s="64"/>
      <c r="C136" s="391"/>
      <c r="D136" s="391"/>
      <c r="E136" s="391"/>
      <c r="F136" s="64"/>
      <c r="G136" s="64"/>
      <c r="H136" s="64"/>
      <c r="I136" s="64"/>
      <c r="J136" s="64"/>
      <c r="K136" s="391"/>
      <c r="L136" s="391"/>
      <c r="M136" s="391"/>
      <c r="N136" s="391"/>
      <c r="O136" s="391"/>
      <c r="P136" s="391"/>
      <c r="Q136" s="391"/>
      <c r="R136" s="391"/>
      <c r="S136" s="12"/>
      <c r="U136" s="391"/>
    </row>
    <row r="137" spans="1:21">
      <c r="A137" s="391"/>
      <c r="B137" s="64"/>
      <c r="C137" s="391"/>
      <c r="D137" s="391"/>
      <c r="E137" s="391"/>
      <c r="F137" s="64"/>
      <c r="G137" s="64"/>
      <c r="H137" s="64"/>
      <c r="I137" s="64"/>
      <c r="J137" s="64"/>
      <c r="K137" s="391"/>
      <c r="L137" s="391"/>
      <c r="M137" s="391"/>
      <c r="N137" s="391"/>
      <c r="O137" s="391"/>
      <c r="P137" s="391"/>
      <c r="Q137" s="391"/>
      <c r="R137" s="391"/>
      <c r="S137" s="12"/>
      <c r="U137" s="391"/>
    </row>
    <row r="138" spans="1:21">
      <c r="A138" s="391"/>
      <c r="B138" s="64"/>
      <c r="C138" s="391"/>
      <c r="D138" s="391"/>
      <c r="E138" s="391"/>
      <c r="F138" s="64"/>
      <c r="G138" s="64"/>
      <c r="H138" s="64"/>
      <c r="I138" s="64"/>
      <c r="J138" s="64"/>
      <c r="K138" s="391"/>
      <c r="L138" s="391"/>
      <c r="M138" s="391"/>
      <c r="N138" s="391"/>
      <c r="O138" s="391"/>
      <c r="P138" s="391"/>
      <c r="Q138" s="391"/>
      <c r="R138" s="391"/>
      <c r="S138" s="12"/>
      <c r="U138" s="391"/>
    </row>
    <row r="139" spans="1:21">
      <c r="A139" s="391"/>
      <c r="B139" s="64"/>
      <c r="C139" s="391"/>
      <c r="D139" s="391"/>
      <c r="E139" s="391"/>
      <c r="F139" s="64"/>
      <c r="G139" s="64"/>
      <c r="H139" s="64"/>
      <c r="I139" s="64"/>
      <c r="J139" s="64"/>
      <c r="K139" s="391"/>
      <c r="L139" s="391"/>
      <c r="M139" s="391"/>
      <c r="N139" s="391"/>
      <c r="O139" s="391"/>
      <c r="P139" s="391"/>
      <c r="Q139" s="391"/>
      <c r="R139" s="391"/>
      <c r="S139" s="12"/>
      <c r="U139" s="391"/>
    </row>
    <row r="140" spans="1:21">
      <c r="A140" s="391"/>
      <c r="B140" s="64"/>
      <c r="C140" s="391"/>
      <c r="D140" s="391"/>
      <c r="E140" s="391"/>
      <c r="F140" s="64"/>
      <c r="G140" s="64"/>
      <c r="H140" s="64"/>
      <c r="I140" s="64"/>
      <c r="J140" s="64"/>
      <c r="K140" s="391"/>
      <c r="L140" s="391"/>
      <c r="M140" s="391"/>
      <c r="N140" s="391"/>
      <c r="O140" s="391"/>
      <c r="P140" s="391"/>
      <c r="Q140" s="391"/>
      <c r="R140" s="391"/>
      <c r="S140" s="12"/>
      <c r="U140" s="391"/>
    </row>
    <row r="141" spans="1:21">
      <c r="A141" s="391"/>
      <c r="B141" s="64"/>
      <c r="C141" s="391"/>
      <c r="D141" s="391"/>
      <c r="E141" s="391"/>
      <c r="F141" s="64"/>
      <c r="G141" s="64"/>
      <c r="H141" s="64"/>
      <c r="I141" s="64"/>
      <c r="J141" s="64"/>
      <c r="K141" s="391"/>
      <c r="L141" s="391"/>
      <c r="M141" s="391"/>
      <c r="N141" s="391"/>
      <c r="O141" s="391"/>
      <c r="P141" s="391"/>
      <c r="Q141" s="391"/>
      <c r="R141" s="391"/>
      <c r="S141" s="12"/>
      <c r="U141" s="391"/>
    </row>
    <row r="142" spans="1:21">
      <c r="A142" s="391"/>
      <c r="B142" s="64"/>
      <c r="C142" s="391"/>
      <c r="D142" s="391"/>
      <c r="E142" s="391"/>
      <c r="F142" s="64"/>
      <c r="G142" s="64"/>
      <c r="H142" s="64"/>
      <c r="I142" s="64"/>
      <c r="J142" s="64"/>
      <c r="K142" s="391"/>
      <c r="L142" s="391"/>
      <c r="M142" s="391"/>
      <c r="N142" s="391"/>
      <c r="O142" s="391"/>
      <c r="P142" s="391"/>
      <c r="Q142" s="391"/>
      <c r="R142" s="391"/>
      <c r="S142" s="12"/>
      <c r="U142" s="391"/>
    </row>
    <row r="143" spans="1:21">
      <c r="A143" s="391"/>
      <c r="B143" s="64"/>
      <c r="C143" s="391"/>
      <c r="D143" s="391"/>
      <c r="E143" s="391"/>
      <c r="F143" s="64"/>
      <c r="G143" s="64"/>
      <c r="H143" s="64"/>
      <c r="I143" s="64"/>
      <c r="J143" s="64"/>
      <c r="K143" s="391"/>
      <c r="L143" s="391"/>
      <c r="M143" s="391"/>
      <c r="N143" s="391"/>
      <c r="O143" s="391"/>
      <c r="P143" s="391"/>
      <c r="Q143" s="391"/>
      <c r="R143" s="391"/>
      <c r="S143" s="12"/>
      <c r="U143" s="391"/>
    </row>
    <row r="144" spans="1:21">
      <c r="A144" s="391"/>
      <c r="B144" s="64"/>
      <c r="C144" s="391"/>
      <c r="D144" s="391"/>
      <c r="E144" s="391"/>
      <c r="F144" s="64"/>
      <c r="G144" s="64"/>
      <c r="H144" s="64"/>
      <c r="I144" s="64"/>
      <c r="J144" s="64"/>
      <c r="K144" s="391"/>
      <c r="L144" s="391"/>
      <c r="M144" s="391"/>
      <c r="N144" s="391"/>
      <c r="O144" s="391"/>
      <c r="P144" s="391"/>
      <c r="Q144" s="391"/>
      <c r="R144" s="391"/>
      <c r="S144" s="12"/>
      <c r="U144" s="391"/>
    </row>
    <row r="145" spans="1:21">
      <c r="A145" s="391"/>
      <c r="B145" s="64"/>
      <c r="C145" s="391"/>
      <c r="D145" s="391"/>
      <c r="E145" s="391"/>
      <c r="F145" s="64"/>
      <c r="G145" s="64"/>
      <c r="H145" s="64"/>
      <c r="I145" s="64"/>
      <c r="J145" s="64"/>
      <c r="K145" s="391"/>
      <c r="L145" s="391"/>
      <c r="M145" s="391"/>
      <c r="N145" s="391"/>
      <c r="O145" s="391"/>
      <c r="P145" s="391"/>
      <c r="Q145" s="391"/>
      <c r="R145" s="391"/>
      <c r="S145" s="12"/>
      <c r="U145" s="391"/>
    </row>
    <row r="146" spans="1:21">
      <c r="A146" s="391"/>
      <c r="B146" s="64"/>
      <c r="C146" s="391"/>
      <c r="D146" s="391"/>
      <c r="E146" s="391"/>
      <c r="F146" s="64"/>
      <c r="G146" s="64"/>
      <c r="H146" s="64"/>
      <c r="I146" s="64"/>
      <c r="J146" s="64"/>
      <c r="K146" s="391"/>
      <c r="L146" s="391"/>
      <c r="M146" s="391"/>
      <c r="N146" s="391"/>
      <c r="O146" s="391"/>
      <c r="P146" s="391"/>
      <c r="Q146" s="391"/>
      <c r="R146" s="391"/>
      <c r="S146" s="12"/>
      <c r="U146" s="391"/>
    </row>
    <row r="147" spans="1:21">
      <c r="A147" s="391"/>
      <c r="B147" s="64"/>
      <c r="C147" s="391"/>
      <c r="D147" s="391"/>
      <c r="E147" s="391"/>
      <c r="F147" s="64"/>
      <c r="G147" s="64"/>
      <c r="H147" s="64"/>
      <c r="I147" s="64"/>
      <c r="J147" s="64"/>
      <c r="K147" s="391"/>
      <c r="L147" s="391"/>
      <c r="M147" s="391"/>
      <c r="N147" s="391"/>
      <c r="O147" s="391"/>
      <c r="P147" s="391"/>
      <c r="Q147" s="391"/>
      <c r="R147" s="391"/>
      <c r="S147" s="12"/>
      <c r="U147" s="391"/>
    </row>
    <row r="148" spans="1:21">
      <c r="A148" s="391"/>
      <c r="B148" s="64"/>
      <c r="C148" s="391"/>
      <c r="D148" s="391"/>
      <c r="E148" s="391"/>
      <c r="F148" s="64"/>
      <c r="G148" s="64"/>
      <c r="H148" s="64"/>
      <c r="I148" s="64"/>
      <c r="J148" s="64"/>
      <c r="K148" s="391"/>
      <c r="L148" s="391"/>
      <c r="M148" s="391"/>
      <c r="N148" s="391"/>
      <c r="O148" s="391"/>
      <c r="P148" s="391"/>
      <c r="Q148" s="391"/>
      <c r="R148" s="391"/>
      <c r="S148" s="12"/>
      <c r="U148" s="391"/>
    </row>
    <row r="149" spans="1:21">
      <c r="A149" s="391"/>
      <c r="B149" s="64"/>
      <c r="C149" s="391"/>
      <c r="D149" s="391"/>
      <c r="E149" s="391"/>
      <c r="F149" s="64"/>
      <c r="G149" s="64"/>
      <c r="H149" s="64"/>
      <c r="I149" s="64"/>
      <c r="J149" s="64"/>
      <c r="K149" s="391"/>
      <c r="L149" s="391"/>
      <c r="M149" s="391"/>
      <c r="N149" s="391"/>
      <c r="O149" s="391"/>
      <c r="P149" s="391"/>
      <c r="Q149" s="391"/>
      <c r="R149" s="391"/>
      <c r="S149" s="12"/>
      <c r="U149" s="391"/>
    </row>
    <row r="150" spans="1:21">
      <c r="A150" s="391"/>
      <c r="B150" s="64"/>
      <c r="C150" s="391"/>
      <c r="D150" s="391"/>
      <c r="E150" s="391"/>
      <c r="F150" s="64"/>
      <c r="G150" s="64"/>
      <c r="H150" s="64"/>
      <c r="I150" s="64"/>
      <c r="J150" s="64"/>
      <c r="K150" s="391"/>
      <c r="L150" s="391"/>
      <c r="M150" s="391"/>
      <c r="N150" s="391"/>
      <c r="O150" s="391"/>
      <c r="P150" s="391"/>
      <c r="Q150" s="391"/>
      <c r="R150" s="391"/>
      <c r="S150" s="12"/>
      <c r="U150" s="391"/>
    </row>
    <row r="151" spans="1:21">
      <c r="A151" s="391"/>
      <c r="B151" s="64"/>
      <c r="C151" s="391"/>
      <c r="D151" s="391"/>
      <c r="E151" s="391"/>
      <c r="F151" s="64"/>
      <c r="G151" s="64"/>
      <c r="H151" s="64"/>
      <c r="I151" s="64"/>
      <c r="J151" s="64"/>
      <c r="K151" s="391"/>
      <c r="L151" s="391"/>
      <c r="M151" s="391"/>
      <c r="N151" s="391"/>
      <c r="O151" s="391"/>
      <c r="P151" s="391"/>
      <c r="Q151" s="391"/>
      <c r="R151" s="391"/>
      <c r="S151" s="12"/>
      <c r="U151" s="391"/>
    </row>
    <row r="152" spans="1:21">
      <c r="A152" s="391"/>
      <c r="B152" s="64"/>
      <c r="C152" s="391"/>
      <c r="D152" s="391"/>
      <c r="E152" s="391"/>
      <c r="F152" s="64"/>
      <c r="G152" s="64"/>
      <c r="H152" s="64"/>
      <c r="I152" s="64"/>
      <c r="J152" s="64"/>
      <c r="K152" s="391"/>
      <c r="L152" s="391"/>
      <c r="M152" s="391"/>
      <c r="N152" s="391"/>
      <c r="O152" s="391"/>
      <c r="P152" s="391"/>
      <c r="Q152" s="391"/>
      <c r="R152" s="391"/>
      <c r="S152" s="12"/>
      <c r="U152" s="391"/>
    </row>
    <row r="153" spans="1:21">
      <c r="A153" s="391"/>
      <c r="B153" s="64"/>
      <c r="C153" s="391"/>
      <c r="D153" s="391"/>
      <c r="E153" s="391"/>
      <c r="F153" s="64"/>
      <c r="G153" s="64"/>
      <c r="H153" s="64"/>
      <c r="I153" s="64"/>
      <c r="J153" s="64"/>
      <c r="K153" s="391"/>
      <c r="L153" s="391"/>
      <c r="M153" s="391"/>
      <c r="N153" s="391"/>
      <c r="O153" s="391"/>
      <c r="P153" s="391"/>
      <c r="Q153" s="391"/>
      <c r="R153" s="391"/>
      <c r="S153" s="12"/>
      <c r="U153" s="391"/>
    </row>
    <row r="154" spans="1:21">
      <c r="A154" s="391"/>
      <c r="B154" s="64"/>
      <c r="C154" s="391"/>
      <c r="D154" s="391"/>
      <c r="E154" s="391"/>
      <c r="F154" s="64"/>
      <c r="G154" s="64"/>
      <c r="H154" s="64"/>
      <c r="I154" s="64"/>
      <c r="J154" s="64"/>
      <c r="K154" s="391"/>
      <c r="L154" s="391"/>
      <c r="M154" s="391"/>
      <c r="N154" s="391"/>
      <c r="O154" s="391"/>
      <c r="P154" s="391"/>
      <c r="Q154" s="391"/>
      <c r="R154" s="391"/>
      <c r="S154" s="12"/>
      <c r="U154" s="391"/>
    </row>
    <row r="155" spans="1:21">
      <c r="A155" s="391"/>
      <c r="B155" s="64"/>
      <c r="C155" s="391"/>
      <c r="D155" s="391"/>
      <c r="E155" s="391"/>
      <c r="F155" s="64"/>
      <c r="G155" s="64"/>
      <c r="H155" s="64"/>
      <c r="I155" s="64"/>
      <c r="J155" s="64"/>
      <c r="K155" s="391"/>
      <c r="L155" s="391"/>
      <c r="M155" s="391"/>
      <c r="N155" s="391"/>
      <c r="O155" s="391"/>
      <c r="P155" s="391"/>
      <c r="Q155" s="391"/>
      <c r="R155" s="391"/>
      <c r="S155" s="12"/>
      <c r="U155" s="391"/>
    </row>
    <row r="156" spans="1:21">
      <c r="A156" s="391"/>
      <c r="B156" s="64"/>
      <c r="C156" s="391"/>
      <c r="D156" s="391"/>
      <c r="E156" s="391"/>
      <c r="F156" s="64"/>
      <c r="G156" s="64"/>
      <c r="H156" s="64"/>
      <c r="I156" s="64"/>
      <c r="J156" s="64"/>
      <c r="K156" s="391"/>
      <c r="L156" s="391"/>
      <c r="M156" s="391"/>
      <c r="N156" s="391"/>
      <c r="O156" s="391"/>
      <c r="P156" s="391"/>
      <c r="Q156" s="391"/>
      <c r="R156" s="391"/>
      <c r="S156" s="12"/>
      <c r="U156" s="391"/>
    </row>
    <row r="157" spans="1:21">
      <c r="A157" s="391"/>
      <c r="B157" s="64"/>
      <c r="C157" s="391"/>
      <c r="D157" s="391"/>
      <c r="E157" s="391"/>
      <c r="F157" s="64"/>
      <c r="G157" s="64"/>
      <c r="H157" s="64"/>
      <c r="I157" s="64"/>
      <c r="J157" s="64"/>
      <c r="K157" s="391"/>
      <c r="L157" s="391"/>
      <c r="M157" s="391"/>
      <c r="N157" s="391"/>
      <c r="O157" s="391"/>
      <c r="P157" s="391"/>
      <c r="Q157" s="391"/>
      <c r="R157" s="391"/>
      <c r="S157" s="12"/>
      <c r="U157" s="391"/>
    </row>
    <row r="158" spans="1:21">
      <c r="A158" s="391"/>
      <c r="B158" s="64"/>
      <c r="C158" s="391"/>
      <c r="D158" s="391"/>
      <c r="E158" s="391"/>
      <c r="F158" s="64"/>
      <c r="G158" s="64"/>
      <c r="H158" s="64"/>
      <c r="I158" s="64"/>
      <c r="J158" s="64"/>
      <c r="K158" s="391"/>
      <c r="L158" s="391"/>
      <c r="M158" s="391"/>
      <c r="N158" s="391"/>
      <c r="O158" s="391"/>
      <c r="P158" s="391"/>
      <c r="Q158" s="391"/>
      <c r="R158" s="391"/>
      <c r="S158" s="12"/>
      <c r="U158" s="391"/>
    </row>
    <row r="159" spans="1:21">
      <c r="A159" s="391"/>
      <c r="B159" s="64"/>
      <c r="C159" s="391"/>
      <c r="D159" s="391"/>
      <c r="E159" s="391"/>
      <c r="F159" s="64"/>
      <c r="G159" s="64"/>
      <c r="H159" s="64"/>
      <c r="I159" s="64"/>
      <c r="J159" s="64"/>
      <c r="K159" s="391"/>
      <c r="L159" s="391"/>
      <c r="M159" s="391"/>
      <c r="N159" s="391"/>
      <c r="O159" s="391"/>
      <c r="P159" s="391"/>
      <c r="Q159" s="391"/>
      <c r="R159" s="391"/>
      <c r="S159" s="12"/>
      <c r="U159" s="391"/>
    </row>
    <row r="160" spans="1:21">
      <c r="A160" s="391"/>
      <c r="B160" s="64"/>
      <c r="C160" s="391"/>
      <c r="D160" s="391"/>
      <c r="E160" s="391"/>
      <c r="F160" s="64"/>
      <c r="G160" s="64"/>
      <c r="H160" s="64"/>
      <c r="I160" s="64"/>
      <c r="J160" s="64"/>
      <c r="K160" s="391"/>
      <c r="L160" s="391"/>
      <c r="M160" s="391"/>
      <c r="N160" s="391"/>
      <c r="O160" s="391"/>
      <c r="P160" s="391"/>
      <c r="Q160" s="391"/>
      <c r="R160" s="391"/>
      <c r="S160" s="12"/>
      <c r="U160" s="391"/>
    </row>
    <row r="161" spans="1:21">
      <c r="A161" s="391"/>
      <c r="B161" s="64"/>
      <c r="C161" s="391"/>
      <c r="D161" s="391"/>
      <c r="E161" s="391"/>
      <c r="F161" s="64"/>
      <c r="G161" s="64"/>
      <c r="H161" s="64"/>
      <c r="I161" s="64"/>
      <c r="J161" s="64"/>
      <c r="K161" s="391"/>
      <c r="L161" s="391"/>
      <c r="M161" s="391"/>
      <c r="N161" s="391"/>
      <c r="O161" s="391"/>
      <c r="P161" s="391"/>
      <c r="Q161" s="391"/>
      <c r="R161" s="391"/>
      <c r="S161" s="12"/>
      <c r="U161" s="391"/>
    </row>
    <row r="162" spans="1:21">
      <c r="A162" s="391"/>
      <c r="B162" s="64"/>
      <c r="C162" s="391"/>
      <c r="D162" s="391"/>
      <c r="E162" s="391"/>
      <c r="F162" s="64"/>
      <c r="G162" s="64"/>
      <c r="H162" s="64"/>
      <c r="I162" s="64"/>
      <c r="J162" s="64"/>
      <c r="K162" s="391"/>
      <c r="L162" s="391"/>
      <c r="M162" s="391"/>
      <c r="N162" s="391"/>
      <c r="O162" s="391"/>
      <c r="P162" s="391"/>
      <c r="Q162" s="391"/>
      <c r="R162" s="391"/>
      <c r="S162" s="12"/>
      <c r="U162" s="391"/>
    </row>
    <row r="163" spans="1:21">
      <c r="A163" s="391"/>
      <c r="B163" s="64"/>
      <c r="C163" s="391"/>
      <c r="D163" s="391"/>
      <c r="E163" s="391"/>
      <c r="F163" s="64"/>
      <c r="G163" s="64"/>
      <c r="H163" s="64"/>
      <c r="I163" s="64"/>
      <c r="J163" s="64"/>
      <c r="K163" s="391"/>
      <c r="L163" s="391"/>
      <c r="M163" s="391"/>
      <c r="N163" s="391"/>
      <c r="O163" s="391"/>
      <c r="P163" s="391"/>
      <c r="Q163" s="391"/>
      <c r="R163" s="391"/>
      <c r="S163" s="12"/>
      <c r="U163" s="391"/>
    </row>
    <row r="164" spans="1:21">
      <c r="A164" s="391"/>
      <c r="B164" s="64"/>
      <c r="C164" s="391"/>
      <c r="D164" s="391"/>
      <c r="E164" s="391"/>
      <c r="F164" s="64"/>
      <c r="G164" s="64"/>
      <c r="H164" s="64"/>
      <c r="I164" s="64"/>
      <c r="J164" s="64"/>
      <c r="K164" s="391"/>
      <c r="L164" s="391"/>
      <c r="M164" s="391"/>
      <c r="N164" s="391"/>
      <c r="O164" s="391"/>
      <c r="P164" s="391"/>
      <c r="Q164" s="391"/>
      <c r="R164" s="391"/>
      <c r="S164" s="12"/>
      <c r="U164" s="391"/>
    </row>
    <row r="165" spans="1:21">
      <c r="A165" s="391"/>
      <c r="B165" s="64"/>
      <c r="C165" s="391"/>
      <c r="D165" s="391"/>
      <c r="E165" s="391"/>
      <c r="F165" s="64"/>
      <c r="G165" s="64"/>
      <c r="H165" s="64"/>
      <c r="I165" s="64"/>
      <c r="J165" s="64"/>
      <c r="K165" s="391"/>
      <c r="L165" s="391"/>
      <c r="M165" s="391"/>
      <c r="N165" s="391"/>
      <c r="O165" s="391"/>
      <c r="P165" s="391"/>
      <c r="Q165" s="391"/>
      <c r="R165" s="391"/>
      <c r="S165" s="12"/>
      <c r="U165" s="391"/>
    </row>
    <row r="166" spans="1:21">
      <c r="A166" s="391"/>
      <c r="B166" s="64"/>
      <c r="C166" s="391"/>
      <c r="D166" s="391"/>
      <c r="E166" s="391"/>
      <c r="F166" s="64"/>
      <c r="G166" s="64"/>
      <c r="H166" s="64"/>
      <c r="I166" s="64"/>
      <c r="J166" s="64"/>
      <c r="K166" s="391"/>
      <c r="L166" s="391"/>
      <c r="M166" s="391"/>
      <c r="N166" s="391"/>
      <c r="O166" s="391"/>
      <c r="P166" s="391"/>
      <c r="Q166" s="391"/>
      <c r="R166" s="391"/>
      <c r="S166" s="12"/>
      <c r="U166" s="391"/>
    </row>
    <row r="167" spans="1:21">
      <c r="A167" s="391"/>
      <c r="B167" s="64"/>
      <c r="C167" s="391"/>
      <c r="D167" s="391"/>
      <c r="E167" s="391"/>
      <c r="F167" s="64"/>
      <c r="G167" s="64"/>
      <c r="H167" s="64"/>
      <c r="I167" s="64"/>
      <c r="J167" s="64"/>
      <c r="K167" s="391"/>
      <c r="L167" s="391"/>
      <c r="M167" s="391"/>
      <c r="N167" s="391"/>
      <c r="O167" s="391"/>
      <c r="P167" s="391"/>
      <c r="Q167" s="391"/>
      <c r="R167" s="391"/>
      <c r="S167" s="12"/>
      <c r="U167" s="391"/>
    </row>
    <row r="168" spans="1:21">
      <c r="A168" s="391"/>
      <c r="B168" s="64"/>
      <c r="C168" s="391"/>
      <c r="D168" s="391"/>
      <c r="E168" s="391"/>
      <c r="F168" s="64"/>
      <c r="G168" s="64"/>
      <c r="H168" s="64"/>
      <c r="I168" s="64"/>
      <c r="J168" s="64"/>
      <c r="K168" s="391"/>
      <c r="L168" s="391"/>
      <c r="M168" s="391"/>
      <c r="N168" s="391"/>
      <c r="O168" s="391"/>
      <c r="P168" s="391"/>
      <c r="Q168" s="391"/>
      <c r="R168" s="391"/>
      <c r="S168" s="12"/>
      <c r="U168" s="391"/>
    </row>
    <row r="169" spans="1:21">
      <c r="A169" s="391"/>
      <c r="B169" s="64"/>
      <c r="C169" s="391"/>
      <c r="D169" s="391"/>
      <c r="E169" s="391"/>
      <c r="F169" s="64"/>
      <c r="G169" s="64"/>
      <c r="H169" s="64"/>
      <c r="I169" s="64"/>
      <c r="J169" s="64"/>
      <c r="K169" s="391"/>
      <c r="L169" s="391"/>
      <c r="M169" s="391"/>
      <c r="N169" s="391"/>
      <c r="O169" s="391"/>
      <c r="P169" s="391"/>
      <c r="Q169" s="391"/>
      <c r="R169" s="391"/>
      <c r="S169" s="12"/>
      <c r="U169" s="391"/>
    </row>
    <row r="170" spans="1:21">
      <c r="A170" s="391"/>
      <c r="B170" s="64"/>
      <c r="C170" s="391"/>
      <c r="D170" s="391"/>
      <c r="E170" s="391"/>
      <c r="F170" s="64"/>
      <c r="G170" s="64"/>
      <c r="H170" s="64"/>
      <c r="I170" s="64"/>
      <c r="J170" s="64"/>
      <c r="K170" s="391"/>
      <c r="L170" s="391"/>
      <c r="M170" s="391"/>
      <c r="N170" s="391"/>
      <c r="O170" s="391"/>
      <c r="P170" s="391"/>
      <c r="Q170" s="391"/>
      <c r="R170" s="391"/>
      <c r="S170" s="12"/>
      <c r="U170" s="391"/>
    </row>
    <row r="171" spans="1:21">
      <c r="A171" s="391"/>
      <c r="B171" s="64"/>
      <c r="C171" s="391"/>
      <c r="D171" s="391"/>
      <c r="E171" s="391"/>
      <c r="F171" s="64"/>
      <c r="G171" s="64"/>
      <c r="H171" s="64"/>
      <c r="I171" s="64"/>
      <c r="J171" s="64"/>
      <c r="K171" s="391"/>
      <c r="L171" s="391"/>
      <c r="M171" s="391"/>
      <c r="N171" s="391"/>
      <c r="O171" s="391"/>
      <c r="P171" s="391"/>
      <c r="Q171" s="391"/>
      <c r="R171" s="391"/>
      <c r="S171" s="12"/>
      <c r="U171" s="391"/>
    </row>
    <row r="172" spans="1:21">
      <c r="A172" s="391"/>
      <c r="B172" s="64"/>
      <c r="C172" s="391"/>
      <c r="D172" s="391"/>
      <c r="E172" s="391"/>
      <c r="F172" s="64"/>
      <c r="G172" s="64"/>
      <c r="H172" s="64"/>
      <c r="I172" s="64"/>
      <c r="J172" s="64"/>
      <c r="K172" s="391"/>
      <c r="L172" s="391"/>
      <c r="M172" s="391"/>
      <c r="N172" s="391"/>
      <c r="O172" s="391"/>
      <c r="P172" s="391"/>
      <c r="Q172" s="391"/>
      <c r="R172" s="391"/>
      <c r="S172" s="12"/>
      <c r="U172" s="391"/>
    </row>
    <row r="173" spans="1:21">
      <c r="A173" s="391"/>
      <c r="B173" s="64"/>
      <c r="C173" s="391"/>
      <c r="D173" s="391"/>
      <c r="E173" s="391"/>
      <c r="F173" s="64"/>
      <c r="G173" s="64"/>
      <c r="H173" s="64"/>
      <c r="I173" s="64"/>
      <c r="J173" s="64"/>
      <c r="K173" s="391"/>
      <c r="L173" s="391"/>
      <c r="M173" s="391"/>
      <c r="N173" s="391"/>
      <c r="O173" s="391"/>
      <c r="P173" s="391"/>
      <c r="Q173" s="391"/>
      <c r="R173" s="391"/>
      <c r="S173" s="12"/>
      <c r="U173" s="391"/>
    </row>
    <row r="174" spans="1:21">
      <c r="A174" s="391"/>
      <c r="B174" s="64"/>
      <c r="C174" s="391"/>
      <c r="D174" s="391"/>
      <c r="E174" s="391"/>
      <c r="F174" s="64"/>
      <c r="G174" s="64"/>
      <c r="H174" s="64"/>
      <c r="I174" s="64"/>
      <c r="J174" s="64"/>
      <c r="K174" s="391"/>
      <c r="L174" s="391"/>
      <c r="M174" s="391"/>
      <c r="N174" s="391"/>
      <c r="O174" s="391"/>
      <c r="P174" s="391"/>
      <c r="Q174" s="391"/>
      <c r="R174" s="391"/>
      <c r="S174" s="12"/>
      <c r="U174" s="391"/>
    </row>
    <row r="175" spans="1:21">
      <c r="A175" s="391"/>
      <c r="B175" s="64"/>
      <c r="C175" s="391"/>
      <c r="D175" s="391"/>
      <c r="E175" s="391"/>
      <c r="F175" s="64"/>
      <c r="G175" s="64"/>
      <c r="H175" s="64"/>
      <c r="I175" s="64"/>
      <c r="J175" s="64"/>
      <c r="K175" s="391"/>
      <c r="L175" s="391"/>
      <c r="M175" s="391"/>
      <c r="N175" s="391"/>
      <c r="O175" s="391"/>
      <c r="P175" s="391"/>
      <c r="Q175" s="391"/>
      <c r="R175" s="391"/>
      <c r="S175" s="12"/>
      <c r="U175" s="391"/>
    </row>
    <row r="176" spans="1:21">
      <c r="A176" s="391"/>
      <c r="B176" s="64"/>
      <c r="C176" s="391"/>
      <c r="D176" s="391"/>
      <c r="E176" s="391"/>
      <c r="F176" s="64"/>
      <c r="G176" s="64"/>
      <c r="H176" s="64"/>
      <c r="I176" s="64"/>
      <c r="J176" s="64"/>
      <c r="K176" s="391"/>
      <c r="L176" s="391"/>
      <c r="M176" s="391"/>
      <c r="N176" s="391"/>
      <c r="O176" s="391"/>
      <c r="P176" s="391"/>
      <c r="Q176" s="391"/>
      <c r="R176" s="391"/>
      <c r="S176" s="12"/>
      <c r="U176" s="391"/>
    </row>
    <row r="177" spans="1:21">
      <c r="A177" s="391"/>
      <c r="B177" s="64"/>
      <c r="C177" s="391"/>
      <c r="D177" s="391"/>
      <c r="E177" s="391"/>
      <c r="F177" s="64"/>
      <c r="G177" s="64"/>
      <c r="H177" s="64"/>
      <c r="I177" s="64"/>
      <c r="J177" s="64"/>
      <c r="K177" s="391"/>
      <c r="L177" s="391"/>
      <c r="M177" s="391"/>
      <c r="N177" s="391"/>
      <c r="O177" s="391"/>
      <c r="P177" s="391"/>
      <c r="Q177" s="391"/>
      <c r="R177" s="391"/>
      <c r="S177" s="12"/>
      <c r="U177" s="391"/>
    </row>
    <row r="178" spans="1:21">
      <c r="A178" s="391"/>
      <c r="B178" s="64"/>
      <c r="C178" s="391"/>
      <c r="D178" s="391"/>
      <c r="E178" s="391"/>
      <c r="F178" s="64"/>
      <c r="G178" s="64"/>
      <c r="H178" s="64"/>
      <c r="I178" s="64"/>
      <c r="J178" s="64"/>
      <c r="K178" s="391"/>
      <c r="L178" s="391"/>
      <c r="M178" s="391"/>
      <c r="N178" s="391"/>
      <c r="O178" s="391"/>
      <c r="P178" s="391"/>
      <c r="Q178" s="391"/>
      <c r="R178" s="391"/>
      <c r="S178" s="12"/>
      <c r="U178" s="391"/>
    </row>
    <row r="179" spans="1:21">
      <c r="A179" s="391"/>
      <c r="B179" s="64"/>
      <c r="C179" s="391"/>
      <c r="D179" s="391"/>
      <c r="E179" s="391"/>
      <c r="F179" s="64"/>
      <c r="G179" s="64"/>
      <c r="H179" s="64"/>
      <c r="I179" s="64"/>
      <c r="J179" s="64"/>
      <c r="K179" s="391"/>
      <c r="L179" s="391"/>
      <c r="M179" s="391"/>
      <c r="N179" s="391"/>
      <c r="O179" s="391"/>
      <c r="P179" s="391"/>
      <c r="Q179" s="391"/>
      <c r="R179" s="391"/>
      <c r="S179" s="12"/>
      <c r="U179" s="391"/>
    </row>
  </sheetData>
  <dataConsolidate/>
  <mergeCells count="38">
    <mergeCell ref="A6:A8"/>
    <mergeCell ref="V6:W8"/>
    <mergeCell ref="A9:A13"/>
    <mergeCell ref="AS15:AX15"/>
    <mergeCell ref="Y1:AA1"/>
    <mergeCell ref="V3:W3"/>
    <mergeCell ref="A4:A5"/>
    <mergeCell ref="V4:W5"/>
    <mergeCell ref="C1:K1"/>
    <mergeCell ref="M1:U1"/>
    <mergeCell ref="V1:W1"/>
    <mergeCell ref="AJ4:AO4"/>
    <mergeCell ref="A15:A20"/>
    <mergeCell ref="AJ24:AO24"/>
    <mergeCell ref="A26:A27"/>
    <mergeCell ref="A28:A32"/>
    <mergeCell ref="A33:A35"/>
    <mergeCell ref="V33:V35"/>
    <mergeCell ref="W33:W35"/>
    <mergeCell ref="A21:A24"/>
    <mergeCell ref="V21:W24"/>
    <mergeCell ref="A45:A48"/>
    <mergeCell ref="AT45:AT48"/>
    <mergeCell ref="AU45:AU48"/>
    <mergeCell ref="A36:A37"/>
    <mergeCell ref="V36:V37"/>
    <mergeCell ref="W36:W37"/>
    <mergeCell ref="A39:A40"/>
    <mergeCell ref="A41:A43"/>
    <mergeCell ref="AT41:AU43"/>
    <mergeCell ref="Y42:AA42"/>
    <mergeCell ref="AC42:AH42"/>
    <mergeCell ref="AT44:AU44"/>
    <mergeCell ref="A49:A50"/>
    <mergeCell ref="A51:A52"/>
    <mergeCell ref="A53:A54"/>
    <mergeCell ref="A55:A56"/>
    <mergeCell ref="AC62:AH62"/>
  </mergeCells>
  <conditionalFormatting sqref="T3:T56">
    <cfRule type="cellIs" dxfId="80" priority="7" operator="lessThan">
      <formula>0</formula>
    </cfRule>
  </conditionalFormatting>
  <conditionalFormatting sqref="U3:U56">
    <cfRule type="containsText" dxfId="79" priority="9" operator="containsText" text="Yes">
      <formula>NOT(ISERROR(SEARCH("Yes",U3)))</formula>
    </cfRule>
  </conditionalFormatting>
  <conditionalFormatting sqref="AD44:AI55">
    <cfRule type="cellIs" dxfId="78" priority="6" operator="greaterThan">
      <formula>0</formula>
    </cfRule>
  </conditionalFormatting>
  <conditionalFormatting sqref="AK6:AP17">
    <cfRule type="cellIs" dxfId="77" priority="5" operator="greaterThan">
      <formula>0</formula>
    </cfRule>
  </conditionalFormatting>
  <conditionalFormatting sqref="AD64:AI75">
    <cfRule type="cellIs" dxfId="76" priority="4" operator="greaterThan">
      <formula>0</formula>
    </cfRule>
  </conditionalFormatting>
  <conditionalFormatting sqref="AL26:AP37">
    <cfRule type="cellIs" dxfId="75" priority="3" operator="greaterThan">
      <formula>0</formula>
    </cfRule>
  </conditionalFormatting>
  <conditionalFormatting sqref="AK26:AK37">
    <cfRule type="cellIs" dxfId="74" priority="2" operator="greaterThan">
      <formula>0</formula>
    </cfRule>
  </conditionalFormatting>
  <conditionalFormatting sqref="AT17:AY28">
    <cfRule type="cellIs" dxfId="73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179"/>
  <sheetViews>
    <sheetView topLeftCell="AA36" zoomScaleNormal="100" workbookViewId="0">
      <selection activeCell="AL55" sqref="AL55:AR71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18.28515625" style="59" customWidth="1"/>
    <col min="6" max="10" width="23.7109375" style="61" customWidth="1"/>
    <col min="11" max="11" width="16.140625" style="59" customWidth="1"/>
    <col min="12" max="12" width="28.85546875" style="59" customWidth="1"/>
    <col min="13" max="15" width="17.7109375" style="59" customWidth="1"/>
    <col min="16" max="16" width="23.28515625" style="59" customWidth="1"/>
    <col min="17" max="17" width="16.42578125" style="59" customWidth="1"/>
    <col min="18" max="18" width="22" style="59" customWidth="1"/>
    <col min="19" max="19" width="21" style="60" customWidth="1"/>
    <col min="20" max="20" width="28.140625" style="391" customWidth="1"/>
    <col min="21" max="21" width="26.42578125" style="59" customWidth="1"/>
    <col min="22" max="23" width="23" style="58" customWidth="1"/>
    <col min="24" max="25" width="26.140625" style="58" customWidth="1"/>
    <col min="26" max="26" width="22.85546875" style="5" customWidth="1"/>
    <col min="27" max="27" width="12.7109375" style="5" customWidth="1"/>
    <col min="28" max="28" width="16.140625" style="5" customWidth="1"/>
    <col min="29" max="29" width="9" style="5"/>
    <col min="30" max="30" width="12.140625" style="5" customWidth="1"/>
    <col min="31" max="16384" width="9" style="5"/>
  </cols>
  <sheetData>
    <row r="1" spans="1:33" ht="14.25" customHeight="1">
      <c r="A1" s="350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88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522" t="s">
        <v>496</v>
      </c>
      <c r="W1" s="523"/>
      <c r="X1" s="523"/>
      <c r="Y1" s="392"/>
      <c r="Z1" s="500"/>
      <c r="AA1" s="500"/>
      <c r="AB1" s="500"/>
    </row>
    <row r="2" spans="1:33" ht="13.5" thickBot="1">
      <c r="A2" s="350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175" t="s">
        <v>440</v>
      </c>
      <c r="W2" s="174" t="s">
        <v>439</v>
      </c>
      <c r="X2" s="173" t="s">
        <v>438</v>
      </c>
      <c r="Y2" s="392"/>
      <c r="Z2" s="393"/>
      <c r="AA2" s="393"/>
      <c r="AB2" s="393"/>
    </row>
    <row r="3" spans="1:33" ht="15" customHeight="1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123"/>
      <c r="W3" s="518"/>
      <c r="X3" s="519"/>
      <c r="Y3" s="393"/>
      <c r="Z3" s="392"/>
      <c r="AA3" s="392"/>
      <c r="AB3" s="392"/>
    </row>
    <row r="4" spans="1:33" ht="15" customHeight="1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159"/>
      <c r="W4" s="520"/>
      <c r="X4" s="521"/>
      <c r="Y4" s="393"/>
      <c r="Z4" s="393"/>
      <c r="AA4" s="393"/>
      <c r="AB4" s="393"/>
    </row>
    <row r="5" spans="1:33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123"/>
      <c r="W5" s="144"/>
      <c r="X5" s="110"/>
      <c r="Y5" s="393"/>
      <c r="Z5" s="393"/>
      <c r="AA5" s="393"/>
      <c r="AB5" s="393"/>
    </row>
    <row r="6" spans="1:33" ht="14.25" customHeight="1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17"/>
      <c r="W6" s="512"/>
      <c r="X6" s="513"/>
      <c r="Y6" s="386"/>
      <c r="Z6" s="393"/>
      <c r="AA6" s="393"/>
      <c r="AB6" s="393"/>
    </row>
    <row r="7" spans="1:33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138"/>
      <c r="W7" s="514"/>
      <c r="X7" s="515"/>
      <c r="Y7" s="386"/>
      <c r="Z7" s="393"/>
      <c r="AA7" s="393"/>
      <c r="AB7" s="393"/>
    </row>
    <row r="8" spans="1:33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112"/>
      <c r="W8" s="516"/>
      <c r="X8" s="517"/>
      <c r="Y8" s="386"/>
      <c r="Z8" s="18"/>
      <c r="AA8" s="393"/>
      <c r="AB8" s="393"/>
    </row>
    <row r="9" spans="1:33" ht="14.25" customHeight="1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159"/>
      <c r="W9" s="512"/>
      <c r="X9" s="513"/>
      <c r="Y9" s="386"/>
      <c r="Z9" s="18"/>
      <c r="AA9" s="393"/>
      <c r="AB9" s="393"/>
    </row>
    <row r="10" spans="1:33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138"/>
      <c r="W10" s="514"/>
      <c r="X10" s="515"/>
      <c r="Y10" s="386"/>
      <c r="Z10" s="393"/>
      <c r="AA10" s="393"/>
      <c r="AB10" s="393"/>
    </row>
    <row r="11" spans="1:33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138"/>
      <c r="W11" s="514"/>
      <c r="X11" s="515"/>
      <c r="Y11" s="386"/>
      <c r="Z11" s="393"/>
      <c r="AA11" s="393"/>
      <c r="AB11" s="393"/>
    </row>
    <row r="12" spans="1:33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138"/>
      <c r="W12" s="514"/>
      <c r="X12" s="515"/>
      <c r="Z12" s="500"/>
      <c r="AA12" s="500"/>
      <c r="AB12" s="500"/>
      <c r="AC12" s="500"/>
      <c r="AD12" s="500"/>
      <c r="AE12" s="500"/>
      <c r="AF12" s="393"/>
      <c r="AG12" s="393"/>
    </row>
    <row r="13" spans="1:33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123"/>
      <c r="W13" s="516"/>
      <c r="X13" s="517"/>
      <c r="Z13" s="379"/>
      <c r="AA13" s="380"/>
      <c r="AB13" s="380"/>
      <c r="AC13" s="380"/>
      <c r="AD13" s="392"/>
      <c r="AE13" s="392"/>
      <c r="AF13" s="392"/>
      <c r="AG13" s="393"/>
    </row>
    <row r="14" spans="1:33" ht="13.5" thickBot="1">
      <c r="A14" s="387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151"/>
      <c r="W14" s="158"/>
      <c r="X14" s="390"/>
      <c r="Z14" s="393"/>
      <c r="AA14" s="359"/>
      <c r="AB14" s="359"/>
      <c r="AC14" s="359"/>
      <c r="AD14" s="359"/>
      <c r="AE14" s="386"/>
      <c r="AF14" s="393"/>
      <c r="AG14" s="393"/>
    </row>
    <row r="15" spans="1:33" ht="14.25" customHeight="1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117"/>
      <c r="W15" s="512"/>
      <c r="X15" s="513"/>
      <c r="Z15" s="393"/>
      <c r="AA15" s="359"/>
      <c r="AB15" s="359"/>
      <c r="AC15" s="359"/>
      <c r="AD15" s="359"/>
      <c r="AE15" s="386"/>
      <c r="AF15" s="393"/>
      <c r="AG15" s="393"/>
    </row>
    <row r="16" spans="1:33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138"/>
      <c r="W16" s="514"/>
      <c r="X16" s="515"/>
      <c r="Z16" s="393"/>
      <c r="AA16" s="359"/>
      <c r="AB16" s="359"/>
      <c r="AC16" s="359"/>
      <c r="AD16" s="359"/>
      <c r="AE16" s="386"/>
      <c r="AF16" s="393"/>
      <c r="AG16" s="393"/>
    </row>
    <row r="17" spans="1:33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138"/>
      <c r="W17" s="514"/>
      <c r="X17" s="515"/>
      <c r="Z17" s="393"/>
      <c r="AA17" s="359"/>
      <c r="AB17" s="359"/>
      <c r="AC17" s="359"/>
      <c r="AD17" s="359"/>
      <c r="AE17" s="386"/>
      <c r="AF17" s="393"/>
      <c r="AG17" s="393"/>
    </row>
    <row r="18" spans="1:33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138"/>
      <c r="W18" s="514"/>
      <c r="X18" s="515"/>
      <c r="Z18" s="393"/>
      <c r="AA18" s="359"/>
      <c r="AB18" s="359"/>
      <c r="AC18" s="359"/>
      <c r="AD18" s="359"/>
      <c r="AE18" s="386"/>
      <c r="AF18" s="393"/>
      <c r="AG18" s="393"/>
    </row>
    <row r="19" spans="1:33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117"/>
      <c r="W19" s="514"/>
      <c r="X19" s="515"/>
      <c r="Z19" s="393"/>
      <c r="AA19" s="359"/>
      <c r="AB19" s="359"/>
      <c r="AC19" s="359"/>
      <c r="AD19" s="359"/>
      <c r="AE19" s="386"/>
      <c r="AF19" s="393"/>
      <c r="AG19" s="393"/>
    </row>
    <row r="20" spans="1:33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112"/>
      <c r="W20" s="516"/>
      <c r="X20" s="517"/>
      <c r="Z20" s="393"/>
      <c r="AA20" s="359"/>
      <c r="AB20" s="359"/>
      <c r="AC20" s="359"/>
      <c r="AD20" s="359"/>
      <c r="AE20" s="386"/>
      <c r="AF20" s="393"/>
      <c r="AG20" s="393"/>
    </row>
    <row r="21" spans="1:33" ht="14.25" customHeight="1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117"/>
      <c r="W21" s="512"/>
      <c r="X21" s="513"/>
      <c r="Z21" s="393"/>
      <c r="AA21" s="359"/>
      <c r="AB21" s="359"/>
      <c r="AC21" s="386"/>
      <c r="AD21" s="386"/>
      <c r="AE21" s="386"/>
      <c r="AF21" s="393"/>
      <c r="AG21" s="393"/>
    </row>
    <row r="22" spans="1:33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138"/>
      <c r="W22" s="514"/>
      <c r="X22" s="515"/>
      <c r="Z22" s="393"/>
      <c r="AA22" s="386"/>
      <c r="AB22" s="386"/>
      <c r="AC22" s="386"/>
      <c r="AD22" s="386"/>
      <c r="AE22" s="386"/>
      <c r="AF22" s="393"/>
      <c r="AG22" s="393"/>
    </row>
    <row r="23" spans="1:33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138"/>
      <c r="W23" s="514"/>
      <c r="X23" s="515"/>
      <c r="Z23" s="393"/>
      <c r="AA23" s="386"/>
      <c r="AB23" s="359"/>
      <c r="AC23" s="386"/>
      <c r="AD23" s="386"/>
      <c r="AE23" s="386"/>
      <c r="AF23" s="393"/>
      <c r="AG23" s="393"/>
    </row>
    <row r="24" spans="1:33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112"/>
      <c r="W24" s="516"/>
      <c r="X24" s="517"/>
      <c r="Z24" s="393"/>
      <c r="AA24" s="386"/>
      <c r="AB24" s="359"/>
      <c r="AC24" s="386"/>
      <c r="AD24" s="386"/>
      <c r="AE24" s="386"/>
      <c r="AF24" s="393"/>
      <c r="AG24" s="393"/>
    </row>
    <row r="25" spans="1:33" ht="15" customHeight="1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151"/>
      <c r="W25" s="524"/>
      <c r="X25" s="525"/>
      <c r="Z25" s="393"/>
      <c r="AA25" s="386"/>
      <c r="AB25" s="386"/>
      <c r="AC25" s="386"/>
      <c r="AD25" s="386"/>
      <c r="AE25" s="386"/>
      <c r="AF25" s="393"/>
      <c r="AG25" s="393"/>
    </row>
    <row r="26" spans="1:33" ht="13.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117">
        <f>S26/J26</f>
        <v>0.75</v>
      </c>
      <c r="W26" s="149" t="s">
        <v>383</v>
      </c>
      <c r="X26" s="148">
        <v>40.44</v>
      </c>
      <c r="Z26" s="392"/>
      <c r="AA26" s="386"/>
      <c r="AB26" s="386"/>
      <c r="AC26" s="386"/>
      <c r="AD26" s="386"/>
      <c r="AE26" s="386"/>
      <c r="AF26" s="381"/>
      <c r="AG26" s="393"/>
    </row>
    <row r="27" spans="1:33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112"/>
      <c r="W27" s="144"/>
      <c r="X27" s="143"/>
      <c r="Z27" s="392"/>
      <c r="AA27" s="393"/>
      <c r="AB27" s="393"/>
      <c r="AC27" s="393"/>
      <c r="AD27" s="393"/>
      <c r="AE27" s="393"/>
      <c r="AF27" s="392"/>
      <c r="AG27" s="393"/>
    </row>
    <row r="28" spans="1:33" ht="13.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117">
        <f>S28/J28</f>
        <v>0.75</v>
      </c>
      <c r="W28" s="341" t="s">
        <v>479</v>
      </c>
      <c r="X28" s="136"/>
      <c r="Z28" s="392"/>
      <c r="AA28" s="393"/>
      <c r="AB28" s="393"/>
      <c r="AC28" s="393"/>
      <c r="AD28" s="393"/>
      <c r="AE28" s="393"/>
      <c r="AF28" s="392"/>
      <c r="AG28" s="393"/>
    </row>
    <row r="29" spans="1:33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138"/>
      <c r="W29" s="137"/>
      <c r="X29" s="136"/>
      <c r="Z29" s="18"/>
      <c r="AA29" s="393"/>
      <c r="AB29" s="18"/>
      <c r="AC29" s="393"/>
      <c r="AD29" s="393"/>
      <c r="AE29" s="353"/>
      <c r="AF29" s="393"/>
      <c r="AG29" s="393"/>
    </row>
    <row r="30" spans="1:33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117"/>
      <c r="W30" s="141"/>
      <c r="X30" s="140"/>
      <c r="Z30" s="18"/>
      <c r="AA30" s="393"/>
      <c r="AB30" s="18"/>
      <c r="AC30" s="393"/>
      <c r="AD30" s="393"/>
      <c r="AE30" s="393"/>
      <c r="AF30" s="393"/>
    </row>
    <row r="31" spans="1:33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138"/>
      <c r="W31" s="342" t="s">
        <v>394</v>
      </c>
      <c r="X31" s="343">
        <v>48.34</v>
      </c>
      <c r="Z31" s="18"/>
      <c r="AA31" s="393"/>
      <c r="AB31" s="393"/>
      <c r="AC31" s="393"/>
      <c r="AD31" s="393"/>
      <c r="AE31" s="393"/>
      <c r="AF31" s="393"/>
    </row>
    <row r="32" spans="1:33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112">
        <f>S32/J32</f>
        <v>0.6</v>
      </c>
      <c r="W32" s="135"/>
      <c r="X32" s="134"/>
      <c r="Y32" s="393"/>
      <c r="Z32" s="393"/>
      <c r="AA32" s="393"/>
      <c r="AB32" s="393"/>
      <c r="AC32" s="393"/>
      <c r="AD32" s="393"/>
      <c r="AE32" s="393"/>
      <c r="AF32" s="393"/>
    </row>
    <row r="33" spans="1:51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133"/>
      <c r="W33" s="132"/>
      <c r="X33" s="101"/>
      <c r="Y33" s="393"/>
      <c r="AC33" s="391"/>
    </row>
    <row r="34" spans="1:51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78"/>
      <c r="W34" s="108"/>
      <c r="X34" s="100"/>
      <c r="Y34" s="393"/>
      <c r="AC34" s="391"/>
    </row>
    <row r="35" spans="1:51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68"/>
      <c r="W35" s="128"/>
      <c r="X35" s="127"/>
      <c r="Y35" s="393"/>
    </row>
    <row r="36" spans="1:51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78"/>
      <c r="W36" s="77"/>
      <c r="X36" s="76"/>
      <c r="Y36" s="393"/>
    </row>
    <row r="37" spans="1:51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68"/>
      <c r="W37" s="67"/>
      <c r="X37" s="66"/>
      <c r="Y37" s="393"/>
    </row>
    <row r="38" spans="1:51" ht="13.5" thickBot="1">
      <c r="A38" s="387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123">
        <f>S38/J38</f>
        <v>0.6</v>
      </c>
      <c r="W38" s="122" t="s">
        <v>370</v>
      </c>
      <c r="X38" s="121">
        <v>108.68</v>
      </c>
      <c r="Y38" s="18"/>
    </row>
    <row r="39" spans="1:51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17">
        <f>S39/J39</f>
        <v>0.6</v>
      </c>
      <c r="W39" s="116" t="s">
        <v>20</v>
      </c>
      <c r="X39" s="115">
        <v>47.13</v>
      </c>
      <c r="Y39" s="18"/>
    </row>
    <row r="40" spans="1:51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12"/>
      <c r="W40" s="111"/>
      <c r="X40" s="110"/>
      <c r="Y40" s="215"/>
    </row>
    <row r="41" spans="1:51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AF41" s="392"/>
      <c r="AG41" s="392"/>
      <c r="AH41" s="392"/>
      <c r="AI41" s="393"/>
      <c r="AJ41" s="393"/>
      <c r="AK41" s="393"/>
      <c r="AL41" s="393"/>
      <c r="AM41" s="393"/>
      <c r="AN41" s="393"/>
      <c r="AO41" s="393"/>
      <c r="AP41" s="393"/>
      <c r="AQ41" s="393"/>
      <c r="AU41" s="476"/>
      <c r="AV41" s="476"/>
      <c r="AW41" s="386"/>
      <c r="AX41" s="393"/>
      <c r="AY41" s="393"/>
    </row>
    <row r="42" spans="1:51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Z42" s="509" t="s">
        <v>497</v>
      </c>
      <c r="AA42" s="510"/>
      <c r="AB42" s="511"/>
      <c r="AD42" s="497" t="s">
        <v>546</v>
      </c>
      <c r="AE42" s="498"/>
      <c r="AF42" s="498"/>
      <c r="AG42" s="498"/>
      <c r="AH42" s="498"/>
      <c r="AI42" s="499"/>
      <c r="AJ42" s="155"/>
      <c r="AO42" s="393"/>
      <c r="AP42" s="392"/>
      <c r="AQ42" s="392"/>
      <c r="AU42" s="476"/>
      <c r="AV42" s="476"/>
      <c r="AW42" s="386"/>
      <c r="AX42" s="393"/>
      <c r="AY42" s="393"/>
    </row>
    <row r="43" spans="1:51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Z43" s="88"/>
      <c r="AA43" s="391"/>
      <c r="AB43" s="97"/>
      <c r="AD43" s="355" t="s">
        <v>484</v>
      </c>
      <c r="AE43" s="357" t="s">
        <v>485</v>
      </c>
      <c r="AF43" s="357" t="s">
        <v>486</v>
      </c>
      <c r="AG43" s="357" t="s">
        <v>487</v>
      </c>
      <c r="AH43" s="357" t="s">
        <v>488</v>
      </c>
      <c r="AI43" s="358" t="s">
        <v>489</v>
      </c>
      <c r="AJ43" s="270" t="s">
        <v>416</v>
      </c>
      <c r="AO43" s="393"/>
      <c r="AP43" s="393"/>
      <c r="AQ43" s="393"/>
      <c r="AU43" s="476"/>
      <c r="AV43" s="476"/>
      <c r="AW43" s="386"/>
      <c r="AX43" s="393"/>
      <c r="AY43" s="393"/>
    </row>
    <row r="44" spans="1:51" ht="13.5" thickBot="1">
      <c r="A44" s="387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Z44" s="131" t="s">
        <v>389</v>
      </c>
      <c r="AA44" s="130" t="s">
        <v>388</v>
      </c>
      <c r="AB44" s="129" t="s">
        <v>387</v>
      </c>
      <c r="AD44" s="60" t="s">
        <v>84</v>
      </c>
      <c r="AE44" s="359">
        <v>0</v>
      </c>
      <c r="AF44" s="359">
        <v>0</v>
      </c>
      <c r="AG44" s="360">
        <v>0</v>
      </c>
      <c r="AH44" s="360">
        <v>0</v>
      </c>
      <c r="AI44" s="386">
        <v>0</v>
      </c>
      <c r="AJ44" s="361">
        <f>SUM(AE44:AI44)</f>
        <v>0</v>
      </c>
      <c r="AO44" s="393"/>
      <c r="AP44" s="349"/>
      <c r="AQ44" s="349"/>
      <c r="AU44" s="476"/>
      <c r="AV44" s="476"/>
      <c r="AW44" s="386"/>
      <c r="AX44" s="393"/>
      <c r="AY44" s="393"/>
    </row>
    <row r="45" spans="1:51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Z45" s="126" t="s">
        <v>383</v>
      </c>
      <c r="AA45" s="125">
        <v>40.44</v>
      </c>
      <c r="AB45" s="97">
        <f>AA45/600</f>
        <v>6.7400000000000002E-2</v>
      </c>
      <c r="AD45" s="60" t="s">
        <v>85</v>
      </c>
      <c r="AE45" s="359">
        <v>0</v>
      </c>
      <c r="AF45" s="359">
        <v>0</v>
      </c>
      <c r="AG45" s="359">
        <v>0</v>
      </c>
      <c r="AH45" s="359">
        <v>0</v>
      </c>
      <c r="AI45" s="386">
        <v>0</v>
      </c>
      <c r="AJ45" s="60">
        <f t="shared" ref="AJ45:AJ55" si="22">SUM(AE45:AI45)</f>
        <v>0</v>
      </c>
      <c r="AO45" s="393"/>
      <c r="AP45" s="393"/>
      <c r="AQ45" s="393"/>
      <c r="AU45" s="476"/>
      <c r="AV45" s="476"/>
      <c r="AW45" s="386"/>
      <c r="AX45" s="393"/>
      <c r="AY45" s="393"/>
    </row>
    <row r="46" spans="1:51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Z46" s="126"/>
      <c r="AA46" s="125"/>
      <c r="AB46" s="97">
        <f>AA46/400</f>
        <v>0</v>
      </c>
      <c r="AD46" s="60" t="s">
        <v>86</v>
      </c>
      <c r="AE46" s="359">
        <v>0</v>
      </c>
      <c r="AF46" s="359">
        <v>0</v>
      </c>
      <c r="AG46" s="359">
        <v>0</v>
      </c>
      <c r="AH46" s="359">
        <v>0</v>
      </c>
      <c r="AI46" s="386">
        <v>0</v>
      </c>
      <c r="AJ46" s="60">
        <f t="shared" si="22"/>
        <v>0</v>
      </c>
      <c r="AL46" s="471" t="s">
        <v>490</v>
      </c>
      <c r="AM46" s="471" t="s">
        <v>491</v>
      </c>
      <c r="AN46" s="363" t="s">
        <v>492</v>
      </c>
      <c r="AO46" s="393"/>
      <c r="AP46" s="393"/>
      <c r="AQ46" s="393"/>
      <c r="AU46" s="476"/>
      <c r="AV46" s="476"/>
      <c r="AW46" s="386"/>
      <c r="AX46" s="393"/>
      <c r="AY46" s="393"/>
    </row>
    <row r="47" spans="1:51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Z47" s="126" t="s">
        <v>19</v>
      </c>
      <c r="AA47" s="125">
        <v>108.68</v>
      </c>
      <c r="AB47" s="97">
        <f>AA47/750 * 100</f>
        <v>14.490666666666668</v>
      </c>
      <c r="AD47" s="60" t="s">
        <v>87</v>
      </c>
      <c r="AE47" s="359">
        <v>0</v>
      </c>
      <c r="AF47" s="359">
        <v>1</v>
      </c>
      <c r="AG47" s="359">
        <v>0</v>
      </c>
      <c r="AH47" s="359">
        <v>0</v>
      </c>
      <c r="AI47" s="386">
        <v>0</v>
      </c>
      <c r="AJ47" s="60">
        <f t="shared" si="22"/>
        <v>1</v>
      </c>
      <c r="AL47" s="61" t="s">
        <v>485</v>
      </c>
      <c r="AM47" s="61">
        <v>100</v>
      </c>
      <c r="AN47" s="420">
        <v>15</v>
      </c>
      <c r="AO47" s="393"/>
      <c r="AP47" s="393"/>
      <c r="AQ47" s="393"/>
      <c r="AU47" s="476"/>
      <c r="AV47" s="476"/>
      <c r="AW47" s="386"/>
      <c r="AX47" s="393"/>
      <c r="AY47" s="393"/>
    </row>
    <row r="48" spans="1:51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Z48" s="126" t="s">
        <v>20</v>
      </c>
      <c r="AA48" s="125">
        <v>47.13</v>
      </c>
      <c r="AB48" s="97">
        <f>AA48/1000*100</f>
        <v>4.713000000000001</v>
      </c>
      <c r="AD48" s="60" t="s">
        <v>88</v>
      </c>
      <c r="AE48" s="359">
        <v>1</v>
      </c>
      <c r="AF48" s="359">
        <v>0</v>
      </c>
      <c r="AG48" s="359">
        <v>0</v>
      </c>
      <c r="AH48" s="359">
        <v>0</v>
      </c>
      <c r="AI48" s="386">
        <v>0</v>
      </c>
      <c r="AJ48" s="60">
        <f t="shared" si="22"/>
        <v>1</v>
      </c>
      <c r="AK48" s="393"/>
      <c r="AL48" s="364" t="s">
        <v>486</v>
      </c>
      <c r="AM48" s="364">
        <v>150</v>
      </c>
      <c r="AN48" s="421">
        <v>16.3689</v>
      </c>
      <c r="AO48" s="393"/>
      <c r="AP48" s="393"/>
      <c r="AQ48" s="393"/>
      <c r="AU48" s="476"/>
      <c r="AV48" s="476"/>
      <c r="AW48" s="386"/>
      <c r="AX48" s="393"/>
      <c r="AY48" s="393"/>
    </row>
    <row r="49" spans="1:51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Z49" s="5" t="s">
        <v>394</v>
      </c>
      <c r="AA49" s="5">
        <v>48.34</v>
      </c>
      <c r="AB49" s="87">
        <f>(AA49/E32)*100</f>
        <v>19.336000000000002</v>
      </c>
      <c r="AD49" s="60" t="s">
        <v>89</v>
      </c>
      <c r="AE49" s="359">
        <v>0</v>
      </c>
      <c r="AF49" s="359">
        <v>0</v>
      </c>
      <c r="AG49" s="359">
        <v>0</v>
      </c>
      <c r="AH49" s="359">
        <v>0</v>
      </c>
      <c r="AI49" s="386">
        <v>0</v>
      </c>
      <c r="AJ49" s="60">
        <f t="shared" si="22"/>
        <v>0</v>
      </c>
      <c r="AK49" s="392"/>
      <c r="AL49" s="364" t="s">
        <v>487</v>
      </c>
      <c r="AM49" s="364">
        <v>200</v>
      </c>
      <c r="AN49" s="421">
        <v>16.746700000000001</v>
      </c>
      <c r="AO49" s="393"/>
      <c r="AP49" s="393"/>
      <c r="AQ49" s="393"/>
      <c r="AU49" s="393"/>
      <c r="AV49" s="393"/>
      <c r="AW49" s="386"/>
      <c r="AX49" s="393"/>
      <c r="AY49" s="393"/>
    </row>
    <row r="50" spans="1:51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AD50" s="60" t="s">
        <v>90</v>
      </c>
      <c r="AE50" s="359">
        <v>1</v>
      </c>
      <c r="AF50" s="359">
        <v>0</v>
      </c>
      <c r="AG50" s="359">
        <v>0</v>
      </c>
      <c r="AH50" s="359">
        <v>0</v>
      </c>
      <c r="AI50" s="386">
        <v>0</v>
      </c>
      <c r="AJ50" s="60">
        <f t="shared" si="22"/>
        <v>1</v>
      </c>
      <c r="AK50" s="392"/>
      <c r="AL50" s="364" t="s">
        <v>488</v>
      </c>
      <c r="AM50" s="364">
        <v>250</v>
      </c>
      <c r="AN50" s="421">
        <v>16.886600000000001</v>
      </c>
      <c r="AO50" s="393"/>
      <c r="AP50" s="393"/>
      <c r="AQ50" s="393"/>
      <c r="AU50" s="393"/>
      <c r="AV50" s="393"/>
      <c r="AW50" s="386"/>
      <c r="AX50" s="393"/>
      <c r="AY50" s="393"/>
    </row>
    <row r="51" spans="1:51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Z51" s="120" t="s">
        <v>369</v>
      </c>
      <c r="AA51" s="119">
        <f>SUM(AA45:AA50)</f>
        <v>244.59</v>
      </c>
      <c r="AD51" s="60" t="s">
        <v>91</v>
      </c>
      <c r="AE51" s="359">
        <v>0</v>
      </c>
      <c r="AF51" s="359">
        <v>0</v>
      </c>
      <c r="AG51" s="386">
        <v>0</v>
      </c>
      <c r="AH51" s="386">
        <v>0</v>
      </c>
      <c r="AI51" s="386">
        <v>0</v>
      </c>
      <c r="AJ51" s="60">
        <f t="shared" si="22"/>
        <v>0</v>
      </c>
      <c r="AK51" s="393"/>
      <c r="AL51" s="365" t="s">
        <v>525</v>
      </c>
      <c r="AM51" s="365">
        <v>300</v>
      </c>
      <c r="AN51" s="422">
        <v>17</v>
      </c>
      <c r="AO51" s="393"/>
      <c r="AP51" s="393"/>
      <c r="AQ51" s="393"/>
      <c r="AU51" s="393"/>
      <c r="AV51" s="393"/>
      <c r="AW51" s="386"/>
      <c r="AX51" s="393"/>
      <c r="AY51" s="393"/>
    </row>
    <row r="52" spans="1:51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Z52" s="17" t="s">
        <v>365</v>
      </c>
      <c r="AA52" s="17">
        <f>AA51/11200</f>
        <v>2.1838392857142858E-2</v>
      </c>
      <c r="AD52" s="60" t="s">
        <v>92</v>
      </c>
      <c r="AE52" s="386">
        <v>0</v>
      </c>
      <c r="AF52" s="386">
        <v>0</v>
      </c>
      <c r="AG52" s="386">
        <v>0</v>
      </c>
      <c r="AH52" s="386">
        <v>0</v>
      </c>
      <c r="AI52" s="386">
        <v>0</v>
      </c>
      <c r="AJ52" s="60">
        <f t="shared" si="22"/>
        <v>0</v>
      </c>
      <c r="AK52" s="393"/>
      <c r="AL52" s="393"/>
      <c r="AM52" s="393"/>
      <c r="AO52" s="393"/>
      <c r="AP52" s="393"/>
      <c r="AQ52" s="393"/>
      <c r="AU52" s="393"/>
      <c r="AV52" s="393"/>
      <c r="AW52" s="386"/>
      <c r="AX52" s="393"/>
      <c r="AY52" s="393"/>
    </row>
    <row r="53" spans="1:51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AD53" s="60" t="s">
        <v>93</v>
      </c>
      <c r="AE53" s="386">
        <v>0</v>
      </c>
      <c r="AF53" s="359">
        <v>1</v>
      </c>
      <c r="AG53" s="386">
        <v>0</v>
      </c>
      <c r="AH53" s="386">
        <v>0</v>
      </c>
      <c r="AI53" s="386">
        <v>0</v>
      </c>
      <c r="AJ53" s="60">
        <f t="shared" si="22"/>
        <v>1</v>
      </c>
      <c r="AK53" s="393"/>
      <c r="AL53" s="393"/>
      <c r="AM53" s="393"/>
      <c r="AO53" s="393"/>
      <c r="AP53" s="393"/>
      <c r="AQ53" s="393"/>
      <c r="AU53" s="393"/>
      <c r="AV53" s="393"/>
      <c r="AW53" s="386"/>
      <c r="AX53" s="393"/>
      <c r="AY53" s="393"/>
    </row>
    <row r="54" spans="1:51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AD54" s="60" t="s">
        <v>94</v>
      </c>
      <c r="AE54" s="386">
        <v>1</v>
      </c>
      <c r="AF54" s="359">
        <v>0</v>
      </c>
      <c r="AG54" s="386">
        <v>0</v>
      </c>
      <c r="AH54" s="386">
        <v>0</v>
      </c>
      <c r="AI54" s="386">
        <v>0</v>
      </c>
      <c r="AJ54" s="60">
        <f t="shared" si="22"/>
        <v>1</v>
      </c>
      <c r="AK54" s="18"/>
      <c r="AL54" s="18"/>
      <c r="AM54" s="393"/>
      <c r="AO54" s="393"/>
      <c r="AP54" s="393"/>
      <c r="AQ54" s="393"/>
      <c r="AU54" s="393"/>
      <c r="AV54" s="393"/>
      <c r="AW54" s="386"/>
      <c r="AX54" s="393"/>
      <c r="AY54" s="393"/>
    </row>
    <row r="55" spans="1:51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AD55" s="366" t="s">
        <v>482</v>
      </c>
      <c r="AE55" s="367">
        <v>0</v>
      </c>
      <c r="AF55" s="367">
        <v>0</v>
      </c>
      <c r="AG55" s="367">
        <v>0</v>
      </c>
      <c r="AH55" s="367">
        <v>0</v>
      </c>
      <c r="AI55" s="367">
        <v>0</v>
      </c>
      <c r="AJ55" s="366">
        <f t="shared" si="22"/>
        <v>0</v>
      </c>
      <c r="AK55" s="393"/>
      <c r="AL55" s="497" t="s">
        <v>548</v>
      </c>
      <c r="AM55" s="498"/>
      <c r="AN55" s="498"/>
      <c r="AO55" s="498"/>
      <c r="AP55" s="498"/>
      <c r="AQ55" s="499"/>
      <c r="AR55" s="155"/>
      <c r="AU55" s="393"/>
      <c r="AV55" s="393"/>
      <c r="AW55" s="386"/>
      <c r="AX55" s="393"/>
      <c r="AY55" s="393"/>
    </row>
    <row r="56" spans="1:51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AD56" s="270" t="s">
        <v>493</v>
      </c>
      <c r="AE56" s="368">
        <f t="shared" ref="AE56:AJ56" si="23">SUM(AE44:AE55)</f>
        <v>3</v>
      </c>
      <c r="AF56" s="368">
        <f t="shared" si="23"/>
        <v>2</v>
      </c>
      <c r="AG56" s="368">
        <f t="shared" si="23"/>
        <v>0</v>
      </c>
      <c r="AH56" s="368">
        <f t="shared" si="23"/>
        <v>0</v>
      </c>
      <c r="AI56" s="368">
        <f t="shared" si="23"/>
        <v>0</v>
      </c>
      <c r="AJ56" s="369">
        <f t="shared" si="23"/>
        <v>5</v>
      </c>
      <c r="AK56" s="393"/>
      <c r="AL56" s="355" t="s">
        <v>484</v>
      </c>
      <c r="AM56" s="357" t="s">
        <v>485</v>
      </c>
      <c r="AN56" s="357" t="s">
        <v>486</v>
      </c>
      <c r="AO56" s="357" t="s">
        <v>487</v>
      </c>
      <c r="AP56" s="357" t="s">
        <v>488</v>
      </c>
      <c r="AQ56" s="358" t="s">
        <v>525</v>
      </c>
      <c r="AR56" s="270" t="s">
        <v>416</v>
      </c>
      <c r="AU56" s="393"/>
      <c r="AV56" s="393"/>
      <c r="AW56" s="386"/>
      <c r="AX56" s="393"/>
      <c r="AY56" s="393"/>
    </row>
    <row r="57" spans="1:51">
      <c r="A57" s="391"/>
      <c r="B57" s="64"/>
      <c r="C57" s="391"/>
      <c r="D57" s="391"/>
      <c r="E57" s="391"/>
      <c r="F57" s="64"/>
      <c r="G57" s="64"/>
      <c r="H57" s="64"/>
      <c r="I57" s="64"/>
      <c r="J57" s="64"/>
      <c r="K57" s="391"/>
      <c r="L57" s="391"/>
      <c r="M57" s="391"/>
      <c r="N57" s="391"/>
      <c r="O57" s="391"/>
      <c r="P57" s="391"/>
      <c r="Q57" s="391"/>
      <c r="R57" s="391"/>
      <c r="S57" s="12"/>
      <c r="U57" s="391"/>
      <c r="AD57" s="270" t="s">
        <v>492</v>
      </c>
      <c r="AE57" s="370">
        <f>PRODUCT(AE56*AN47)</f>
        <v>45</v>
      </c>
      <c r="AF57" s="418">
        <f>PRODUCT(AF56*AN48)</f>
        <v>32.7378</v>
      </c>
      <c r="AG57" s="418">
        <f>PRODUCT(AG56*AN49)</f>
        <v>0</v>
      </c>
      <c r="AH57" s="418">
        <f>PRODUCT(AH56*AN50)</f>
        <v>0</v>
      </c>
      <c r="AI57" s="418">
        <f>PRODUCT(AI56*AN51)</f>
        <v>0</v>
      </c>
      <c r="AJ57" s="419">
        <f>SUM(AE57:AI57)</f>
        <v>77.737799999999993</v>
      </c>
      <c r="AK57" s="393"/>
      <c r="AL57" s="60" t="s">
        <v>84</v>
      </c>
      <c r="AM57" s="470">
        <f>AE44+AE64</f>
        <v>0</v>
      </c>
      <c r="AN57" s="470">
        <f t="shared" ref="AN57:AQ68" si="24">AF44+AF64</f>
        <v>4</v>
      </c>
      <c r="AO57" s="470">
        <f t="shared" si="24"/>
        <v>2</v>
      </c>
      <c r="AP57" s="470">
        <f t="shared" si="24"/>
        <v>1</v>
      </c>
      <c r="AQ57" s="470">
        <f t="shared" si="24"/>
        <v>0</v>
      </c>
      <c r="AR57" s="361">
        <f>SUM(AM57:AQ57)</f>
        <v>7</v>
      </c>
      <c r="AU57" s="393"/>
      <c r="AV57" s="393"/>
      <c r="AW57" s="393"/>
      <c r="AX57" s="393"/>
      <c r="AY57" s="393"/>
    </row>
    <row r="58" spans="1:51">
      <c r="A58" s="391"/>
      <c r="B58" s="64"/>
      <c r="C58" s="391"/>
      <c r="D58" s="391"/>
      <c r="E58" s="391"/>
      <c r="F58" s="64"/>
      <c r="G58" s="64"/>
      <c r="H58" s="64"/>
      <c r="I58" s="64"/>
      <c r="J58" s="64"/>
      <c r="K58" s="391"/>
      <c r="L58" s="391"/>
      <c r="M58" s="391"/>
      <c r="N58" s="391"/>
      <c r="O58" s="391"/>
      <c r="P58" s="391"/>
      <c r="Q58" s="391"/>
      <c r="R58" s="391"/>
      <c r="S58" s="12"/>
      <c r="U58" s="391"/>
      <c r="AD58" s="270" t="s">
        <v>491</v>
      </c>
      <c r="AE58" s="370">
        <f>AE56*AM47</f>
        <v>300</v>
      </c>
      <c r="AF58" s="370">
        <f>AF56*AM48</f>
        <v>300</v>
      </c>
      <c r="AG58" s="370">
        <f>AG56*AM49</f>
        <v>0</v>
      </c>
      <c r="AH58" s="370">
        <f>AH56*AM50</f>
        <v>0</v>
      </c>
      <c r="AI58" s="370">
        <f>AI56*AM51</f>
        <v>0</v>
      </c>
      <c r="AJ58" s="270">
        <f>SUM(AE58:AI58)</f>
        <v>600</v>
      </c>
      <c r="AK58" s="393"/>
      <c r="AL58" s="60" t="s">
        <v>85</v>
      </c>
      <c r="AM58" s="470">
        <f t="shared" ref="AM58:AM68" si="25">AE45+AE65</f>
        <v>0</v>
      </c>
      <c r="AN58" s="470">
        <f t="shared" si="24"/>
        <v>7</v>
      </c>
      <c r="AO58" s="470">
        <f t="shared" si="24"/>
        <v>3</v>
      </c>
      <c r="AP58" s="470">
        <f t="shared" si="24"/>
        <v>0</v>
      </c>
      <c r="AQ58" s="470">
        <f t="shared" si="24"/>
        <v>2</v>
      </c>
      <c r="AR58" s="60">
        <f t="shared" ref="AR58:AR68" si="26">SUM(AM58:AQ58)</f>
        <v>12</v>
      </c>
    </row>
    <row r="59" spans="1:51">
      <c r="A59" s="391"/>
      <c r="B59" s="64"/>
      <c r="C59" s="391"/>
      <c r="D59" s="391"/>
      <c r="E59" s="391"/>
      <c r="F59" s="64"/>
      <c r="G59" s="64"/>
      <c r="H59" s="64"/>
      <c r="I59" s="64"/>
      <c r="J59" s="64"/>
      <c r="K59" s="391"/>
      <c r="L59" s="391"/>
      <c r="M59" s="391"/>
      <c r="N59" s="391"/>
      <c r="O59" s="391"/>
      <c r="P59" s="391"/>
      <c r="Q59" s="391"/>
      <c r="R59" s="391"/>
      <c r="S59" s="12"/>
      <c r="U59" s="391"/>
      <c r="AF59" s="18"/>
      <c r="AG59" s="393"/>
      <c r="AH59" s="18"/>
      <c r="AI59" s="393"/>
      <c r="AJ59" s="393"/>
      <c r="AK59" s="393"/>
      <c r="AL59" s="60" t="s">
        <v>86</v>
      </c>
      <c r="AM59" s="470">
        <f t="shared" si="25"/>
        <v>0</v>
      </c>
      <c r="AN59" s="470">
        <f t="shared" si="24"/>
        <v>0</v>
      </c>
      <c r="AO59" s="470">
        <f t="shared" si="24"/>
        <v>3</v>
      </c>
      <c r="AP59" s="470">
        <f t="shared" si="24"/>
        <v>0</v>
      </c>
      <c r="AQ59" s="470">
        <f t="shared" si="24"/>
        <v>1</v>
      </c>
      <c r="AR59" s="60">
        <f t="shared" si="26"/>
        <v>4</v>
      </c>
    </row>
    <row r="60" spans="1:51">
      <c r="A60" s="391"/>
      <c r="B60" s="64"/>
      <c r="C60" s="391"/>
      <c r="D60" s="391"/>
      <c r="E60" s="391"/>
      <c r="F60" s="64"/>
      <c r="G60" s="64"/>
      <c r="H60" s="64"/>
      <c r="I60" s="64"/>
      <c r="J60" s="64"/>
      <c r="K60" s="391"/>
      <c r="L60" s="391"/>
      <c r="M60" s="391"/>
      <c r="N60" s="391"/>
      <c r="O60" s="391"/>
      <c r="P60" s="391"/>
      <c r="Q60" s="391"/>
      <c r="R60" s="391"/>
      <c r="S60" s="12"/>
      <c r="U60" s="391"/>
      <c r="AF60" s="18"/>
      <c r="AG60" s="393"/>
      <c r="AH60" s="393"/>
      <c r="AI60" s="393"/>
      <c r="AJ60" s="393"/>
      <c r="AK60" s="393"/>
      <c r="AL60" s="60" t="s">
        <v>87</v>
      </c>
      <c r="AM60" s="470">
        <f t="shared" si="25"/>
        <v>0</v>
      </c>
      <c r="AN60" s="470">
        <f t="shared" si="24"/>
        <v>11</v>
      </c>
      <c r="AO60" s="470">
        <f t="shared" si="24"/>
        <v>15</v>
      </c>
      <c r="AP60" s="470">
        <f t="shared" si="24"/>
        <v>8</v>
      </c>
      <c r="AQ60" s="470">
        <f t="shared" si="24"/>
        <v>0</v>
      </c>
      <c r="AR60" s="60">
        <f t="shared" si="26"/>
        <v>34</v>
      </c>
    </row>
    <row r="61" spans="1:51">
      <c r="A61" s="391"/>
      <c r="B61" s="64"/>
      <c r="C61" s="391"/>
      <c r="D61" s="391"/>
      <c r="E61" s="391"/>
      <c r="F61" s="64"/>
      <c r="G61" s="64"/>
      <c r="H61" s="64"/>
      <c r="I61" s="64"/>
      <c r="J61" s="64"/>
      <c r="K61" s="391"/>
      <c r="L61" s="391"/>
      <c r="M61" s="391"/>
      <c r="N61" s="391"/>
      <c r="O61" s="391"/>
      <c r="P61" s="391"/>
      <c r="Q61" s="391"/>
      <c r="R61" s="391"/>
      <c r="S61" s="12"/>
      <c r="U61" s="391"/>
      <c r="AF61" s="393"/>
      <c r="AG61" s="393"/>
      <c r="AH61" s="393"/>
      <c r="AI61" s="393"/>
      <c r="AJ61" s="393"/>
      <c r="AK61" s="393"/>
      <c r="AL61" s="60" t="s">
        <v>88</v>
      </c>
      <c r="AM61" s="470">
        <f t="shared" si="25"/>
        <v>1</v>
      </c>
      <c r="AN61" s="470">
        <f t="shared" si="24"/>
        <v>0</v>
      </c>
      <c r="AO61" s="470">
        <f t="shared" si="24"/>
        <v>8</v>
      </c>
      <c r="AP61" s="470">
        <f t="shared" si="24"/>
        <v>1</v>
      </c>
      <c r="AQ61" s="470">
        <f t="shared" si="24"/>
        <v>0</v>
      </c>
      <c r="AR61" s="60">
        <f t="shared" si="26"/>
        <v>10</v>
      </c>
    </row>
    <row r="62" spans="1:51">
      <c r="A62" s="391"/>
      <c r="B62" s="65"/>
      <c r="C62" s="391"/>
      <c r="D62" s="391"/>
      <c r="E62" s="391"/>
      <c r="F62" s="64"/>
      <c r="G62" s="64"/>
      <c r="H62" s="64"/>
      <c r="I62" s="64"/>
      <c r="J62" s="64"/>
      <c r="K62" s="391"/>
      <c r="L62" s="391"/>
      <c r="M62" s="391"/>
      <c r="N62" s="391"/>
      <c r="O62" s="391"/>
      <c r="P62" s="391"/>
      <c r="Q62" s="391"/>
      <c r="R62" s="391"/>
      <c r="S62" s="12"/>
      <c r="U62" s="391"/>
      <c r="AD62" s="497" t="s">
        <v>547</v>
      </c>
      <c r="AE62" s="498"/>
      <c r="AF62" s="498"/>
      <c r="AG62" s="498"/>
      <c r="AH62" s="498"/>
      <c r="AI62" s="499"/>
      <c r="AJ62" s="155"/>
      <c r="AK62" s="393"/>
      <c r="AL62" s="60" t="s">
        <v>89</v>
      </c>
      <c r="AM62" s="470">
        <f t="shared" si="25"/>
        <v>0</v>
      </c>
      <c r="AN62" s="470">
        <f t="shared" si="24"/>
        <v>7</v>
      </c>
      <c r="AO62" s="470">
        <f t="shared" si="24"/>
        <v>1</v>
      </c>
      <c r="AP62" s="470">
        <f t="shared" si="24"/>
        <v>1</v>
      </c>
      <c r="AQ62" s="470">
        <f t="shared" si="24"/>
        <v>0</v>
      </c>
      <c r="AR62" s="60">
        <f t="shared" si="26"/>
        <v>9</v>
      </c>
    </row>
    <row r="63" spans="1:51">
      <c r="A63" s="391"/>
      <c r="B63" s="65"/>
      <c r="C63" s="391"/>
      <c r="D63" s="391"/>
      <c r="E63" s="391"/>
      <c r="F63" s="64"/>
      <c r="G63" s="64"/>
      <c r="H63" s="64"/>
      <c r="I63" s="64"/>
      <c r="J63" s="64"/>
      <c r="K63" s="391"/>
      <c r="L63" s="391"/>
      <c r="M63" s="391"/>
      <c r="N63" s="391"/>
      <c r="O63" s="391"/>
      <c r="P63" s="391"/>
      <c r="Q63" s="391"/>
      <c r="R63" s="391"/>
      <c r="S63" s="12"/>
      <c r="U63" s="391"/>
      <c r="AD63" s="355" t="s">
        <v>484</v>
      </c>
      <c r="AE63" s="357" t="s">
        <v>485</v>
      </c>
      <c r="AF63" s="357" t="s">
        <v>486</v>
      </c>
      <c r="AG63" s="357" t="s">
        <v>487</v>
      </c>
      <c r="AH63" s="357" t="s">
        <v>488</v>
      </c>
      <c r="AI63" s="358" t="s">
        <v>525</v>
      </c>
      <c r="AJ63" s="270" t="s">
        <v>416</v>
      </c>
      <c r="AK63" s="393"/>
      <c r="AL63" s="60" t="s">
        <v>90</v>
      </c>
      <c r="AM63" s="470">
        <f t="shared" si="25"/>
        <v>1</v>
      </c>
      <c r="AN63" s="470">
        <f t="shared" si="24"/>
        <v>0</v>
      </c>
      <c r="AO63" s="470">
        <f t="shared" si="24"/>
        <v>1</v>
      </c>
      <c r="AP63" s="470">
        <f t="shared" si="24"/>
        <v>1</v>
      </c>
      <c r="AQ63" s="470">
        <f t="shared" si="24"/>
        <v>1</v>
      </c>
      <c r="AR63" s="60">
        <f t="shared" si="26"/>
        <v>4</v>
      </c>
    </row>
    <row r="64" spans="1:51">
      <c r="A64" s="391"/>
      <c r="B64" s="65"/>
      <c r="C64" s="391"/>
      <c r="D64" s="391"/>
      <c r="E64" s="391"/>
      <c r="F64" s="64"/>
      <c r="G64" s="64"/>
      <c r="H64" s="64"/>
      <c r="I64" s="64"/>
      <c r="J64" s="64"/>
      <c r="K64" s="391"/>
      <c r="L64" s="391"/>
      <c r="M64" s="391"/>
      <c r="N64" s="391"/>
      <c r="O64" s="391"/>
      <c r="P64" s="391"/>
      <c r="Q64" s="391"/>
      <c r="R64" s="391"/>
      <c r="S64" s="12"/>
      <c r="U64" s="391"/>
      <c r="AD64" s="60" t="s">
        <v>84</v>
      </c>
      <c r="AE64" s="470">
        <v>0</v>
      </c>
      <c r="AF64" s="470">
        <f>4</f>
        <v>4</v>
      </c>
      <c r="AG64" s="416">
        <f>1+1</f>
        <v>2</v>
      </c>
      <c r="AH64" s="416">
        <f>1</f>
        <v>1</v>
      </c>
      <c r="AI64" s="470">
        <v>0</v>
      </c>
      <c r="AJ64" s="361">
        <f>SUM(AE64:AI64)</f>
        <v>7</v>
      </c>
      <c r="AK64" s="393"/>
      <c r="AL64" s="60" t="s">
        <v>91</v>
      </c>
      <c r="AM64" s="470">
        <f t="shared" si="25"/>
        <v>0</v>
      </c>
      <c r="AN64" s="470">
        <f t="shared" si="24"/>
        <v>10</v>
      </c>
      <c r="AO64" s="470">
        <f t="shared" si="24"/>
        <v>2</v>
      </c>
      <c r="AP64" s="470">
        <f t="shared" si="24"/>
        <v>1</v>
      </c>
      <c r="AQ64" s="470">
        <f t="shared" si="24"/>
        <v>0</v>
      </c>
      <c r="AR64" s="60">
        <f t="shared" si="26"/>
        <v>13</v>
      </c>
    </row>
    <row r="65" spans="1:44">
      <c r="A65" s="391"/>
      <c r="B65" s="64"/>
      <c r="C65" s="391"/>
      <c r="D65" s="391"/>
      <c r="E65" s="391"/>
      <c r="N65" s="391"/>
      <c r="O65" s="391"/>
      <c r="Q65" s="391"/>
      <c r="R65" s="391"/>
      <c r="S65" s="12"/>
      <c r="U65" s="391"/>
      <c r="AD65" s="60" t="s">
        <v>85</v>
      </c>
      <c r="AE65" s="470">
        <v>0</v>
      </c>
      <c r="AF65" s="470">
        <f>3+2+2</f>
        <v>7</v>
      </c>
      <c r="AG65" s="470">
        <f>2+1</f>
        <v>3</v>
      </c>
      <c r="AH65" s="470">
        <v>0</v>
      </c>
      <c r="AI65" s="470">
        <f>1+1</f>
        <v>2</v>
      </c>
      <c r="AJ65" s="60">
        <f t="shared" ref="AJ65:AJ75" si="27">SUM(AE65:AI65)</f>
        <v>12</v>
      </c>
      <c r="AK65" s="393"/>
      <c r="AL65" s="60" t="s">
        <v>92</v>
      </c>
      <c r="AM65" s="470">
        <f t="shared" si="25"/>
        <v>0</v>
      </c>
      <c r="AN65" s="470">
        <f t="shared" si="24"/>
        <v>4</v>
      </c>
      <c r="AO65" s="470">
        <f t="shared" si="24"/>
        <v>7</v>
      </c>
      <c r="AP65" s="470">
        <f t="shared" si="24"/>
        <v>0</v>
      </c>
      <c r="AQ65" s="470">
        <f t="shared" si="24"/>
        <v>0</v>
      </c>
      <c r="AR65" s="60">
        <f t="shared" si="26"/>
        <v>11</v>
      </c>
    </row>
    <row r="66" spans="1:44">
      <c r="A66" s="391"/>
      <c r="B66" s="64"/>
      <c r="C66" s="391"/>
      <c r="D66" s="391"/>
      <c r="E66" s="391"/>
      <c r="N66" s="391"/>
      <c r="O66" s="391"/>
      <c r="Q66" s="391"/>
      <c r="R66" s="391"/>
      <c r="S66" s="12"/>
      <c r="U66" s="391"/>
      <c r="AD66" s="60" t="s">
        <v>86</v>
      </c>
      <c r="AE66" s="470">
        <v>0</v>
      </c>
      <c r="AF66" s="470">
        <v>0</v>
      </c>
      <c r="AG66" s="359">
        <f>2+1</f>
        <v>3</v>
      </c>
      <c r="AH66" s="470">
        <v>0</v>
      </c>
      <c r="AI66" s="470">
        <f>1</f>
        <v>1</v>
      </c>
      <c r="AJ66" s="60">
        <f t="shared" si="27"/>
        <v>4</v>
      </c>
      <c r="AK66" s="393"/>
      <c r="AL66" s="60" t="s">
        <v>93</v>
      </c>
      <c r="AM66" s="470">
        <f t="shared" si="25"/>
        <v>0</v>
      </c>
      <c r="AN66" s="470">
        <f t="shared" si="24"/>
        <v>1</v>
      </c>
      <c r="AO66" s="470">
        <f t="shared" si="24"/>
        <v>2</v>
      </c>
      <c r="AP66" s="470">
        <f t="shared" si="24"/>
        <v>3</v>
      </c>
      <c r="AQ66" s="470">
        <f t="shared" si="24"/>
        <v>0</v>
      </c>
      <c r="AR66" s="60">
        <f t="shared" si="26"/>
        <v>6</v>
      </c>
    </row>
    <row r="67" spans="1:44">
      <c r="A67" s="391"/>
      <c r="B67" s="64"/>
      <c r="C67" s="391"/>
      <c r="D67" s="391"/>
      <c r="E67" s="391"/>
      <c r="N67" s="391"/>
      <c r="O67" s="391"/>
      <c r="Q67" s="391"/>
      <c r="R67" s="391"/>
      <c r="S67" s="12"/>
      <c r="U67" s="391"/>
      <c r="AD67" s="60" t="s">
        <v>87</v>
      </c>
      <c r="AE67" s="470">
        <v>0</v>
      </c>
      <c r="AF67" s="417">
        <f>4+3+3</f>
        <v>10</v>
      </c>
      <c r="AG67" s="470">
        <f>2+2+3+6+2</f>
        <v>15</v>
      </c>
      <c r="AH67" s="470">
        <f>1+3+4</f>
        <v>8</v>
      </c>
      <c r="AI67" s="470">
        <v>0</v>
      </c>
      <c r="AJ67" s="60">
        <f t="shared" si="27"/>
        <v>33</v>
      </c>
      <c r="AK67" s="393"/>
      <c r="AL67" s="60" t="s">
        <v>94</v>
      </c>
      <c r="AM67" s="470">
        <f t="shared" si="25"/>
        <v>1</v>
      </c>
      <c r="AN67" s="470">
        <f t="shared" si="24"/>
        <v>1</v>
      </c>
      <c r="AO67" s="470">
        <f t="shared" si="24"/>
        <v>2</v>
      </c>
      <c r="AP67" s="470">
        <f t="shared" si="24"/>
        <v>4</v>
      </c>
      <c r="AQ67" s="470">
        <f t="shared" si="24"/>
        <v>0</v>
      </c>
      <c r="AR67" s="60">
        <f t="shared" si="26"/>
        <v>8</v>
      </c>
    </row>
    <row r="68" spans="1:44">
      <c r="A68" s="391"/>
      <c r="B68" s="64"/>
      <c r="C68" s="391"/>
      <c r="D68" s="391"/>
      <c r="E68" s="391"/>
      <c r="F68" s="64"/>
      <c r="G68" s="64"/>
      <c r="H68" s="64"/>
      <c r="I68" s="64"/>
      <c r="J68" s="64"/>
      <c r="K68" s="391"/>
      <c r="L68" s="391"/>
      <c r="M68" s="391"/>
      <c r="N68" s="391"/>
      <c r="O68" s="391"/>
      <c r="P68" s="391"/>
      <c r="Q68" s="391"/>
      <c r="R68" s="391"/>
      <c r="S68" s="12"/>
      <c r="U68" s="391"/>
      <c r="AD68" s="60" t="s">
        <v>88</v>
      </c>
      <c r="AE68" s="470">
        <v>0</v>
      </c>
      <c r="AF68" s="470">
        <v>0</v>
      </c>
      <c r="AG68" s="470">
        <f>1+1+1+3+1+1</f>
        <v>8</v>
      </c>
      <c r="AH68" s="470">
        <f>1</f>
        <v>1</v>
      </c>
      <c r="AI68" s="470">
        <v>0</v>
      </c>
      <c r="AJ68" s="60">
        <f t="shared" si="27"/>
        <v>9</v>
      </c>
      <c r="AK68" s="393"/>
      <c r="AL68" s="366" t="s">
        <v>482</v>
      </c>
      <c r="AM68" s="470">
        <f t="shared" si="25"/>
        <v>0</v>
      </c>
      <c r="AN68" s="470">
        <f t="shared" si="24"/>
        <v>1</v>
      </c>
      <c r="AO68" s="470">
        <f t="shared" si="24"/>
        <v>2</v>
      </c>
      <c r="AP68" s="470">
        <f t="shared" si="24"/>
        <v>0</v>
      </c>
      <c r="AQ68" s="470">
        <f t="shared" si="24"/>
        <v>0</v>
      </c>
      <c r="AR68" s="366">
        <f t="shared" si="26"/>
        <v>3</v>
      </c>
    </row>
    <row r="69" spans="1:44">
      <c r="B69" s="64"/>
      <c r="C69" s="391"/>
      <c r="D69" s="391"/>
      <c r="E69" s="391"/>
      <c r="F69" s="64"/>
      <c r="G69" s="64"/>
      <c r="H69" s="64"/>
      <c r="I69" s="64"/>
      <c r="J69" s="64"/>
      <c r="K69" s="391"/>
      <c r="L69" s="391"/>
      <c r="M69" s="391"/>
      <c r="N69" s="391"/>
      <c r="O69" s="391"/>
      <c r="P69" s="391"/>
      <c r="Q69" s="391"/>
      <c r="R69" s="391"/>
      <c r="S69" s="12"/>
      <c r="U69" s="391"/>
      <c r="Z69" s="58"/>
      <c r="AA69" s="58"/>
      <c r="AD69" s="60" t="s">
        <v>89</v>
      </c>
      <c r="AE69" s="470">
        <v>0</v>
      </c>
      <c r="AF69" s="470">
        <f>3+3+1</f>
        <v>7</v>
      </c>
      <c r="AG69" s="470">
        <f>1</f>
        <v>1</v>
      </c>
      <c r="AH69" s="470">
        <f>1</f>
        <v>1</v>
      </c>
      <c r="AI69" s="470">
        <v>0</v>
      </c>
      <c r="AJ69" s="60">
        <f t="shared" si="27"/>
        <v>9</v>
      </c>
      <c r="AK69" s="393"/>
      <c r="AL69" s="270" t="s">
        <v>493</v>
      </c>
      <c r="AM69" s="368">
        <f t="shared" ref="AM69:AR69" si="28">SUM(AM57:AM68)</f>
        <v>3</v>
      </c>
      <c r="AN69" s="368">
        <f t="shared" si="28"/>
        <v>46</v>
      </c>
      <c r="AO69" s="368">
        <f t="shared" si="28"/>
        <v>48</v>
      </c>
      <c r="AP69" s="368">
        <f t="shared" si="28"/>
        <v>20</v>
      </c>
      <c r="AQ69" s="368">
        <f t="shared" si="28"/>
        <v>4</v>
      </c>
      <c r="AR69" s="369">
        <f t="shared" si="28"/>
        <v>121</v>
      </c>
    </row>
    <row r="70" spans="1:44">
      <c r="B70" s="64"/>
      <c r="C70" s="391"/>
      <c r="D70" s="391"/>
      <c r="E70" s="391"/>
      <c r="F70" s="64"/>
      <c r="G70" s="64"/>
      <c r="H70" s="64"/>
      <c r="I70" s="64"/>
      <c r="J70" s="64"/>
      <c r="K70" s="391"/>
      <c r="L70" s="391"/>
      <c r="M70" s="391"/>
      <c r="N70" s="391"/>
      <c r="O70" s="391"/>
      <c r="P70" s="391"/>
      <c r="Q70" s="391"/>
      <c r="R70" s="391"/>
      <c r="S70" s="12"/>
      <c r="U70" s="391"/>
      <c r="Z70" s="58"/>
      <c r="AA70" s="58"/>
      <c r="AD70" s="60" t="s">
        <v>90</v>
      </c>
      <c r="AE70" s="470">
        <v>0</v>
      </c>
      <c r="AF70" s="359">
        <v>0</v>
      </c>
      <c r="AG70" s="359">
        <f>1</f>
        <v>1</v>
      </c>
      <c r="AH70" s="470">
        <f>1</f>
        <v>1</v>
      </c>
      <c r="AI70" s="470">
        <f>1</f>
        <v>1</v>
      </c>
      <c r="AJ70" s="60">
        <f t="shared" si="27"/>
        <v>3</v>
      </c>
      <c r="AK70" s="393"/>
      <c r="AL70" s="270" t="s">
        <v>492</v>
      </c>
      <c r="AM70" s="370">
        <f>PRODUCT(AM69*AN47)</f>
        <v>45</v>
      </c>
      <c r="AN70" s="418">
        <f>PRODUCT(AN69*AN48)</f>
        <v>752.96939999999995</v>
      </c>
      <c r="AO70" s="418">
        <f>PRODUCT(AO69*AN49)</f>
        <v>803.84159999999997</v>
      </c>
      <c r="AP70" s="418">
        <f>PRODUCT(AP69*AN50)</f>
        <v>337.73200000000003</v>
      </c>
      <c r="AQ70" s="418">
        <f>PRODUCT(AQ69*AN51)</f>
        <v>68</v>
      </c>
      <c r="AR70" s="419">
        <f>SUM(AM70:AQ70)</f>
        <v>2007.5429999999999</v>
      </c>
    </row>
    <row r="71" spans="1:44">
      <c r="B71" s="64"/>
      <c r="C71" s="391"/>
      <c r="D71" s="391"/>
      <c r="E71" s="391"/>
      <c r="F71" s="64"/>
      <c r="G71" s="64"/>
      <c r="H71" s="64"/>
      <c r="I71" s="64"/>
      <c r="J71" s="64"/>
      <c r="K71" s="391"/>
      <c r="L71" s="391"/>
      <c r="M71" s="391"/>
      <c r="N71" s="391"/>
      <c r="O71" s="391"/>
      <c r="P71" s="391"/>
      <c r="Q71" s="391"/>
      <c r="R71" s="391"/>
      <c r="S71" s="12"/>
      <c r="U71" s="391"/>
      <c r="Z71" s="58"/>
      <c r="AA71" s="58"/>
      <c r="AD71" s="60" t="s">
        <v>91</v>
      </c>
      <c r="AE71" s="470">
        <v>0</v>
      </c>
      <c r="AF71" s="359">
        <f>2+3+1+2+1+1</f>
        <v>10</v>
      </c>
      <c r="AG71" s="470">
        <f>1+1</f>
        <v>2</v>
      </c>
      <c r="AH71" s="470">
        <f>1</f>
        <v>1</v>
      </c>
      <c r="AI71" s="470">
        <v>0</v>
      </c>
      <c r="AJ71" s="60">
        <f t="shared" si="27"/>
        <v>13</v>
      </c>
      <c r="AK71" s="393"/>
      <c r="AL71" s="270" t="s">
        <v>526</v>
      </c>
      <c r="AM71" s="370">
        <f>AM69*AM47</f>
        <v>300</v>
      </c>
      <c r="AN71" s="370">
        <f>AN69*AM48</f>
        <v>6900</v>
      </c>
      <c r="AO71" s="370">
        <f>AO69*AM49</f>
        <v>9600</v>
      </c>
      <c r="AP71" s="370">
        <f>AP69*AM50</f>
        <v>5000</v>
      </c>
      <c r="AQ71" s="370">
        <f>AQ69*AM51</f>
        <v>1200</v>
      </c>
      <c r="AR71" s="270">
        <f>SUM(AM71:AQ71)</f>
        <v>23000</v>
      </c>
    </row>
    <row r="72" spans="1:44">
      <c r="B72" s="64"/>
      <c r="C72" s="391"/>
      <c r="D72" s="391"/>
      <c r="E72" s="391"/>
      <c r="F72" s="64"/>
      <c r="G72" s="64"/>
      <c r="H72" s="64"/>
      <c r="I72" s="64"/>
      <c r="J72" s="64"/>
      <c r="K72" s="391"/>
      <c r="L72" s="391"/>
      <c r="M72" s="391"/>
      <c r="N72" s="391"/>
      <c r="O72" s="391"/>
      <c r="P72" s="391"/>
      <c r="Q72" s="391"/>
      <c r="R72" s="391"/>
      <c r="S72" s="12"/>
      <c r="U72" s="391"/>
      <c r="Z72" s="58"/>
      <c r="AA72" s="58"/>
      <c r="AD72" s="60" t="s">
        <v>92</v>
      </c>
      <c r="AE72" s="470">
        <v>0</v>
      </c>
      <c r="AF72" s="359">
        <f>2+2</f>
        <v>4</v>
      </c>
      <c r="AG72" s="470">
        <f>6+1</f>
        <v>7</v>
      </c>
      <c r="AH72" s="470">
        <v>0</v>
      </c>
      <c r="AI72" s="470">
        <v>0</v>
      </c>
      <c r="AJ72" s="60">
        <f t="shared" si="27"/>
        <v>11</v>
      </c>
      <c r="AK72" s="393"/>
      <c r="AL72" s="393"/>
      <c r="AM72" s="393"/>
      <c r="AN72" s="393"/>
      <c r="AO72" s="393"/>
      <c r="AP72" s="393"/>
      <c r="AQ72" s="393"/>
    </row>
    <row r="73" spans="1:44">
      <c r="B73" s="64"/>
      <c r="C73" s="391"/>
      <c r="D73" s="391"/>
      <c r="E73" s="391"/>
      <c r="F73" s="64"/>
      <c r="G73" s="64"/>
      <c r="H73" s="64"/>
      <c r="I73" s="64"/>
      <c r="J73" s="64"/>
      <c r="K73" s="391"/>
      <c r="L73" s="391"/>
      <c r="M73" s="391"/>
      <c r="N73" s="391"/>
      <c r="O73" s="391"/>
      <c r="P73" s="391"/>
      <c r="Q73" s="391"/>
      <c r="R73" s="391"/>
      <c r="S73" s="12"/>
      <c r="U73" s="391"/>
      <c r="Z73" s="58"/>
      <c r="AD73" s="60" t="s">
        <v>93</v>
      </c>
      <c r="AE73" s="470">
        <v>0</v>
      </c>
      <c r="AF73" s="359">
        <v>0</v>
      </c>
      <c r="AG73" s="470">
        <f>1+1</f>
        <v>2</v>
      </c>
      <c r="AH73" s="470">
        <f>3</f>
        <v>3</v>
      </c>
      <c r="AI73" s="470">
        <v>0</v>
      </c>
      <c r="AJ73" s="60">
        <f t="shared" si="27"/>
        <v>5</v>
      </c>
      <c r="AK73" s="393"/>
      <c r="AL73" s="393"/>
      <c r="AM73" s="393"/>
      <c r="AN73" s="393"/>
      <c r="AO73" s="393"/>
      <c r="AP73" s="393"/>
      <c r="AQ73" s="393"/>
    </row>
    <row r="74" spans="1:44">
      <c r="B74" s="64"/>
      <c r="C74" s="391"/>
      <c r="D74" s="391"/>
      <c r="E74" s="391"/>
      <c r="F74" s="64"/>
      <c r="G74" s="64"/>
      <c r="H74" s="64"/>
      <c r="I74" s="64"/>
      <c r="J74" s="64"/>
      <c r="K74" s="391"/>
      <c r="L74" s="391"/>
      <c r="M74" s="391"/>
      <c r="N74" s="391"/>
      <c r="O74" s="391"/>
      <c r="P74" s="391"/>
      <c r="Q74" s="391"/>
      <c r="R74" s="391"/>
      <c r="S74" s="12"/>
      <c r="U74" s="391"/>
      <c r="Z74" s="58"/>
      <c r="AD74" s="60" t="s">
        <v>94</v>
      </c>
      <c r="AE74" s="470">
        <v>0</v>
      </c>
      <c r="AF74" s="417">
        <f>1</f>
        <v>1</v>
      </c>
      <c r="AG74" s="470">
        <f>1+1</f>
        <v>2</v>
      </c>
      <c r="AH74" s="470">
        <f>4</f>
        <v>4</v>
      </c>
      <c r="AI74" s="470">
        <v>0</v>
      </c>
      <c r="AJ74" s="60">
        <f t="shared" si="27"/>
        <v>7</v>
      </c>
    </row>
    <row r="75" spans="1:44">
      <c r="B75" s="64"/>
      <c r="C75" s="391"/>
      <c r="D75" s="391"/>
      <c r="E75" s="391"/>
      <c r="F75" s="64"/>
      <c r="G75" s="64"/>
      <c r="H75" s="64"/>
      <c r="I75" s="64"/>
      <c r="J75" s="64"/>
      <c r="K75" s="391"/>
      <c r="L75" s="391"/>
      <c r="M75" s="391"/>
      <c r="N75" s="391"/>
      <c r="O75" s="391"/>
      <c r="P75" s="391"/>
      <c r="Q75" s="391"/>
      <c r="R75" s="391"/>
      <c r="S75" s="12"/>
      <c r="U75" s="391"/>
      <c r="AD75" s="366" t="s">
        <v>482</v>
      </c>
      <c r="AE75" s="367">
        <v>0</v>
      </c>
      <c r="AF75" s="367">
        <f>1</f>
        <v>1</v>
      </c>
      <c r="AG75" s="367">
        <f>2</f>
        <v>2</v>
      </c>
      <c r="AH75" s="367">
        <v>0</v>
      </c>
      <c r="AI75" s="367">
        <v>0</v>
      </c>
      <c r="AJ75" s="366">
        <f t="shared" si="27"/>
        <v>3</v>
      </c>
    </row>
    <row r="76" spans="1:44">
      <c r="B76" s="64"/>
      <c r="C76" s="391"/>
      <c r="D76" s="391"/>
      <c r="E76" s="391"/>
      <c r="F76" s="64"/>
      <c r="G76" s="64"/>
      <c r="H76" s="64"/>
      <c r="I76" s="64"/>
      <c r="J76" s="64"/>
      <c r="K76" s="391"/>
      <c r="L76" s="391"/>
      <c r="M76" s="391"/>
      <c r="N76" s="391"/>
      <c r="O76" s="391"/>
      <c r="P76" s="391"/>
      <c r="Q76" s="391"/>
      <c r="R76" s="391"/>
      <c r="S76" s="12"/>
      <c r="U76" s="391"/>
      <c r="AD76" s="270" t="s">
        <v>493</v>
      </c>
      <c r="AE76" s="368">
        <f t="shared" ref="AE76:AJ76" si="29">SUM(AE64:AE75)</f>
        <v>0</v>
      </c>
      <c r="AF76" s="368">
        <f t="shared" si="29"/>
        <v>44</v>
      </c>
      <c r="AG76" s="368">
        <f t="shared" si="29"/>
        <v>48</v>
      </c>
      <c r="AH76" s="368">
        <f t="shared" si="29"/>
        <v>20</v>
      </c>
      <c r="AI76" s="368">
        <f t="shared" si="29"/>
        <v>4</v>
      </c>
      <c r="AJ76" s="369">
        <f t="shared" si="29"/>
        <v>116</v>
      </c>
    </row>
    <row r="77" spans="1:44">
      <c r="B77" s="64"/>
      <c r="C77" s="391"/>
      <c r="D77" s="391"/>
      <c r="E77" s="391"/>
      <c r="F77" s="64"/>
      <c r="G77" s="64"/>
      <c r="H77" s="64"/>
      <c r="I77" s="64"/>
      <c r="J77" s="64"/>
      <c r="K77" s="391"/>
      <c r="L77" s="391"/>
      <c r="M77" s="391"/>
      <c r="N77" s="391"/>
      <c r="O77" s="391"/>
      <c r="P77" s="391"/>
      <c r="Q77" s="391"/>
      <c r="R77" s="391"/>
      <c r="S77" s="12"/>
      <c r="U77" s="391"/>
      <c r="AD77" s="270" t="s">
        <v>492</v>
      </c>
      <c r="AE77" s="418">
        <f>PRODUCT(AE76*AN47)</f>
        <v>0</v>
      </c>
      <c r="AF77" s="418">
        <f>PRODUCT(AF76*AN48)</f>
        <v>720.23159999999996</v>
      </c>
      <c r="AG77" s="418">
        <f>PRODUCT(AG76*AN49)</f>
        <v>803.84159999999997</v>
      </c>
      <c r="AH77" s="418">
        <f>PRODUCT(AH76*AN50)</f>
        <v>337.73200000000003</v>
      </c>
      <c r="AI77" s="418">
        <f>PRODUCT(AI76*AN51)</f>
        <v>68</v>
      </c>
      <c r="AJ77" s="419">
        <f>SUM(AE77:AI77)</f>
        <v>1929.8051999999998</v>
      </c>
    </row>
    <row r="78" spans="1:44">
      <c r="B78" s="64"/>
      <c r="C78" s="391"/>
      <c r="D78" s="391"/>
      <c r="E78" s="391"/>
      <c r="F78" s="64"/>
      <c r="G78" s="64"/>
      <c r="H78" s="64"/>
      <c r="I78" s="64"/>
      <c r="J78" s="64"/>
      <c r="K78" s="391"/>
      <c r="L78" s="391"/>
      <c r="M78" s="391"/>
      <c r="N78" s="391"/>
      <c r="O78" s="391"/>
      <c r="P78" s="391"/>
      <c r="Q78" s="391"/>
      <c r="R78" s="391"/>
      <c r="S78" s="12"/>
      <c r="U78" s="391"/>
      <c r="AD78" s="270" t="s">
        <v>526</v>
      </c>
      <c r="AE78" s="370">
        <f>AE76*AM47</f>
        <v>0</v>
      </c>
      <c r="AF78" s="370">
        <f>AF76*AM48</f>
        <v>6600</v>
      </c>
      <c r="AG78" s="370">
        <f>AG76*AM49</f>
        <v>9600</v>
      </c>
      <c r="AH78" s="370">
        <f>AH76*AM50</f>
        <v>5000</v>
      </c>
      <c r="AI78" s="370">
        <f>AI76*AM51</f>
        <v>1200</v>
      </c>
      <c r="AJ78" s="270">
        <f>SUM(AE78:AI78)</f>
        <v>22400</v>
      </c>
    </row>
    <row r="79" spans="1:44">
      <c r="B79" s="64"/>
      <c r="C79" s="391"/>
      <c r="D79" s="391"/>
      <c r="E79" s="391"/>
      <c r="F79" s="64"/>
      <c r="G79" s="64"/>
      <c r="H79" s="64"/>
      <c r="I79" s="64"/>
      <c r="J79" s="64"/>
      <c r="K79" s="391"/>
      <c r="L79" s="391"/>
      <c r="M79" s="391"/>
      <c r="N79" s="391"/>
      <c r="O79" s="391"/>
      <c r="P79" s="391"/>
      <c r="Q79" s="391"/>
      <c r="R79" s="391"/>
      <c r="S79" s="12"/>
      <c r="U79" s="391"/>
      <c r="AD79" s="393"/>
      <c r="AE79" s="393"/>
      <c r="AF79" s="393"/>
      <c r="AG79" s="393"/>
      <c r="AH79" s="393"/>
      <c r="AI79" s="393"/>
      <c r="AJ79" s="393"/>
    </row>
    <row r="80" spans="1:44">
      <c r="B80" s="64"/>
      <c r="C80" s="391"/>
      <c r="D80" s="391"/>
      <c r="E80" s="391"/>
      <c r="F80" s="64"/>
      <c r="G80" s="64"/>
      <c r="H80" s="64"/>
      <c r="I80" s="64"/>
      <c r="J80" s="64"/>
      <c r="K80" s="391"/>
      <c r="L80" s="391"/>
      <c r="M80" s="391"/>
      <c r="N80" s="391"/>
      <c r="O80" s="391"/>
      <c r="P80" s="391"/>
      <c r="Q80" s="391"/>
      <c r="R80" s="391"/>
      <c r="S80" s="12"/>
      <c r="U80" s="391"/>
      <c r="AD80" s="393"/>
      <c r="AE80" s="393"/>
      <c r="AF80" s="393"/>
      <c r="AG80" s="393"/>
      <c r="AH80" s="393"/>
      <c r="AI80" s="393"/>
      <c r="AJ80" s="393"/>
    </row>
    <row r="81" spans="2:36">
      <c r="B81" s="64"/>
      <c r="C81" s="391"/>
      <c r="D81" s="391"/>
      <c r="E81" s="391"/>
      <c r="F81" s="64"/>
      <c r="G81" s="64"/>
      <c r="H81" s="64"/>
      <c r="I81" s="64"/>
      <c r="J81" s="64"/>
      <c r="K81" s="391"/>
      <c r="L81" s="391"/>
      <c r="M81" s="391"/>
      <c r="N81" s="391"/>
      <c r="O81" s="391"/>
      <c r="P81" s="391"/>
      <c r="Q81" s="391"/>
      <c r="R81" s="391"/>
      <c r="S81" s="12"/>
      <c r="U81" s="391"/>
      <c r="AD81" s="393"/>
      <c r="AE81" s="393"/>
      <c r="AF81" s="393"/>
      <c r="AG81" s="393"/>
      <c r="AH81" s="393"/>
      <c r="AI81" s="393"/>
      <c r="AJ81" s="393"/>
    </row>
    <row r="82" spans="2:36">
      <c r="B82" s="64"/>
      <c r="C82" s="391"/>
      <c r="D82" s="391"/>
      <c r="E82" s="391"/>
      <c r="F82" s="64"/>
      <c r="G82" s="64"/>
      <c r="H82" s="64"/>
      <c r="I82" s="64"/>
      <c r="J82" s="64"/>
      <c r="K82" s="391"/>
      <c r="L82" s="391"/>
      <c r="M82" s="391"/>
      <c r="N82" s="391"/>
      <c r="O82" s="391"/>
      <c r="P82" s="391"/>
      <c r="Q82" s="391"/>
      <c r="R82" s="391"/>
      <c r="S82" s="12"/>
      <c r="U82" s="391"/>
    </row>
    <row r="83" spans="2:36">
      <c r="B83" s="64"/>
      <c r="C83" s="391"/>
      <c r="D83" s="391"/>
      <c r="E83" s="391"/>
      <c r="F83" s="64"/>
      <c r="G83" s="64"/>
      <c r="H83" s="64"/>
      <c r="I83" s="64"/>
      <c r="J83" s="64"/>
      <c r="K83" s="391"/>
      <c r="L83" s="391"/>
      <c r="M83" s="391"/>
      <c r="N83" s="391"/>
      <c r="O83" s="391"/>
      <c r="P83" s="391"/>
      <c r="Q83" s="391"/>
      <c r="R83" s="391"/>
      <c r="S83" s="12"/>
      <c r="U83" s="391"/>
    </row>
    <row r="84" spans="2:36">
      <c r="B84" s="64"/>
      <c r="C84" s="391"/>
      <c r="D84" s="391"/>
      <c r="E84" s="391"/>
      <c r="F84" s="64"/>
      <c r="G84" s="64"/>
      <c r="H84" s="64"/>
      <c r="I84" s="64"/>
      <c r="J84" s="64"/>
      <c r="K84" s="391"/>
      <c r="L84" s="391"/>
      <c r="M84" s="391"/>
      <c r="N84" s="391"/>
      <c r="O84" s="391"/>
      <c r="P84" s="391"/>
      <c r="Q84" s="391"/>
      <c r="R84" s="391"/>
      <c r="S84" s="12"/>
      <c r="U84" s="391"/>
    </row>
    <row r="85" spans="2:36">
      <c r="B85" s="64"/>
      <c r="C85" s="391"/>
      <c r="D85" s="391"/>
      <c r="E85" s="391"/>
      <c r="F85" s="64"/>
      <c r="G85" s="64"/>
      <c r="H85" s="64"/>
      <c r="I85" s="64"/>
      <c r="J85" s="64"/>
      <c r="K85" s="391"/>
      <c r="L85" s="391"/>
      <c r="M85" s="391"/>
      <c r="N85" s="391"/>
      <c r="O85" s="391"/>
      <c r="P85" s="391"/>
      <c r="Q85" s="391"/>
      <c r="R85" s="391"/>
      <c r="S85" s="12"/>
      <c r="U85" s="391"/>
    </row>
    <row r="86" spans="2:36">
      <c r="B86" s="64"/>
      <c r="C86" s="391"/>
      <c r="D86" s="391"/>
      <c r="E86" s="391"/>
      <c r="F86" s="64"/>
      <c r="G86" s="64"/>
      <c r="H86" s="64"/>
      <c r="I86" s="64"/>
      <c r="J86" s="64"/>
      <c r="K86" s="391"/>
      <c r="L86" s="391"/>
      <c r="M86" s="391"/>
      <c r="N86" s="391"/>
      <c r="O86" s="391"/>
      <c r="P86" s="391"/>
      <c r="Q86" s="391"/>
      <c r="R86" s="391"/>
      <c r="S86" s="12"/>
      <c r="U86" s="391"/>
    </row>
    <row r="87" spans="2:36">
      <c r="B87" s="64"/>
      <c r="C87" s="391"/>
      <c r="D87" s="391"/>
      <c r="E87" s="391"/>
      <c r="F87" s="64"/>
      <c r="G87" s="64"/>
      <c r="H87" s="64"/>
      <c r="I87" s="64"/>
      <c r="J87" s="64"/>
      <c r="K87" s="391"/>
      <c r="L87" s="391"/>
      <c r="M87" s="391"/>
      <c r="N87" s="391"/>
      <c r="O87" s="391"/>
      <c r="P87" s="391"/>
      <c r="Q87" s="391"/>
      <c r="R87" s="391"/>
      <c r="S87" s="12"/>
      <c r="U87" s="391"/>
    </row>
    <row r="88" spans="2:36">
      <c r="B88" s="64"/>
      <c r="C88" s="391"/>
      <c r="D88" s="391"/>
      <c r="E88" s="391"/>
      <c r="F88" s="64"/>
      <c r="G88" s="64"/>
      <c r="H88" s="64"/>
      <c r="I88" s="64"/>
      <c r="J88" s="64"/>
      <c r="K88" s="391"/>
      <c r="L88" s="391"/>
      <c r="M88" s="391"/>
      <c r="N88" s="391"/>
      <c r="O88" s="391"/>
      <c r="P88" s="391"/>
      <c r="Q88" s="391"/>
      <c r="R88" s="391"/>
      <c r="S88" s="12"/>
      <c r="U88" s="391"/>
    </row>
    <row r="89" spans="2:36">
      <c r="B89" s="64"/>
      <c r="C89" s="391"/>
      <c r="D89" s="391"/>
      <c r="E89" s="391"/>
      <c r="F89" s="64"/>
      <c r="G89" s="64"/>
      <c r="H89" s="64"/>
      <c r="I89" s="64"/>
      <c r="J89" s="64"/>
      <c r="K89" s="391"/>
      <c r="L89" s="391"/>
      <c r="M89" s="391"/>
      <c r="N89" s="391"/>
      <c r="O89" s="391"/>
      <c r="P89" s="391"/>
      <c r="Q89" s="391"/>
      <c r="R89" s="391"/>
      <c r="S89" s="12"/>
      <c r="U89" s="391"/>
    </row>
    <row r="90" spans="2:36">
      <c r="B90" s="64"/>
      <c r="C90" s="391"/>
      <c r="D90" s="391"/>
      <c r="E90" s="391"/>
      <c r="F90" s="64"/>
      <c r="G90" s="64"/>
      <c r="H90" s="64"/>
      <c r="I90" s="64"/>
      <c r="J90" s="64"/>
      <c r="K90" s="391"/>
      <c r="L90" s="391"/>
      <c r="M90" s="391"/>
      <c r="N90" s="391"/>
      <c r="O90" s="391"/>
      <c r="P90" s="391"/>
      <c r="Q90" s="391"/>
      <c r="R90" s="391"/>
      <c r="S90" s="12"/>
      <c r="U90" s="391"/>
    </row>
    <row r="91" spans="2:36">
      <c r="B91" s="64"/>
      <c r="C91" s="391"/>
      <c r="D91" s="391"/>
      <c r="E91" s="391"/>
      <c r="F91" s="64"/>
      <c r="G91" s="64"/>
      <c r="H91" s="64"/>
      <c r="I91" s="64"/>
      <c r="J91" s="64"/>
      <c r="K91" s="391"/>
      <c r="L91" s="391"/>
      <c r="M91" s="391"/>
      <c r="N91" s="391"/>
      <c r="O91" s="391"/>
      <c r="P91" s="391"/>
      <c r="Q91" s="391"/>
      <c r="R91" s="391"/>
      <c r="S91" s="12"/>
      <c r="U91" s="391"/>
    </row>
    <row r="92" spans="2:36">
      <c r="B92" s="64"/>
      <c r="C92" s="391"/>
      <c r="D92" s="391"/>
      <c r="E92" s="391"/>
      <c r="F92" s="64"/>
      <c r="G92" s="64"/>
      <c r="H92" s="64"/>
      <c r="I92" s="64"/>
      <c r="J92" s="64"/>
      <c r="K92" s="391"/>
      <c r="L92" s="391"/>
      <c r="M92" s="391"/>
      <c r="N92" s="391"/>
      <c r="O92" s="391"/>
      <c r="P92" s="391"/>
      <c r="Q92" s="391"/>
      <c r="R92" s="391"/>
      <c r="S92" s="12"/>
      <c r="U92" s="391"/>
    </row>
    <row r="93" spans="2:36">
      <c r="B93" s="64"/>
      <c r="C93" s="391"/>
      <c r="D93" s="391"/>
      <c r="E93" s="391"/>
      <c r="F93" s="64"/>
      <c r="G93" s="64"/>
      <c r="H93" s="64"/>
      <c r="I93" s="64"/>
      <c r="J93" s="64"/>
      <c r="K93" s="391"/>
      <c r="L93" s="391"/>
      <c r="M93" s="391"/>
      <c r="N93" s="391"/>
      <c r="O93" s="391"/>
      <c r="P93" s="391"/>
      <c r="Q93" s="391"/>
      <c r="R93" s="391"/>
      <c r="S93" s="12"/>
      <c r="U93" s="391"/>
    </row>
    <row r="94" spans="2:36">
      <c r="B94" s="64"/>
      <c r="C94" s="391"/>
      <c r="D94" s="391"/>
      <c r="E94" s="391"/>
      <c r="F94" s="64"/>
      <c r="G94" s="64"/>
      <c r="H94" s="64"/>
      <c r="I94" s="64"/>
      <c r="J94" s="64"/>
      <c r="K94" s="391"/>
      <c r="L94" s="391"/>
      <c r="M94" s="391"/>
      <c r="N94" s="391"/>
      <c r="O94" s="391"/>
      <c r="P94" s="391"/>
      <c r="Q94" s="391"/>
      <c r="R94" s="391"/>
      <c r="S94" s="12"/>
      <c r="U94" s="391"/>
    </row>
    <row r="95" spans="2:36">
      <c r="B95" s="64"/>
      <c r="C95" s="391"/>
      <c r="D95" s="391"/>
      <c r="E95" s="391"/>
      <c r="F95" s="64"/>
      <c r="G95" s="64"/>
      <c r="H95" s="64"/>
      <c r="I95" s="64"/>
      <c r="J95" s="64"/>
      <c r="K95" s="391"/>
      <c r="L95" s="391"/>
      <c r="M95" s="391"/>
      <c r="N95" s="391"/>
      <c r="O95" s="391"/>
      <c r="P95" s="391"/>
      <c r="Q95" s="391"/>
      <c r="R95" s="391"/>
      <c r="S95" s="12"/>
      <c r="U95" s="391"/>
    </row>
    <row r="96" spans="2:36">
      <c r="B96" s="64"/>
      <c r="C96" s="391"/>
      <c r="D96" s="391"/>
      <c r="E96" s="391"/>
      <c r="F96" s="64"/>
      <c r="G96" s="64"/>
      <c r="H96" s="64"/>
      <c r="I96" s="64"/>
      <c r="J96" s="64"/>
      <c r="K96" s="391"/>
      <c r="L96" s="391"/>
      <c r="M96" s="391"/>
      <c r="N96" s="391"/>
      <c r="O96" s="391"/>
      <c r="P96" s="391"/>
      <c r="Q96" s="391"/>
      <c r="R96" s="391"/>
      <c r="S96" s="12"/>
      <c r="U96" s="391"/>
    </row>
    <row r="97" spans="2:21">
      <c r="B97" s="64"/>
      <c r="C97" s="391"/>
      <c r="D97" s="391"/>
      <c r="E97" s="391"/>
      <c r="F97" s="64"/>
      <c r="G97" s="64"/>
      <c r="H97" s="64"/>
      <c r="I97" s="64"/>
      <c r="J97" s="64"/>
      <c r="K97" s="391"/>
      <c r="L97" s="391"/>
      <c r="M97" s="391"/>
      <c r="N97" s="391"/>
      <c r="O97" s="391"/>
      <c r="P97" s="391"/>
      <c r="Q97" s="391"/>
      <c r="R97" s="391"/>
      <c r="S97" s="12"/>
      <c r="U97" s="391"/>
    </row>
    <row r="98" spans="2:21">
      <c r="B98" s="64"/>
      <c r="C98" s="391"/>
      <c r="D98" s="391"/>
      <c r="E98" s="391"/>
      <c r="F98" s="64"/>
      <c r="G98" s="64"/>
      <c r="H98" s="64"/>
      <c r="I98" s="64"/>
      <c r="J98" s="64"/>
      <c r="K98" s="391"/>
      <c r="L98" s="391"/>
      <c r="M98" s="391"/>
      <c r="N98" s="391"/>
      <c r="O98" s="391"/>
      <c r="P98" s="391"/>
      <c r="Q98" s="391"/>
      <c r="R98" s="391"/>
      <c r="S98" s="12"/>
      <c r="U98" s="391"/>
    </row>
    <row r="99" spans="2:21">
      <c r="B99" s="64"/>
      <c r="C99" s="391"/>
      <c r="D99" s="391"/>
      <c r="E99" s="391"/>
      <c r="F99" s="64"/>
      <c r="G99" s="64"/>
      <c r="H99" s="64"/>
      <c r="I99" s="64"/>
      <c r="J99" s="64"/>
      <c r="K99" s="391"/>
      <c r="L99" s="391"/>
      <c r="M99" s="391"/>
      <c r="N99" s="391"/>
      <c r="O99" s="391"/>
      <c r="P99" s="391"/>
      <c r="Q99" s="391"/>
      <c r="R99" s="391"/>
      <c r="S99" s="12"/>
      <c r="U99" s="391"/>
    </row>
    <row r="100" spans="2:21">
      <c r="B100" s="64"/>
      <c r="C100" s="391"/>
      <c r="D100" s="391"/>
      <c r="E100" s="391"/>
      <c r="F100" s="64"/>
      <c r="G100" s="64"/>
      <c r="H100" s="64"/>
      <c r="I100" s="64"/>
      <c r="J100" s="64"/>
      <c r="K100" s="391"/>
      <c r="L100" s="391"/>
      <c r="M100" s="391"/>
      <c r="N100" s="391"/>
      <c r="O100" s="391"/>
      <c r="P100" s="391"/>
      <c r="Q100" s="391"/>
      <c r="R100" s="391"/>
      <c r="S100" s="12"/>
      <c r="U100" s="391"/>
    </row>
    <row r="101" spans="2:21">
      <c r="B101" s="64"/>
      <c r="C101" s="391"/>
      <c r="D101" s="391"/>
      <c r="E101" s="391"/>
      <c r="F101" s="64"/>
      <c r="G101" s="64"/>
      <c r="H101" s="64"/>
      <c r="I101" s="64"/>
      <c r="J101" s="64"/>
      <c r="K101" s="391"/>
      <c r="L101" s="391"/>
      <c r="M101" s="391"/>
      <c r="N101" s="391"/>
      <c r="O101" s="391"/>
      <c r="P101" s="391"/>
      <c r="Q101" s="391"/>
      <c r="R101" s="391"/>
      <c r="S101" s="12"/>
      <c r="U101" s="391"/>
    </row>
    <row r="102" spans="2:21">
      <c r="B102" s="64"/>
      <c r="C102" s="391"/>
      <c r="D102" s="391"/>
      <c r="E102" s="391"/>
      <c r="F102" s="64"/>
      <c r="G102" s="64"/>
      <c r="H102" s="64"/>
      <c r="I102" s="64"/>
      <c r="J102" s="64"/>
      <c r="K102" s="391"/>
      <c r="L102" s="391"/>
      <c r="M102" s="391"/>
      <c r="N102" s="391"/>
      <c r="O102" s="391"/>
      <c r="P102" s="391"/>
      <c r="Q102" s="391"/>
      <c r="R102" s="391"/>
      <c r="S102" s="12"/>
      <c r="U102" s="391"/>
    </row>
    <row r="103" spans="2:21">
      <c r="B103" s="64"/>
      <c r="C103" s="391"/>
      <c r="D103" s="391"/>
      <c r="E103" s="391"/>
      <c r="F103" s="64"/>
      <c r="G103" s="64"/>
      <c r="H103" s="64"/>
      <c r="I103" s="64"/>
      <c r="J103" s="64"/>
      <c r="K103" s="391"/>
      <c r="L103" s="391"/>
      <c r="M103" s="391"/>
      <c r="N103" s="391"/>
      <c r="O103" s="391"/>
      <c r="P103" s="391"/>
      <c r="Q103" s="391"/>
      <c r="R103" s="391"/>
      <c r="S103" s="12"/>
      <c r="U103" s="391"/>
    </row>
    <row r="104" spans="2:21">
      <c r="B104" s="64"/>
      <c r="C104" s="391"/>
      <c r="D104" s="391"/>
      <c r="E104" s="391"/>
      <c r="F104" s="64"/>
      <c r="G104" s="64"/>
      <c r="H104" s="64"/>
      <c r="I104" s="64"/>
      <c r="J104" s="64"/>
      <c r="K104" s="391"/>
      <c r="L104" s="391"/>
      <c r="M104" s="391"/>
      <c r="N104" s="391"/>
      <c r="O104" s="391"/>
      <c r="P104" s="391"/>
      <c r="Q104" s="391"/>
      <c r="R104" s="391"/>
      <c r="S104" s="12"/>
      <c r="U104" s="391"/>
    </row>
    <row r="105" spans="2:21">
      <c r="B105" s="64"/>
      <c r="C105" s="391"/>
      <c r="D105" s="391"/>
      <c r="E105" s="391"/>
      <c r="F105" s="64"/>
      <c r="G105" s="64"/>
      <c r="H105" s="64"/>
      <c r="I105" s="64"/>
      <c r="J105" s="64"/>
      <c r="K105" s="391"/>
      <c r="L105" s="391"/>
      <c r="M105" s="391"/>
      <c r="N105" s="391"/>
      <c r="O105" s="391"/>
      <c r="P105" s="391"/>
      <c r="Q105" s="391"/>
      <c r="R105" s="391"/>
      <c r="S105" s="12"/>
      <c r="U105" s="391"/>
    </row>
    <row r="106" spans="2:21">
      <c r="B106" s="64"/>
      <c r="C106" s="391"/>
      <c r="D106" s="391"/>
      <c r="E106" s="391"/>
      <c r="F106" s="64"/>
      <c r="G106" s="64"/>
      <c r="H106" s="64"/>
      <c r="I106" s="64"/>
      <c r="J106" s="64"/>
      <c r="K106" s="391"/>
      <c r="L106" s="391"/>
      <c r="M106" s="391"/>
      <c r="N106" s="391"/>
      <c r="O106" s="391"/>
      <c r="P106" s="391"/>
      <c r="Q106" s="391"/>
      <c r="R106" s="391"/>
      <c r="S106" s="12"/>
      <c r="U106" s="391"/>
    </row>
    <row r="107" spans="2:21">
      <c r="B107" s="64"/>
      <c r="C107" s="391"/>
      <c r="D107" s="391"/>
      <c r="E107" s="391"/>
      <c r="F107" s="64"/>
      <c r="G107" s="64"/>
      <c r="H107" s="64"/>
      <c r="I107" s="64"/>
      <c r="J107" s="64"/>
      <c r="K107" s="391"/>
      <c r="L107" s="391"/>
      <c r="M107" s="391"/>
      <c r="N107" s="391"/>
      <c r="O107" s="391"/>
      <c r="P107" s="391"/>
      <c r="Q107" s="391"/>
      <c r="R107" s="391"/>
      <c r="S107" s="12"/>
      <c r="U107" s="391"/>
    </row>
    <row r="108" spans="2:21">
      <c r="B108" s="64"/>
      <c r="C108" s="391"/>
      <c r="D108" s="391"/>
      <c r="E108" s="391"/>
      <c r="F108" s="64"/>
      <c r="G108" s="64"/>
      <c r="H108" s="64"/>
      <c r="I108" s="64"/>
      <c r="J108" s="64"/>
      <c r="K108" s="391"/>
      <c r="L108" s="391"/>
      <c r="M108" s="391"/>
      <c r="N108" s="391"/>
      <c r="O108" s="391"/>
      <c r="P108" s="391"/>
      <c r="Q108" s="391"/>
      <c r="R108" s="391"/>
      <c r="S108" s="12"/>
      <c r="U108" s="391"/>
    </row>
    <row r="109" spans="2:21">
      <c r="B109" s="64"/>
      <c r="C109" s="391"/>
      <c r="D109" s="391"/>
      <c r="E109" s="391"/>
      <c r="F109" s="64"/>
      <c r="G109" s="64"/>
      <c r="H109" s="64"/>
      <c r="I109" s="64"/>
      <c r="J109" s="64"/>
      <c r="K109" s="391"/>
      <c r="L109" s="391"/>
      <c r="M109" s="391"/>
      <c r="N109" s="391"/>
      <c r="O109" s="391"/>
      <c r="P109" s="391"/>
      <c r="Q109" s="391"/>
      <c r="R109" s="391"/>
      <c r="S109" s="12"/>
      <c r="U109" s="391"/>
    </row>
    <row r="110" spans="2:21">
      <c r="B110" s="64"/>
      <c r="C110" s="391"/>
      <c r="D110" s="391"/>
      <c r="E110" s="391"/>
      <c r="F110" s="64"/>
      <c r="G110" s="64"/>
      <c r="H110" s="64"/>
      <c r="I110" s="64"/>
      <c r="J110" s="64"/>
      <c r="K110" s="391"/>
      <c r="L110" s="391"/>
      <c r="M110" s="391"/>
      <c r="N110" s="391"/>
      <c r="O110" s="391"/>
      <c r="P110" s="391"/>
      <c r="Q110" s="391"/>
      <c r="R110" s="391"/>
      <c r="S110" s="12"/>
      <c r="U110" s="391"/>
    </row>
    <row r="111" spans="2:21">
      <c r="B111" s="64"/>
      <c r="C111" s="391"/>
      <c r="D111" s="391"/>
      <c r="E111" s="391"/>
      <c r="F111" s="64"/>
      <c r="G111" s="64"/>
      <c r="H111" s="64"/>
      <c r="I111" s="64"/>
      <c r="J111" s="64"/>
      <c r="K111" s="391"/>
      <c r="L111" s="391"/>
      <c r="M111" s="391"/>
      <c r="N111" s="391"/>
      <c r="O111" s="391"/>
      <c r="P111" s="391"/>
      <c r="Q111" s="391"/>
      <c r="R111" s="391"/>
      <c r="S111" s="12"/>
      <c r="U111" s="391"/>
    </row>
    <row r="112" spans="2:21">
      <c r="B112" s="64"/>
      <c r="C112" s="391"/>
      <c r="D112" s="391"/>
      <c r="E112" s="391"/>
      <c r="F112" s="64"/>
      <c r="G112" s="64"/>
      <c r="H112" s="64"/>
      <c r="I112" s="64"/>
      <c r="J112" s="64"/>
      <c r="K112" s="391"/>
      <c r="L112" s="391"/>
      <c r="M112" s="391"/>
      <c r="N112" s="391"/>
      <c r="O112" s="391"/>
      <c r="P112" s="391"/>
      <c r="Q112" s="391"/>
      <c r="R112" s="391"/>
      <c r="S112" s="12"/>
      <c r="U112" s="391"/>
    </row>
    <row r="113" spans="1:21">
      <c r="B113" s="64"/>
      <c r="C113" s="391"/>
      <c r="D113" s="391"/>
      <c r="E113" s="391"/>
      <c r="F113" s="64"/>
      <c r="G113" s="64"/>
      <c r="H113" s="64"/>
      <c r="I113" s="64"/>
      <c r="J113" s="64"/>
      <c r="K113" s="391"/>
      <c r="L113" s="391"/>
      <c r="M113" s="391"/>
      <c r="N113" s="391"/>
      <c r="O113" s="391"/>
      <c r="P113" s="391"/>
      <c r="Q113" s="391"/>
      <c r="R113" s="391"/>
      <c r="S113" s="12"/>
      <c r="U113" s="391"/>
    </row>
    <row r="114" spans="1:21">
      <c r="B114" s="64"/>
      <c r="C114" s="391"/>
      <c r="D114" s="391"/>
      <c r="E114" s="391"/>
      <c r="F114" s="64"/>
      <c r="G114" s="64"/>
      <c r="H114" s="64"/>
      <c r="I114" s="64"/>
      <c r="J114" s="64"/>
      <c r="K114" s="391"/>
      <c r="L114" s="391"/>
      <c r="M114" s="391"/>
      <c r="N114" s="391"/>
      <c r="O114" s="391"/>
      <c r="P114" s="391"/>
      <c r="Q114" s="391"/>
      <c r="R114" s="391"/>
      <c r="S114" s="12"/>
      <c r="U114" s="391"/>
    </row>
    <row r="115" spans="1:21">
      <c r="B115" s="64"/>
      <c r="C115" s="391"/>
      <c r="D115" s="391"/>
      <c r="E115" s="391"/>
      <c r="F115" s="64"/>
      <c r="G115" s="64"/>
      <c r="H115" s="64"/>
      <c r="I115" s="64"/>
      <c r="J115" s="64"/>
      <c r="K115" s="391"/>
      <c r="L115" s="391"/>
      <c r="M115" s="391"/>
      <c r="N115" s="391"/>
      <c r="O115" s="391"/>
      <c r="P115" s="391"/>
      <c r="Q115" s="391"/>
      <c r="R115" s="391"/>
      <c r="S115" s="12"/>
      <c r="U115" s="391"/>
    </row>
    <row r="116" spans="1:21">
      <c r="B116" s="64"/>
      <c r="C116" s="391"/>
      <c r="D116" s="391"/>
      <c r="E116" s="391"/>
      <c r="F116" s="64"/>
      <c r="G116" s="64"/>
      <c r="H116" s="64"/>
      <c r="I116" s="64"/>
      <c r="J116" s="64"/>
      <c r="K116" s="391"/>
      <c r="L116" s="391"/>
      <c r="M116" s="391"/>
      <c r="N116" s="391"/>
      <c r="O116" s="391"/>
      <c r="P116" s="391"/>
      <c r="Q116" s="391"/>
      <c r="R116" s="391"/>
      <c r="S116" s="12"/>
      <c r="U116" s="391"/>
    </row>
    <row r="117" spans="1:21">
      <c r="B117" s="64"/>
      <c r="C117" s="391"/>
      <c r="D117" s="391"/>
      <c r="E117" s="391"/>
      <c r="F117" s="64"/>
      <c r="G117" s="64"/>
      <c r="H117" s="64"/>
      <c r="I117" s="64"/>
      <c r="J117" s="64"/>
      <c r="K117" s="391"/>
      <c r="L117" s="391"/>
      <c r="M117" s="391"/>
      <c r="N117" s="391"/>
      <c r="O117" s="391"/>
      <c r="P117" s="391"/>
      <c r="Q117" s="391"/>
      <c r="R117" s="391"/>
      <c r="S117" s="12"/>
      <c r="U117" s="391"/>
    </row>
    <row r="118" spans="1:21">
      <c r="B118" s="64"/>
      <c r="C118" s="391"/>
      <c r="D118" s="391"/>
      <c r="E118" s="391"/>
      <c r="F118" s="64"/>
      <c r="G118" s="64"/>
      <c r="H118" s="64"/>
      <c r="I118" s="64"/>
      <c r="J118" s="64"/>
      <c r="K118" s="391"/>
      <c r="L118" s="391"/>
      <c r="M118" s="391"/>
      <c r="N118" s="391"/>
      <c r="O118" s="391"/>
      <c r="P118" s="391"/>
      <c r="Q118" s="391"/>
      <c r="R118" s="391"/>
      <c r="S118" s="12"/>
      <c r="U118" s="391"/>
    </row>
    <row r="119" spans="1:21">
      <c r="B119" s="64"/>
      <c r="C119" s="391"/>
      <c r="D119" s="391"/>
      <c r="E119" s="391"/>
      <c r="F119" s="64"/>
      <c r="G119" s="64"/>
      <c r="H119" s="64"/>
      <c r="I119" s="64"/>
      <c r="J119" s="64"/>
      <c r="K119" s="391"/>
      <c r="L119" s="391"/>
      <c r="M119" s="391"/>
      <c r="N119" s="391"/>
      <c r="O119" s="391"/>
      <c r="P119" s="391"/>
      <c r="Q119" s="391"/>
      <c r="R119" s="391"/>
      <c r="S119" s="12"/>
      <c r="U119" s="391"/>
    </row>
    <row r="120" spans="1:21">
      <c r="B120" s="64"/>
      <c r="C120" s="391"/>
      <c r="D120" s="391"/>
      <c r="E120" s="391"/>
      <c r="F120" s="64"/>
      <c r="G120" s="64"/>
      <c r="H120" s="64"/>
      <c r="I120" s="64"/>
      <c r="J120" s="64"/>
      <c r="K120" s="391"/>
      <c r="L120" s="391"/>
      <c r="M120" s="391"/>
      <c r="N120" s="391"/>
      <c r="O120" s="391"/>
      <c r="P120" s="391"/>
      <c r="Q120" s="391"/>
      <c r="R120" s="391"/>
      <c r="S120" s="12"/>
      <c r="U120" s="391"/>
    </row>
    <row r="121" spans="1:21">
      <c r="B121" s="64"/>
      <c r="C121" s="391"/>
      <c r="D121" s="391"/>
      <c r="E121" s="391"/>
      <c r="F121" s="64"/>
      <c r="G121" s="64"/>
      <c r="H121" s="64"/>
      <c r="I121" s="64"/>
      <c r="J121" s="64"/>
      <c r="K121" s="391"/>
      <c r="L121" s="391"/>
      <c r="M121" s="391"/>
      <c r="N121" s="391"/>
      <c r="O121" s="391"/>
      <c r="P121" s="391"/>
      <c r="Q121" s="391"/>
      <c r="R121" s="391"/>
      <c r="S121" s="12"/>
      <c r="U121" s="391"/>
    </row>
    <row r="122" spans="1:21">
      <c r="B122" s="64"/>
      <c r="C122" s="391"/>
      <c r="D122" s="391"/>
      <c r="E122" s="391"/>
      <c r="F122" s="64"/>
      <c r="G122" s="64"/>
      <c r="H122" s="64"/>
      <c r="I122" s="64"/>
      <c r="J122" s="64"/>
      <c r="K122" s="391"/>
      <c r="L122" s="391"/>
      <c r="M122" s="391"/>
      <c r="N122" s="391"/>
      <c r="O122" s="391"/>
      <c r="P122" s="391"/>
      <c r="Q122" s="391"/>
      <c r="R122" s="391"/>
      <c r="S122" s="12"/>
      <c r="U122" s="391"/>
    </row>
    <row r="123" spans="1:21">
      <c r="B123" s="64"/>
      <c r="C123" s="391"/>
      <c r="D123" s="391"/>
      <c r="E123" s="391"/>
      <c r="F123" s="64"/>
      <c r="G123" s="64"/>
      <c r="H123" s="64"/>
      <c r="I123" s="64"/>
      <c r="J123" s="64"/>
      <c r="K123" s="391"/>
      <c r="L123" s="391"/>
      <c r="M123" s="391"/>
      <c r="N123" s="391"/>
      <c r="O123" s="391"/>
      <c r="P123" s="391"/>
      <c r="Q123" s="391"/>
      <c r="R123" s="391"/>
      <c r="S123" s="12"/>
      <c r="U123" s="391"/>
    </row>
    <row r="124" spans="1:21">
      <c r="A124" s="391"/>
      <c r="B124" s="64"/>
      <c r="C124" s="391"/>
      <c r="D124" s="391"/>
      <c r="E124" s="391"/>
      <c r="F124" s="64"/>
      <c r="G124" s="64"/>
      <c r="H124" s="64"/>
      <c r="I124" s="64"/>
      <c r="J124" s="64"/>
      <c r="K124" s="391"/>
      <c r="L124" s="391"/>
      <c r="M124" s="391"/>
      <c r="N124" s="391"/>
      <c r="O124" s="391"/>
      <c r="P124" s="391"/>
      <c r="Q124" s="391"/>
      <c r="R124" s="391"/>
      <c r="S124" s="12"/>
      <c r="U124" s="391"/>
    </row>
    <row r="125" spans="1:21">
      <c r="A125" s="391"/>
      <c r="B125" s="64"/>
      <c r="C125" s="391"/>
      <c r="D125" s="391"/>
      <c r="E125" s="391"/>
      <c r="F125" s="64"/>
      <c r="G125" s="64"/>
      <c r="H125" s="64"/>
      <c r="I125" s="64"/>
      <c r="J125" s="64"/>
      <c r="K125" s="391"/>
      <c r="L125" s="391"/>
      <c r="M125" s="391"/>
      <c r="N125" s="391"/>
      <c r="O125" s="391"/>
      <c r="P125" s="391"/>
      <c r="Q125" s="391"/>
      <c r="R125" s="391"/>
      <c r="S125" s="12"/>
      <c r="U125" s="391"/>
    </row>
    <row r="126" spans="1:21">
      <c r="A126" s="391"/>
      <c r="B126" s="64"/>
      <c r="C126" s="391"/>
      <c r="D126" s="391"/>
      <c r="E126" s="391"/>
      <c r="F126" s="64"/>
      <c r="G126" s="64"/>
      <c r="H126" s="64"/>
      <c r="I126" s="64"/>
      <c r="J126" s="64"/>
      <c r="K126" s="391"/>
      <c r="L126" s="391"/>
      <c r="M126" s="391"/>
      <c r="N126" s="391"/>
      <c r="O126" s="391"/>
      <c r="P126" s="391"/>
      <c r="Q126" s="391"/>
      <c r="R126" s="391"/>
      <c r="S126" s="12"/>
      <c r="U126" s="391"/>
    </row>
    <row r="127" spans="1:21">
      <c r="A127" s="391"/>
      <c r="B127" s="64"/>
      <c r="C127" s="391"/>
      <c r="D127" s="391"/>
      <c r="E127" s="391"/>
      <c r="F127" s="64"/>
      <c r="G127" s="64"/>
      <c r="H127" s="64"/>
      <c r="I127" s="64"/>
      <c r="J127" s="64"/>
      <c r="K127" s="391"/>
      <c r="L127" s="391"/>
      <c r="M127" s="391"/>
      <c r="N127" s="391"/>
      <c r="O127" s="391"/>
      <c r="P127" s="391"/>
      <c r="Q127" s="391"/>
      <c r="R127" s="391"/>
      <c r="S127" s="12"/>
      <c r="U127" s="391"/>
    </row>
    <row r="128" spans="1:21">
      <c r="A128" s="391"/>
      <c r="B128" s="64"/>
      <c r="C128" s="391"/>
      <c r="D128" s="391"/>
      <c r="E128" s="391"/>
      <c r="F128" s="64"/>
      <c r="G128" s="64"/>
      <c r="H128" s="64"/>
      <c r="I128" s="64"/>
      <c r="J128" s="64"/>
      <c r="K128" s="391"/>
      <c r="L128" s="391"/>
      <c r="M128" s="391"/>
      <c r="N128" s="391"/>
      <c r="O128" s="391"/>
      <c r="P128" s="391"/>
      <c r="Q128" s="391"/>
      <c r="R128" s="391"/>
      <c r="S128" s="12"/>
      <c r="U128" s="391"/>
    </row>
    <row r="129" spans="1:21">
      <c r="A129" s="391"/>
      <c r="B129" s="64"/>
      <c r="C129" s="391"/>
      <c r="D129" s="391"/>
      <c r="E129" s="391"/>
      <c r="F129" s="64"/>
      <c r="G129" s="64"/>
      <c r="H129" s="64"/>
      <c r="I129" s="64"/>
      <c r="J129" s="64"/>
      <c r="K129" s="391"/>
      <c r="L129" s="391"/>
      <c r="M129" s="391"/>
      <c r="N129" s="391"/>
      <c r="O129" s="391"/>
      <c r="P129" s="391"/>
      <c r="Q129" s="391"/>
      <c r="R129" s="391"/>
      <c r="S129" s="12"/>
      <c r="U129" s="391"/>
    </row>
    <row r="130" spans="1:21">
      <c r="A130" s="391"/>
      <c r="B130" s="64"/>
      <c r="C130" s="391"/>
      <c r="D130" s="391"/>
      <c r="E130" s="391"/>
      <c r="F130" s="64"/>
      <c r="G130" s="64"/>
      <c r="H130" s="64"/>
      <c r="I130" s="64"/>
      <c r="J130" s="64"/>
      <c r="K130" s="391"/>
      <c r="L130" s="391"/>
      <c r="M130" s="391"/>
      <c r="N130" s="391"/>
      <c r="O130" s="391"/>
      <c r="P130" s="391"/>
      <c r="Q130" s="391"/>
      <c r="R130" s="391"/>
      <c r="S130" s="12"/>
      <c r="U130" s="391"/>
    </row>
    <row r="131" spans="1:21">
      <c r="A131" s="391"/>
      <c r="B131" s="64"/>
      <c r="C131" s="391"/>
      <c r="D131" s="391"/>
      <c r="E131" s="391"/>
      <c r="F131" s="64"/>
      <c r="G131" s="64"/>
      <c r="H131" s="64"/>
      <c r="I131" s="64"/>
      <c r="J131" s="64"/>
      <c r="K131" s="391"/>
      <c r="L131" s="391"/>
      <c r="M131" s="391"/>
      <c r="N131" s="391"/>
      <c r="O131" s="391"/>
      <c r="P131" s="391"/>
      <c r="Q131" s="391"/>
      <c r="R131" s="391"/>
      <c r="S131" s="12"/>
      <c r="U131" s="391"/>
    </row>
    <row r="132" spans="1:21">
      <c r="A132" s="391"/>
      <c r="B132" s="64"/>
      <c r="C132" s="391"/>
      <c r="D132" s="391"/>
      <c r="E132" s="391"/>
      <c r="F132" s="64"/>
      <c r="G132" s="64"/>
      <c r="H132" s="64"/>
      <c r="I132" s="64"/>
      <c r="J132" s="64"/>
      <c r="K132" s="391"/>
      <c r="L132" s="391"/>
      <c r="M132" s="391"/>
      <c r="N132" s="391"/>
      <c r="O132" s="391"/>
      <c r="P132" s="391"/>
      <c r="Q132" s="391"/>
      <c r="R132" s="391"/>
      <c r="S132" s="12"/>
      <c r="U132" s="391"/>
    </row>
    <row r="133" spans="1:21">
      <c r="A133" s="391"/>
      <c r="B133" s="64"/>
      <c r="C133" s="391"/>
      <c r="D133" s="391"/>
      <c r="E133" s="391"/>
      <c r="F133" s="64"/>
      <c r="G133" s="64"/>
      <c r="H133" s="64"/>
      <c r="I133" s="64"/>
      <c r="J133" s="64"/>
      <c r="K133" s="391"/>
      <c r="L133" s="391"/>
      <c r="M133" s="391"/>
      <c r="N133" s="391"/>
      <c r="O133" s="391"/>
      <c r="P133" s="391"/>
      <c r="Q133" s="391"/>
      <c r="R133" s="391"/>
      <c r="S133" s="12"/>
      <c r="U133" s="391"/>
    </row>
    <row r="134" spans="1:21">
      <c r="A134" s="391"/>
      <c r="B134" s="64"/>
      <c r="C134" s="391"/>
      <c r="D134" s="391"/>
      <c r="E134" s="391"/>
      <c r="F134" s="64"/>
      <c r="G134" s="64"/>
      <c r="H134" s="64"/>
      <c r="I134" s="64"/>
      <c r="J134" s="64"/>
      <c r="K134" s="391"/>
      <c r="L134" s="391"/>
      <c r="M134" s="391"/>
      <c r="N134" s="391"/>
      <c r="O134" s="391"/>
      <c r="P134" s="391"/>
      <c r="Q134" s="391"/>
      <c r="R134" s="391"/>
      <c r="S134" s="12"/>
      <c r="U134" s="391"/>
    </row>
    <row r="135" spans="1:21">
      <c r="A135" s="391"/>
      <c r="B135" s="64"/>
      <c r="C135" s="391"/>
      <c r="D135" s="391"/>
      <c r="E135" s="391"/>
      <c r="F135" s="64"/>
      <c r="G135" s="64"/>
      <c r="H135" s="64"/>
      <c r="I135" s="64"/>
      <c r="J135" s="64"/>
      <c r="K135" s="391"/>
      <c r="L135" s="391"/>
      <c r="M135" s="391"/>
      <c r="N135" s="391"/>
      <c r="O135" s="391"/>
      <c r="P135" s="391"/>
      <c r="Q135" s="391"/>
      <c r="R135" s="391"/>
      <c r="S135" s="12"/>
      <c r="U135" s="391"/>
    </row>
    <row r="136" spans="1:21">
      <c r="A136" s="391"/>
      <c r="B136" s="64"/>
      <c r="C136" s="391"/>
      <c r="D136" s="391"/>
      <c r="E136" s="391"/>
      <c r="F136" s="64"/>
      <c r="G136" s="64"/>
      <c r="H136" s="64"/>
      <c r="I136" s="64"/>
      <c r="J136" s="64"/>
      <c r="K136" s="391"/>
      <c r="L136" s="391"/>
      <c r="M136" s="391"/>
      <c r="N136" s="391"/>
      <c r="O136" s="391"/>
      <c r="P136" s="391"/>
      <c r="Q136" s="391"/>
      <c r="R136" s="391"/>
      <c r="S136" s="12"/>
      <c r="U136" s="391"/>
    </row>
    <row r="137" spans="1:21">
      <c r="A137" s="391"/>
      <c r="B137" s="64"/>
      <c r="C137" s="391"/>
      <c r="D137" s="391"/>
      <c r="E137" s="391"/>
      <c r="F137" s="64"/>
      <c r="G137" s="64"/>
      <c r="H137" s="64"/>
      <c r="I137" s="64"/>
      <c r="J137" s="64"/>
      <c r="K137" s="391"/>
      <c r="L137" s="391"/>
      <c r="M137" s="391"/>
      <c r="N137" s="391"/>
      <c r="O137" s="391"/>
      <c r="P137" s="391"/>
      <c r="Q137" s="391"/>
      <c r="R137" s="391"/>
      <c r="S137" s="12"/>
      <c r="U137" s="391"/>
    </row>
    <row r="138" spans="1:21">
      <c r="A138" s="391"/>
      <c r="B138" s="64"/>
      <c r="C138" s="391"/>
      <c r="D138" s="391"/>
      <c r="E138" s="391"/>
      <c r="F138" s="64"/>
      <c r="G138" s="64"/>
      <c r="H138" s="64"/>
      <c r="I138" s="64"/>
      <c r="J138" s="64"/>
      <c r="K138" s="391"/>
      <c r="L138" s="391"/>
      <c r="M138" s="391"/>
      <c r="N138" s="391"/>
      <c r="O138" s="391"/>
      <c r="P138" s="391"/>
      <c r="Q138" s="391"/>
      <c r="R138" s="391"/>
      <c r="S138" s="12"/>
      <c r="U138" s="391"/>
    </row>
    <row r="139" spans="1:21">
      <c r="A139" s="391"/>
      <c r="B139" s="64"/>
      <c r="C139" s="391"/>
      <c r="D139" s="391"/>
      <c r="E139" s="391"/>
      <c r="F139" s="64"/>
      <c r="G139" s="64"/>
      <c r="H139" s="64"/>
      <c r="I139" s="64"/>
      <c r="J139" s="64"/>
      <c r="K139" s="391"/>
      <c r="L139" s="391"/>
      <c r="M139" s="391"/>
      <c r="N139" s="391"/>
      <c r="O139" s="391"/>
      <c r="P139" s="391"/>
      <c r="Q139" s="391"/>
      <c r="R139" s="391"/>
      <c r="S139" s="12"/>
      <c r="U139" s="391"/>
    </row>
    <row r="140" spans="1:21">
      <c r="A140" s="391"/>
      <c r="B140" s="64"/>
      <c r="C140" s="391"/>
      <c r="D140" s="391"/>
      <c r="E140" s="391"/>
      <c r="F140" s="64"/>
      <c r="G140" s="64"/>
      <c r="H140" s="64"/>
      <c r="I140" s="64"/>
      <c r="J140" s="64"/>
      <c r="K140" s="391"/>
      <c r="L140" s="391"/>
      <c r="M140" s="391"/>
      <c r="N140" s="391"/>
      <c r="O140" s="391"/>
      <c r="P140" s="391"/>
      <c r="Q140" s="391"/>
      <c r="R140" s="391"/>
      <c r="S140" s="12"/>
      <c r="U140" s="391"/>
    </row>
    <row r="141" spans="1:21">
      <c r="A141" s="391"/>
      <c r="B141" s="64"/>
      <c r="C141" s="391"/>
      <c r="D141" s="391"/>
      <c r="E141" s="391"/>
      <c r="F141" s="64"/>
      <c r="G141" s="64"/>
      <c r="H141" s="64"/>
      <c r="I141" s="64"/>
      <c r="J141" s="64"/>
      <c r="K141" s="391"/>
      <c r="L141" s="391"/>
      <c r="M141" s="391"/>
      <c r="N141" s="391"/>
      <c r="O141" s="391"/>
      <c r="P141" s="391"/>
      <c r="Q141" s="391"/>
      <c r="R141" s="391"/>
      <c r="S141" s="12"/>
      <c r="U141" s="391"/>
    </row>
    <row r="142" spans="1:21">
      <c r="A142" s="391"/>
      <c r="B142" s="64"/>
      <c r="C142" s="391"/>
      <c r="D142" s="391"/>
      <c r="E142" s="391"/>
      <c r="F142" s="64"/>
      <c r="G142" s="64"/>
      <c r="H142" s="64"/>
      <c r="I142" s="64"/>
      <c r="J142" s="64"/>
      <c r="K142" s="391"/>
      <c r="L142" s="391"/>
      <c r="M142" s="391"/>
      <c r="N142" s="391"/>
      <c r="O142" s="391"/>
      <c r="P142" s="391"/>
      <c r="Q142" s="391"/>
      <c r="R142" s="391"/>
      <c r="S142" s="12"/>
      <c r="U142" s="391"/>
    </row>
    <row r="143" spans="1:21">
      <c r="A143" s="391"/>
      <c r="B143" s="64"/>
      <c r="C143" s="391"/>
      <c r="D143" s="391"/>
      <c r="E143" s="391"/>
      <c r="F143" s="64"/>
      <c r="G143" s="64"/>
      <c r="H143" s="64"/>
      <c r="I143" s="64"/>
      <c r="J143" s="64"/>
      <c r="K143" s="391"/>
      <c r="L143" s="391"/>
      <c r="M143" s="391"/>
      <c r="N143" s="391"/>
      <c r="O143" s="391"/>
      <c r="P143" s="391"/>
      <c r="Q143" s="391"/>
      <c r="R143" s="391"/>
      <c r="S143" s="12"/>
      <c r="U143" s="391"/>
    </row>
    <row r="144" spans="1:21">
      <c r="A144" s="391"/>
      <c r="B144" s="64"/>
      <c r="C144" s="391"/>
      <c r="D144" s="391"/>
      <c r="E144" s="391"/>
      <c r="F144" s="64"/>
      <c r="G144" s="64"/>
      <c r="H144" s="64"/>
      <c r="I144" s="64"/>
      <c r="J144" s="64"/>
      <c r="K144" s="391"/>
      <c r="L144" s="391"/>
      <c r="M144" s="391"/>
      <c r="N144" s="391"/>
      <c r="O144" s="391"/>
      <c r="P144" s="391"/>
      <c r="Q144" s="391"/>
      <c r="R144" s="391"/>
      <c r="S144" s="12"/>
      <c r="U144" s="391"/>
    </row>
    <row r="145" spans="1:21">
      <c r="A145" s="391"/>
      <c r="B145" s="64"/>
      <c r="C145" s="391"/>
      <c r="D145" s="391"/>
      <c r="E145" s="391"/>
      <c r="F145" s="64"/>
      <c r="G145" s="64"/>
      <c r="H145" s="64"/>
      <c r="I145" s="64"/>
      <c r="J145" s="64"/>
      <c r="K145" s="391"/>
      <c r="L145" s="391"/>
      <c r="M145" s="391"/>
      <c r="N145" s="391"/>
      <c r="O145" s="391"/>
      <c r="P145" s="391"/>
      <c r="Q145" s="391"/>
      <c r="R145" s="391"/>
      <c r="S145" s="12"/>
      <c r="U145" s="391"/>
    </row>
    <row r="146" spans="1:21">
      <c r="A146" s="391"/>
      <c r="B146" s="64"/>
      <c r="C146" s="391"/>
      <c r="D146" s="391"/>
      <c r="E146" s="391"/>
      <c r="F146" s="64"/>
      <c r="G146" s="64"/>
      <c r="H146" s="64"/>
      <c r="I146" s="64"/>
      <c r="J146" s="64"/>
      <c r="K146" s="391"/>
      <c r="L146" s="391"/>
      <c r="M146" s="391"/>
      <c r="N146" s="391"/>
      <c r="O146" s="391"/>
      <c r="P146" s="391"/>
      <c r="Q146" s="391"/>
      <c r="R146" s="391"/>
      <c r="S146" s="12"/>
      <c r="U146" s="391"/>
    </row>
    <row r="147" spans="1:21">
      <c r="A147" s="391"/>
      <c r="B147" s="64"/>
      <c r="C147" s="391"/>
      <c r="D147" s="391"/>
      <c r="E147" s="391"/>
      <c r="F147" s="64"/>
      <c r="G147" s="64"/>
      <c r="H147" s="64"/>
      <c r="I147" s="64"/>
      <c r="J147" s="64"/>
      <c r="K147" s="391"/>
      <c r="L147" s="391"/>
      <c r="M147" s="391"/>
      <c r="N147" s="391"/>
      <c r="O147" s="391"/>
      <c r="P147" s="391"/>
      <c r="Q147" s="391"/>
      <c r="R147" s="391"/>
      <c r="S147" s="12"/>
      <c r="U147" s="391"/>
    </row>
    <row r="148" spans="1:21">
      <c r="A148" s="391"/>
      <c r="B148" s="64"/>
      <c r="C148" s="391"/>
      <c r="D148" s="391"/>
      <c r="E148" s="391"/>
      <c r="F148" s="64"/>
      <c r="G148" s="64"/>
      <c r="H148" s="64"/>
      <c r="I148" s="64"/>
      <c r="J148" s="64"/>
      <c r="K148" s="391"/>
      <c r="L148" s="391"/>
      <c r="M148" s="391"/>
      <c r="N148" s="391"/>
      <c r="O148" s="391"/>
      <c r="P148" s="391"/>
      <c r="Q148" s="391"/>
      <c r="R148" s="391"/>
      <c r="S148" s="12"/>
      <c r="U148" s="391"/>
    </row>
    <row r="149" spans="1:21">
      <c r="A149" s="391"/>
      <c r="B149" s="64"/>
      <c r="C149" s="391"/>
      <c r="D149" s="391"/>
      <c r="E149" s="391"/>
      <c r="F149" s="64"/>
      <c r="G149" s="64"/>
      <c r="H149" s="64"/>
      <c r="I149" s="64"/>
      <c r="J149" s="64"/>
      <c r="K149" s="391"/>
      <c r="L149" s="391"/>
      <c r="M149" s="391"/>
      <c r="N149" s="391"/>
      <c r="O149" s="391"/>
      <c r="P149" s="391"/>
      <c r="Q149" s="391"/>
      <c r="R149" s="391"/>
      <c r="S149" s="12"/>
      <c r="U149" s="391"/>
    </row>
    <row r="150" spans="1:21">
      <c r="A150" s="391"/>
      <c r="B150" s="64"/>
      <c r="C150" s="391"/>
      <c r="D150" s="391"/>
      <c r="E150" s="391"/>
      <c r="F150" s="64"/>
      <c r="G150" s="64"/>
      <c r="H150" s="64"/>
      <c r="I150" s="64"/>
      <c r="J150" s="64"/>
      <c r="K150" s="391"/>
      <c r="L150" s="391"/>
      <c r="M150" s="391"/>
      <c r="N150" s="391"/>
      <c r="O150" s="391"/>
      <c r="P150" s="391"/>
      <c r="Q150" s="391"/>
      <c r="R150" s="391"/>
      <c r="S150" s="12"/>
      <c r="U150" s="391"/>
    </row>
    <row r="151" spans="1:21">
      <c r="A151" s="391"/>
      <c r="B151" s="64"/>
      <c r="C151" s="391"/>
      <c r="D151" s="391"/>
      <c r="E151" s="391"/>
      <c r="F151" s="64"/>
      <c r="G151" s="64"/>
      <c r="H151" s="64"/>
      <c r="I151" s="64"/>
      <c r="J151" s="64"/>
      <c r="K151" s="391"/>
      <c r="L151" s="391"/>
      <c r="M151" s="391"/>
      <c r="N151" s="391"/>
      <c r="O151" s="391"/>
      <c r="P151" s="391"/>
      <c r="Q151" s="391"/>
      <c r="R151" s="391"/>
      <c r="S151" s="12"/>
      <c r="U151" s="391"/>
    </row>
    <row r="152" spans="1:21">
      <c r="A152" s="391"/>
      <c r="B152" s="64"/>
      <c r="C152" s="391"/>
      <c r="D152" s="391"/>
      <c r="E152" s="391"/>
      <c r="F152" s="64"/>
      <c r="G152" s="64"/>
      <c r="H152" s="64"/>
      <c r="I152" s="64"/>
      <c r="J152" s="64"/>
      <c r="K152" s="391"/>
      <c r="L152" s="391"/>
      <c r="M152" s="391"/>
      <c r="N152" s="391"/>
      <c r="O152" s="391"/>
      <c r="P152" s="391"/>
      <c r="Q152" s="391"/>
      <c r="R152" s="391"/>
      <c r="S152" s="12"/>
      <c r="U152" s="391"/>
    </row>
    <row r="153" spans="1:21">
      <c r="A153" s="391"/>
      <c r="B153" s="64"/>
      <c r="C153" s="391"/>
      <c r="D153" s="391"/>
      <c r="E153" s="391"/>
      <c r="F153" s="64"/>
      <c r="G153" s="64"/>
      <c r="H153" s="64"/>
      <c r="I153" s="64"/>
      <c r="J153" s="64"/>
      <c r="K153" s="391"/>
      <c r="L153" s="391"/>
      <c r="M153" s="391"/>
      <c r="N153" s="391"/>
      <c r="O153" s="391"/>
      <c r="P153" s="391"/>
      <c r="Q153" s="391"/>
      <c r="R153" s="391"/>
      <c r="S153" s="12"/>
      <c r="U153" s="391"/>
    </row>
    <row r="154" spans="1:21">
      <c r="A154" s="391"/>
      <c r="B154" s="64"/>
      <c r="C154" s="391"/>
      <c r="D154" s="391"/>
      <c r="E154" s="391"/>
      <c r="F154" s="64"/>
      <c r="G154" s="64"/>
      <c r="H154" s="64"/>
      <c r="I154" s="64"/>
      <c r="J154" s="64"/>
      <c r="K154" s="391"/>
      <c r="L154" s="391"/>
      <c r="M154" s="391"/>
      <c r="N154" s="391"/>
      <c r="O154" s="391"/>
      <c r="P154" s="391"/>
      <c r="Q154" s="391"/>
      <c r="R154" s="391"/>
      <c r="S154" s="12"/>
      <c r="U154" s="391"/>
    </row>
    <row r="155" spans="1:21">
      <c r="A155" s="391"/>
      <c r="B155" s="64"/>
      <c r="C155" s="391"/>
      <c r="D155" s="391"/>
      <c r="E155" s="391"/>
      <c r="F155" s="64"/>
      <c r="G155" s="64"/>
      <c r="H155" s="64"/>
      <c r="I155" s="64"/>
      <c r="J155" s="64"/>
      <c r="K155" s="391"/>
      <c r="L155" s="391"/>
      <c r="M155" s="391"/>
      <c r="N155" s="391"/>
      <c r="O155" s="391"/>
      <c r="P155" s="391"/>
      <c r="Q155" s="391"/>
      <c r="R155" s="391"/>
      <c r="S155" s="12"/>
      <c r="U155" s="391"/>
    </row>
    <row r="156" spans="1:21">
      <c r="A156" s="391"/>
      <c r="B156" s="64"/>
      <c r="C156" s="391"/>
      <c r="D156" s="391"/>
      <c r="E156" s="391"/>
      <c r="F156" s="64"/>
      <c r="G156" s="64"/>
      <c r="H156" s="64"/>
      <c r="I156" s="64"/>
      <c r="J156" s="64"/>
      <c r="K156" s="391"/>
      <c r="L156" s="391"/>
      <c r="M156" s="391"/>
      <c r="N156" s="391"/>
      <c r="O156" s="391"/>
      <c r="P156" s="391"/>
      <c r="Q156" s="391"/>
      <c r="R156" s="391"/>
      <c r="S156" s="12"/>
      <c r="U156" s="391"/>
    </row>
    <row r="157" spans="1:21">
      <c r="A157" s="391"/>
      <c r="B157" s="64"/>
      <c r="C157" s="391"/>
      <c r="D157" s="391"/>
      <c r="E157" s="391"/>
      <c r="F157" s="64"/>
      <c r="G157" s="64"/>
      <c r="H157" s="64"/>
      <c r="I157" s="64"/>
      <c r="J157" s="64"/>
      <c r="K157" s="391"/>
      <c r="L157" s="391"/>
      <c r="M157" s="391"/>
      <c r="N157" s="391"/>
      <c r="O157" s="391"/>
      <c r="P157" s="391"/>
      <c r="Q157" s="391"/>
      <c r="R157" s="391"/>
      <c r="S157" s="12"/>
      <c r="U157" s="391"/>
    </row>
    <row r="158" spans="1:21">
      <c r="A158" s="391"/>
      <c r="B158" s="64"/>
      <c r="C158" s="391"/>
      <c r="D158" s="391"/>
      <c r="E158" s="391"/>
      <c r="F158" s="64"/>
      <c r="G158" s="64"/>
      <c r="H158" s="64"/>
      <c r="I158" s="64"/>
      <c r="J158" s="64"/>
      <c r="K158" s="391"/>
      <c r="L158" s="391"/>
      <c r="M158" s="391"/>
      <c r="N158" s="391"/>
      <c r="O158" s="391"/>
      <c r="P158" s="391"/>
      <c r="Q158" s="391"/>
      <c r="R158" s="391"/>
      <c r="S158" s="12"/>
      <c r="U158" s="391"/>
    </row>
    <row r="159" spans="1:21">
      <c r="A159" s="391"/>
      <c r="B159" s="64"/>
      <c r="C159" s="391"/>
      <c r="D159" s="391"/>
      <c r="E159" s="391"/>
      <c r="F159" s="64"/>
      <c r="G159" s="64"/>
      <c r="H159" s="64"/>
      <c r="I159" s="64"/>
      <c r="J159" s="64"/>
      <c r="K159" s="391"/>
      <c r="L159" s="391"/>
      <c r="M159" s="391"/>
      <c r="N159" s="391"/>
      <c r="O159" s="391"/>
      <c r="P159" s="391"/>
      <c r="Q159" s="391"/>
      <c r="R159" s="391"/>
      <c r="S159" s="12"/>
      <c r="U159" s="391"/>
    </row>
    <row r="160" spans="1:21">
      <c r="A160" s="391"/>
      <c r="B160" s="64"/>
      <c r="C160" s="391"/>
      <c r="D160" s="391"/>
      <c r="E160" s="391"/>
      <c r="F160" s="64"/>
      <c r="G160" s="64"/>
      <c r="H160" s="64"/>
      <c r="I160" s="64"/>
      <c r="J160" s="64"/>
      <c r="K160" s="391"/>
      <c r="L160" s="391"/>
      <c r="M160" s="391"/>
      <c r="N160" s="391"/>
      <c r="O160" s="391"/>
      <c r="P160" s="391"/>
      <c r="Q160" s="391"/>
      <c r="R160" s="391"/>
      <c r="S160" s="12"/>
      <c r="U160" s="391"/>
    </row>
    <row r="161" spans="1:21">
      <c r="A161" s="391"/>
      <c r="B161" s="64"/>
      <c r="C161" s="391"/>
      <c r="D161" s="391"/>
      <c r="E161" s="391"/>
      <c r="F161" s="64"/>
      <c r="G161" s="64"/>
      <c r="H161" s="64"/>
      <c r="I161" s="64"/>
      <c r="J161" s="64"/>
      <c r="K161" s="391"/>
      <c r="L161" s="391"/>
      <c r="M161" s="391"/>
      <c r="N161" s="391"/>
      <c r="O161" s="391"/>
      <c r="P161" s="391"/>
      <c r="Q161" s="391"/>
      <c r="R161" s="391"/>
      <c r="S161" s="12"/>
      <c r="U161" s="391"/>
    </row>
    <row r="162" spans="1:21">
      <c r="A162" s="391"/>
      <c r="B162" s="64"/>
      <c r="C162" s="391"/>
      <c r="D162" s="391"/>
      <c r="E162" s="391"/>
      <c r="F162" s="64"/>
      <c r="G162" s="64"/>
      <c r="H162" s="64"/>
      <c r="I162" s="64"/>
      <c r="J162" s="64"/>
      <c r="K162" s="391"/>
      <c r="L162" s="391"/>
      <c r="M162" s="391"/>
      <c r="N162" s="391"/>
      <c r="O162" s="391"/>
      <c r="P162" s="391"/>
      <c r="Q162" s="391"/>
      <c r="R162" s="391"/>
      <c r="S162" s="12"/>
      <c r="U162" s="391"/>
    </row>
    <row r="163" spans="1:21">
      <c r="A163" s="391"/>
      <c r="B163" s="64"/>
      <c r="C163" s="391"/>
      <c r="D163" s="391"/>
      <c r="E163" s="391"/>
      <c r="F163" s="64"/>
      <c r="G163" s="64"/>
      <c r="H163" s="64"/>
      <c r="I163" s="64"/>
      <c r="J163" s="64"/>
      <c r="K163" s="391"/>
      <c r="L163" s="391"/>
      <c r="M163" s="391"/>
      <c r="N163" s="391"/>
      <c r="O163" s="391"/>
      <c r="P163" s="391"/>
      <c r="Q163" s="391"/>
      <c r="R163" s="391"/>
      <c r="S163" s="12"/>
      <c r="U163" s="391"/>
    </row>
    <row r="164" spans="1:21">
      <c r="A164" s="391"/>
      <c r="B164" s="64"/>
      <c r="C164" s="391"/>
      <c r="D164" s="391"/>
      <c r="E164" s="391"/>
      <c r="F164" s="64"/>
      <c r="G164" s="64"/>
      <c r="H164" s="64"/>
      <c r="I164" s="64"/>
      <c r="J164" s="64"/>
      <c r="K164" s="391"/>
      <c r="L164" s="391"/>
      <c r="M164" s="391"/>
      <c r="N164" s="391"/>
      <c r="O164" s="391"/>
      <c r="P164" s="391"/>
      <c r="Q164" s="391"/>
      <c r="R164" s="391"/>
      <c r="S164" s="12"/>
      <c r="U164" s="391"/>
    </row>
    <row r="165" spans="1:21">
      <c r="A165" s="391"/>
      <c r="B165" s="64"/>
      <c r="C165" s="391"/>
      <c r="D165" s="391"/>
      <c r="E165" s="391"/>
      <c r="F165" s="64"/>
      <c r="G165" s="64"/>
      <c r="H165" s="64"/>
      <c r="I165" s="64"/>
      <c r="J165" s="64"/>
      <c r="K165" s="391"/>
      <c r="L165" s="391"/>
      <c r="M165" s="391"/>
      <c r="N165" s="391"/>
      <c r="O165" s="391"/>
      <c r="P165" s="391"/>
      <c r="Q165" s="391"/>
      <c r="R165" s="391"/>
      <c r="S165" s="12"/>
      <c r="U165" s="391"/>
    </row>
    <row r="166" spans="1:21">
      <c r="A166" s="391"/>
      <c r="B166" s="64"/>
      <c r="C166" s="391"/>
      <c r="D166" s="391"/>
      <c r="E166" s="391"/>
      <c r="F166" s="64"/>
      <c r="G166" s="64"/>
      <c r="H166" s="64"/>
      <c r="I166" s="64"/>
      <c r="J166" s="64"/>
      <c r="K166" s="391"/>
      <c r="L166" s="391"/>
      <c r="M166" s="391"/>
      <c r="N166" s="391"/>
      <c r="O166" s="391"/>
      <c r="P166" s="391"/>
      <c r="Q166" s="391"/>
      <c r="R166" s="391"/>
      <c r="S166" s="12"/>
      <c r="U166" s="391"/>
    </row>
    <row r="167" spans="1:21">
      <c r="A167" s="391"/>
      <c r="B167" s="64"/>
      <c r="C167" s="391"/>
      <c r="D167" s="391"/>
      <c r="E167" s="391"/>
      <c r="F167" s="64"/>
      <c r="G167" s="64"/>
      <c r="H167" s="64"/>
      <c r="I167" s="64"/>
      <c r="J167" s="64"/>
      <c r="K167" s="391"/>
      <c r="L167" s="391"/>
      <c r="M167" s="391"/>
      <c r="N167" s="391"/>
      <c r="O167" s="391"/>
      <c r="P167" s="391"/>
      <c r="Q167" s="391"/>
      <c r="R167" s="391"/>
      <c r="S167" s="12"/>
      <c r="U167" s="391"/>
    </row>
    <row r="168" spans="1:21">
      <c r="A168" s="391"/>
      <c r="B168" s="64"/>
      <c r="C168" s="391"/>
      <c r="D168" s="391"/>
      <c r="E168" s="391"/>
      <c r="F168" s="64"/>
      <c r="G168" s="64"/>
      <c r="H168" s="64"/>
      <c r="I168" s="64"/>
      <c r="J168" s="64"/>
      <c r="K168" s="391"/>
      <c r="L168" s="391"/>
      <c r="M168" s="391"/>
      <c r="N168" s="391"/>
      <c r="O168" s="391"/>
      <c r="P168" s="391"/>
      <c r="Q168" s="391"/>
      <c r="R168" s="391"/>
      <c r="S168" s="12"/>
      <c r="U168" s="391"/>
    </row>
    <row r="169" spans="1:21">
      <c r="A169" s="391"/>
      <c r="B169" s="64"/>
      <c r="C169" s="391"/>
      <c r="D169" s="391"/>
      <c r="E169" s="391"/>
      <c r="F169" s="64"/>
      <c r="G169" s="64"/>
      <c r="H169" s="64"/>
      <c r="I169" s="64"/>
      <c r="J169" s="64"/>
      <c r="K169" s="391"/>
      <c r="L169" s="391"/>
      <c r="M169" s="391"/>
      <c r="N169" s="391"/>
      <c r="O169" s="391"/>
      <c r="P169" s="391"/>
      <c r="Q169" s="391"/>
      <c r="R169" s="391"/>
      <c r="S169" s="12"/>
      <c r="U169" s="391"/>
    </row>
    <row r="170" spans="1:21">
      <c r="A170" s="391"/>
      <c r="B170" s="64"/>
      <c r="C170" s="391"/>
      <c r="D170" s="391"/>
      <c r="E170" s="391"/>
      <c r="F170" s="64"/>
      <c r="G170" s="64"/>
      <c r="H170" s="64"/>
      <c r="I170" s="64"/>
      <c r="J170" s="64"/>
      <c r="K170" s="391"/>
      <c r="L170" s="391"/>
      <c r="M170" s="391"/>
      <c r="N170" s="391"/>
      <c r="O170" s="391"/>
      <c r="P170" s="391"/>
      <c r="Q170" s="391"/>
      <c r="R170" s="391"/>
      <c r="S170" s="12"/>
      <c r="U170" s="391"/>
    </row>
    <row r="171" spans="1:21">
      <c r="A171" s="391"/>
      <c r="B171" s="64"/>
      <c r="C171" s="391"/>
      <c r="D171" s="391"/>
      <c r="E171" s="391"/>
      <c r="F171" s="64"/>
      <c r="G171" s="64"/>
      <c r="H171" s="64"/>
      <c r="I171" s="64"/>
      <c r="J171" s="64"/>
      <c r="K171" s="391"/>
      <c r="L171" s="391"/>
      <c r="M171" s="391"/>
      <c r="N171" s="391"/>
      <c r="O171" s="391"/>
      <c r="P171" s="391"/>
      <c r="Q171" s="391"/>
      <c r="R171" s="391"/>
      <c r="S171" s="12"/>
      <c r="U171" s="391"/>
    </row>
    <row r="172" spans="1:21">
      <c r="A172" s="391"/>
      <c r="B172" s="64"/>
      <c r="C172" s="391"/>
      <c r="D172" s="391"/>
      <c r="E172" s="391"/>
      <c r="F172" s="64"/>
      <c r="G172" s="64"/>
      <c r="H172" s="64"/>
      <c r="I172" s="64"/>
      <c r="J172" s="64"/>
      <c r="K172" s="391"/>
      <c r="L172" s="391"/>
      <c r="M172" s="391"/>
      <c r="N172" s="391"/>
      <c r="O172" s="391"/>
      <c r="P172" s="391"/>
      <c r="Q172" s="391"/>
      <c r="R172" s="391"/>
      <c r="S172" s="12"/>
      <c r="U172" s="391"/>
    </row>
    <row r="173" spans="1:21">
      <c r="A173" s="391"/>
      <c r="B173" s="64"/>
      <c r="C173" s="391"/>
      <c r="D173" s="391"/>
      <c r="E173" s="391"/>
      <c r="F173" s="64"/>
      <c r="G173" s="64"/>
      <c r="H173" s="64"/>
      <c r="I173" s="64"/>
      <c r="J173" s="64"/>
      <c r="K173" s="391"/>
      <c r="L173" s="391"/>
      <c r="M173" s="391"/>
      <c r="N173" s="391"/>
      <c r="O173" s="391"/>
      <c r="P173" s="391"/>
      <c r="Q173" s="391"/>
      <c r="R173" s="391"/>
      <c r="S173" s="12"/>
      <c r="U173" s="391"/>
    </row>
    <row r="174" spans="1:21">
      <c r="A174" s="391"/>
      <c r="B174" s="64"/>
      <c r="C174" s="391"/>
      <c r="D174" s="391"/>
      <c r="E174" s="391"/>
      <c r="F174" s="64"/>
      <c r="G174" s="64"/>
      <c r="H174" s="64"/>
      <c r="I174" s="64"/>
      <c r="J174" s="64"/>
      <c r="K174" s="391"/>
      <c r="L174" s="391"/>
      <c r="M174" s="391"/>
      <c r="N174" s="391"/>
      <c r="O174" s="391"/>
      <c r="P174" s="391"/>
      <c r="Q174" s="391"/>
      <c r="R174" s="391"/>
      <c r="S174" s="12"/>
      <c r="U174" s="391"/>
    </row>
    <row r="175" spans="1:21">
      <c r="A175" s="391"/>
      <c r="B175" s="64"/>
      <c r="C175" s="391"/>
      <c r="D175" s="391"/>
      <c r="E175" s="391"/>
      <c r="F175" s="64"/>
      <c r="G175" s="64"/>
      <c r="H175" s="64"/>
      <c r="I175" s="64"/>
      <c r="J175" s="64"/>
      <c r="K175" s="391"/>
      <c r="L175" s="391"/>
      <c r="M175" s="391"/>
      <c r="N175" s="391"/>
      <c r="O175" s="391"/>
      <c r="P175" s="391"/>
      <c r="Q175" s="391"/>
      <c r="R175" s="391"/>
      <c r="S175" s="12"/>
      <c r="U175" s="391"/>
    </row>
    <row r="176" spans="1:21">
      <c r="A176" s="391"/>
      <c r="B176" s="64"/>
      <c r="C176" s="391"/>
      <c r="D176" s="391"/>
      <c r="E176" s="391"/>
      <c r="F176" s="64"/>
      <c r="G176" s="64"/>
      <c r="H176" s="64"/>
      <c r="I176" s="64"/>
      <c r="J176" s="64"/>
      <c r="K176" s="391"/>
      <c r="L176" s="391"/>
      <c r="M176" s="391"/>
      <c r="N176" s="391"/>
      <c r="O176" s="391"/>
      <c r="P176" s="391"/>
      <c r="Q176" s="391"/>
      <c r="R176" s="391"/>
      <c r="S176" s="12"/>
      <c r="U176" s="391"/>
    </row>
    <row r="177" spans="1:21">
      <c r="A177" s="391"/>
      <c r="B177" s="64"/>
      <c r="C177" s="391"/>
      <c r="D177" s="391"/>
      <c r="E177" s="391"/>
      <c r="F177" s="64"/>
      <c r="G177" s="64"/>
      <c r="H177" s="64"/>
      <c r="I177" s="64"/>
      <c r="J177" s="64"/>
      <c r="K177" s="391"/>
      <c r="L177" s="391"/>
      <c r="M177" s="391"/>
      <c r="N177" s="391"/>
      <c r="O177" s="391"/>
      <c r="P177" s="391"/>
      <c r="Q177" s="391"/>
      <c r="R177" s="391"/>
      <c r="S177" s="12"/>
      <c r="U177" s="391"/>
    </row>
    <row r="178" spans="1:21">
      <c r="A178" s="391"/>
      <c r="B178" s="64"/>
      <c r="C178" s="391"/>
      <c r="D178" s="391"/>
      <c r="E178" s="391"/>
      <c r="F178" s="64"/>
      <c r="G178" s="64"/>
      <c r="H178" s="64"/>
      <c r="I178" s="64"/>
      <c r="J178" s="64"/>
      <c r="K178" s="391"/>
      <c r="L178" s="391"/>
      <c r="M178" s="391"/>
      <c r="N178" s="391"/>
      <c r="O178" s="391"/>
      <c r="P178" s="391"/>
      <c r="Q178" s="391"/>
      <c r="R178" s="391"/>
      <c r="S178" s="12"/>
      <c r="U178" s="391"/>
    </row>
    <row r="179" spans="1:21">
      <c r="A179" s="391"/>
      <c r="B179" s="64"/>
      <c r="C179" s="391"/>
      <c r="D179" s="391"/>
      <c r="E179" s="391"/>
      <c r="F179" s="64"/>
      <c r="G179" s="64"/>
      <c r="H179" s="64"/>
      <c r="I179" s="64"/>
      <c r="J179" s="64"/>
      <c r="K179" s="391"/>
      <c r="L179" s="391"/>
      <c r="M179" s="391"/>
      <c r="N179" s="391"/>
      <c r="O179" s="391"/>
      <c r="P179" s="391"/>
      <c r="Q179" s="391"/>
      <c r="R179" s="391"/>
      <c r="S179" s="12"/>
      <c r="U179" s="391"/>
    </row>
  </sheetData>
  <dataConsolidate/>
  <mergeCells count="36">
    <mergeCell ref="AL55:AQ55"/>
    <mergeCell ref="Z1:AB1"/>
    <mergeCell ref="A6:A8"/>
    <mergeCell ref="W6:X8"/>
    <mergeCell ref="W3:X3"/>
    <mergeCell ref="A4:A5"/>
    <mergeCell ref="W4:X4"/>
    <mergeCell ref="C1:K1"/>
    <mergeCell ref="M1:U1"/>
    <mergeCell ref="V1:X1"/>
    <mergeCell ref="W25:X25"/>
    <mergeCell ref="A26:A27"/>
    <mergeCell ref="A28:A32"/>
    <mergeCell ref="A33:A35"/>
    <mergeCell ref="Z12:AE12"/>
    <mergeCell ref="A15:A20"/>
    <mergeCell ref="W15:X20"/>
    <mergeCell ref="A21:A24"/>
    <mergeCell ref="W21:X24"/>
    <mergeCell ref="A9:A13"/>
    <mergeCell ref="W9:X13"/>
    <mergeCell ref="A45:A48"/>
    <mergeCell ref="AU45:AU48"/>
    <mergeCell ref="AV45:AV48"/>
    <mergeCell ref="A36:A37"/>
    <mergeCell ref="A39:A40"/>
    <mergeCell ref="A41:A43"/>
    <mergeCell ref="AU41:AV43"/>
    <mergeCell ref="Z42:AB42"/>
    <mergeCell ref="AD42:AI42"/>
    <mergeCell ref="AU44:AV44"/>
    <mergeCell ref="A49:A50"/>
    <mergeCell ref="A51:A52"/>
    <mergeCell ref="A53:A54"/>
    <mergeCell ref="A55:A56"/>
    <mergeCell ref="AD62:AI62"/>
  </mergeCells>
  <conditionalFormatting sqref="T3:T56">
    <cfRule type="cellIs" dxfId="72" priority="7" operator="lessThan">
      <formula>0</formula>
    </cfRule>
  </conditionalFormatting>
  <conditionalFormatting sqref="U3:U56">
    <cfRule type="containsText" dxfId="71" priority="9" operator="containsText" text="Yes">
      <formula>NOT(ISERROR(SEARCH("Yes",U3)))</formula>
    </cfRule>
  </conditionalFormatting>
  <conditionalFormatting sqref="AE44:AJ55">
    <cfRule type="cellIs" dxfId="70" priority="6" operator="greaterThan">
      <formula>0</formula>
    </cfRule>
  </conditionalFormatting>
  <conditionalFormatting sqref="AA14:AF25">
    <cfRule type="cellIs" dxfId="69" priority="5" operator="greaterThan">
      <formula>0</formula>
    </cfRule>
  </conditionalFormatting>
  <conditionalFormatting sqref="AM57:AR68">
    <cfRule type="cellIs" dxfId="68" priority="1" operator="greaterThan">
      <formula>0</formula>
    </cfRule>
  </conditionalFormatting>
  <conditionalFormatting sqref="AF64:AJ75">
    <cfRule type="cellIs" dxfId="67" priority="3" operator="greaterThan">
      <formula>0</formula>
    </cfRule>
  </conditionalFormatting>
  <conditionalFormatting sqref="AE64:AE75">
    <cfRule type="cellIs" dxfId="66" priority="2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O179"/>
  <sheetViews>
    <sheetView topLeftCell="V26" zoomScaleNormal="100" workbookViewId="0">
      <selection activeCell="AG47" sqref="AG47:AM6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31" style="59" customWidth="1"/>
    <col min="6" max="6" width="20.7109375" style="61" customWidth="1"/>
    <col min="7" max="7" width="18.42578125" style="61" customWidth="1"/>
    <col min="8" max="8" width="28.42578125" style="61" customWidth="1"/>
    <col min="9" max="9" width="21.5703125" style="59" customWidth="1"/>
    <col min="10" max="10" width="16.7109375" style="62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0" style="59" customWidth="1"/>
    <col min="20" max="20" width="23.28515625" style="59" customWidth="1"/>
    <col min="21" max="21" width="17.5703125" style="62" customWidth="1"/>
    <col min="22" max="22" width="26.570312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13" style="5" customWidth="1"/>
    <col min="27" max="27" width="12.28515625" style="5" customWidth="1"/>
    <col min="28" max="16384" width="9" style="5"/>
  </cols>
  <sheetData>
    <row r="1" spans="1:23" ht="14.25" customHeight="1">
      <c r="A1" s="184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265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3" ht="13.5" thickBot="1">
      <c r="A2" s="184" t="s">
        <v>449</v>
      </c>
      <c r="B2" s="183" t="s">
        <v>448</v>
      </c>
      <c r="C2" s="182" t="s">
        <v>447</v>
      </c>
      <c r="D2" s="181" t="s">
        <v>34</v>
      </c>
      <c r="E2" s="181" t="s">
        <v>464</v>
      </c>
      <c r="F2" s="181" t="s">
        <v>446</v>
      </c>
      <c r="G2" s="180" t="s">
        <v>457</v>
      </c>
      <c r="H2" s="254" t="s">
        <v>458</v>
      </c>
      <c r="I2" s="181" t="s">
        <v>465</v>
      </c>
      <c r="J2" s="181" t="s">
        <v>33</v>
      </c>
      <c r="K2" s="180" t="s">
        <v>443</v>
      </c>
      <c r="L2" s="222" t="s">
        <v>79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239" t="s">
        <v>459</v>
      </c>
      <c r="S2" s="177" t="s">
        <v>33</v>
      </c>
      <c r="T2" s="179" t="s">
        <v>443</v>
      </c>
      <c r="U2" s="212" t="s">
        <v>455</v>
      </c>
      <c r="V2" s="11"/>
      <c r="W2" s="20"/>
    </row>
    <row r="3" spans="1:23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34" si="1">J3-H3</f>
        <v>101.03449999999999</v>
      </c>
      <c r="L3" s="169">
        <f>H3/J3</f>
        <v>0.49482750000000003</v>
      </c>
      <c r="M3" s="166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8">
        <f>F3</f>
        <v>131.95400000000001</v>
      </c>
      <c r="Q3" s="276">
        <v>0.75</v>
      </c>
      <c r="R3" s="98">
        <f>P3*Q3</f>
        <v>98.965500000000006</v>
      </c>
      <c r="S3" s="167">
        <f t="shared" ref="S3:S13" si="2">O3*I3</f>
        <v>150</v>
      </c>
      <c r="T3" s="287">
        <f t="shared" ref="T3:T13" si="3">S3-R3</f>
        <v>51.034499999999994</v>
      </c>
      <c r="U3" s="167" t="str">
        <f t="shared" ref="U3:U13" si="4">IF(T3&gt;=0,"No","Yes")</f>
        <v>No</v>
      </c>
      <c r="V3" s="11"/>
      <c r="W3" s="11"/>
    </row>
    <row r="4" spans="1:23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6">G4*F4</f>
        <v>59.818874999999998</v>
      </c>
      <c r="I4" s="82">
        <f t="shared" ref="I4:I56" si="7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8">H4/J4</f>
        <v>0.29909437499999997</v>
      </c>
      <c r="M4" s="160" t="s">
        <v>433</v>
      </c>
      <c r="N4" s="162">
        <v>561.44000000000005</v>
      </c>
      <c r="O4" s="90">
        <f t="shared" ref="O4:O56" si="9">IF(N4&lt;135,300, IF(AND(N4&gt;135,N4&lt;288),250, IF(AND(N4&gt;288,N4&lt;537),200,IF(AND(N4&gt;537,N4&lt;1096),150,100))))</f>
        <v>150</v>
      </c>
      <c r="P4" s="90">
        <f t="shared" ref="P4:P13" si="10">F4</f>
        <v>79.758499999999998</v>
      </c>
      <c r="Q4" s="90">
        <v>0.75</v>
      </c>
      <c r="R4" s="98">
        <f t="shared" ref="R4:R56" si="11">P4*Q4</f>
        <v>59.818874999999998</v>
      </c>
      <c r="S4" s="90">
        <f t="shared" si="2"/>
        <v>150</v>
      </c>
      <c r="T4" s="286">
        <f t="shared" si="3"/>
        <v>90.181125000000009</v>
      </c>
      <c r="U4" s="90" t="str">
        <f t="shared" si="4"/>
        <v>No</v>
      </c>
      <c r="V4" s="11"/>
      <c r="W4" s="11"/>
    </row>
    <row r="5" spans="1:23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5"/>
        <v>150</v>
      </c>
      <c r="F5" s="93">
        <v>101.52370000000001</v>
      </c>
      <c r="G5" s="92">
        <v>0.75</v>
      </c>
      <c r="H5" s="251">
        <f t="shared" si="6"/>
        <v>76.142775</v>
      </c>
      <c r="I5" s="82">
        <f t="shared" si="7"/>
        <v>1</v>
      </c>
      <c r="J5" s="251">
        <f t="shared" si="0"/>
        <v>150</v>
      </c>
      <c r="K5" s="93">
        <f t="shared" si="1"/>
        <v>73.857225</v>
      </c>
      <c r="L5" s="92">
        <f t="shared" si="8"/>
        <v>0.50761849999999997</v>
      </c>
      <c r="M5" s="89" t="s">
        <v>428</v>
      </c>
      <c r="N5" s="91">
        <v>691.82</v>
      </c>
      <c r="O5" s="90">
        <f t="shared" si="9"/>
        <v>150</v>
      </c>
      <c r="P5" s="90">
        <f t="shared" si="10"/>
        <v>101.52370000000001</v>
      </c>
      <c r="Q5" s="90">
        <v>0.75</v>
      </c>
      <c r="R5" s="89">
        <f t="shared" si="11"/>
        <v>76.142775</v>
      </c>
      <c r="S5" s="90">
        <f t="shared" si="2"/>
        <v>150</v>
      </c>
      <c r="T5" s="286">
        <f t="shared" si="3"/>
        <v>73.857225</v>
      </c>
      <c r="U5" s="90" t="str">
        <f t="shared" si="4"/>
        <v>No</v>
      </c>
      <c r="V5" s="268" t="s">
        <v>439</v>
      </c>
      <c r="W5" s="16" t="s">
        <v>454</v>
      </c>
    </row>
    <row r="6" spans="1:23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5"/>
        <v>150</v>
      </c>
      <c r="F6" s="83">
        <v>593.39</v>
      </c>
      <c r="G6" s="82">
        <v>0.75</v>
      </c>
      <c r="H6" s="252">
        <f t="shared" si="6"/>
        <v>445.04250000000002</v>
      </c>
      <c r="I6" s="82">
        <f t="shared" si="7"/>
        <v>4</v>
      </c>
      <c r="J6" s="252">
        <f t="shared" si="0"/>
        <v>600</v>
      </c>
      <c r="K6" s="83">
        <f t="shared" si="1"/>
        <v>154.95749999999998</v>
      </c>
      <c r="L6" s="82">
        <f t="shared" si="8"/>
        <v>0.74173750000000005</v>
      </c>
      <c r="M6" s="98" t="s">
        <v>430</v>
      </c>
      <c r="N6" s="81">
        <v>778.62</v>
      </c>
      <c r="O6" s="80">
        <f t="shared" si="9"/>
        <v>150</v>
      </c>
      <c r="P6" s="80">
        <f t="shared" si="10"/>
        <v>593.39</v>
      </c>
      <c r="Q6" s="80">
        <v>0.75</v>
      </c>
      <c r="R6" s="98">
        <f t="shared" si="11"/>
        <v>445.04250000000002</v>
      </c>
      <c r="S6" s="80">
        <f t="shared" si="2"/>
        <v>600</v>
      </c>
      <c r="T6" s="79">
        <f t="shared" si="3"/>
        <v>154.95749999999998</v>
      </c>
      <c r="U6" s="80" t="str">
        <f t="shared" si="4"/>
        <v>No</v>
      </c>
      <c r="V6" s="198"/>
      <c r="W6" s="197"/>
    </row>
    <row r="7" spans="1:23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5"/>
        <v>250</v>
      </c>
      <c r="F7" s="104">
        <v>165.54</v>
      </c>
      <c r="G7" s="92">
        <v>0.75</v>
      </c>
      <c r="H7" s="251">
        <f t="shared" si="6"/>
        <v>124.155</v>
      </c>
      <c r="I7" s="82">
        <f t="shared" si="7"/>
        <v>1</v>
      </c>
      <c r="J7" s="251">
        <f t="shared" si="0"/>
        <v>250</v>
      </c>
      <c r="K7" s="93">
        <f t="shared" si="1"/>
        <v>125.845</v>
      </c>
      <c r="L7" s="92">
        <f t="shared" si="8"/>
        <v>0.49662000000000001</v>
      </c>
      <c r="M7" s="99" t="s">
        <v>429</v>
      </c>
      <c r="N7" s="103">
        <v>904.18</v>
      </c>
      <c r="O7" s="90">
        <f t="shared" si="9"/>
        <v>150</v>
      </c>
      <c r="P7" s="90">
        <f t="shared" si="10"/>
        <v>165.54</v>
      </c>
      <c r="Q7" s="90">
        <v>0.75</v>
      </c>
      <c r="R7" s="89">
        <f t="shared" si="11"/>
        <v>124.155</v>
      </c>
      <c r="S7" s="90">
        <f t="shared" si="2"/>
        <v>150</v>
      </c>
      <c r="T7" s="286">
        <f t="shared" si="3"/>
        <v>25.844999999999999</v>
      </c>
      <c r="U7" s="90" t="str">
        <f t="shared" si="4"/>
        <v>No</v>
      </c>
      <c r="V7" s="221" t="s">
        <v>351</v>
      </c>
      <c r="W7" s="209" t="s">
        <v>351</v>
      </c>
    </row>
    <row r="8" spans="1:23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5"/>
        <v>150</v>
      </c>
      <c r="F8" s="93">
        <v>101.52370000000001</v>
      </c>
      <c r="G8" s="72">
        <v>0.75</v>
      </c>
      <c r="H8" s="251">
        <f t="shared" si="6"/>
        <v>76.142775</v>
      </c>
      <c r="I8" s="82">
        <f t="shared" si="7"/>
        <v>1</v>
      </c>
      <c r="J8" s="251">
        <f t="shared" si="0"/>
        <v>150</v>
      </c>
      <c r="K8" s="73">
        <f t="shared" si="1"/>
        <v>73.857225</v>
      </c>
      <c r="L8" s="72">
        <f t="shared" si="8"/>
        <v>0.50761849999999997</v>
      </c>
      <c r="M8" s="89" t="s">
        <v>428</v>
      </c>
      <c r="N8" s="91">
        <v>691.82</v>
      </c>
      <c r="O8" s="114">
        <f t="shared" si="9"/>
        <v>150</v>
      </c>
      <c r="P8" s="114">
        <f t="shared" si="10"/>
        <v>101.52370000000001</v>
      </c>
      <c r="Q8" s="114">
        <v>0.75</v>
      </c>
      <c r="R8" s="89">
        <f t="shared" si="11"/>
        <v>76.142775</v>
      </c>
      <c r="S8" s="114">
        <f t="shared" si="2"/>
        <v>150</v>
      </c>
      <c r="T8" s="288">
        <f t="shared" si="3"/>
        <v>73.857225</v>
      </c>
      <c r="U8" s="114" t="str">
        <f t="shared" si="4"/>
        <v>No</v>
      </c>
      <c r="V8" s="220"/>
      <c r="W8" s="209"/>
    </row>
    <row r="9" spans="1:23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5"/>
        <v>300</v>
      </c>
      <c r="F9" s="83">
        <v>330.03719999999998</v>
      </c>
      <c r="G9" s="92">
        <v>0.75</v>
      </c>
      <c r="H9" s="252">
        <f t="shared" si="6"/>
        <v>247.52789999999999</v>
      </c>
      <c r="I9" s="82">
        <f t="shared" si="7"/>
        <v>1</v>
      </c>
      <c r="J9" s="252">
        <f t="shared" si="0"/>
        <v>300</v>
      </c>
      <c r="K9" s="93">
        <f t="shared" si="1"/>
        <v>52.472100000000012</v>
      </c>
      <c r="L9" s="92">
        <f t="shared" si="8"/>
        <v>0.82509299999999997</v>
      </c>
      <c r="M9" s="98" t="s">
        <v>427</v>
      </c>
      <c r="N9" s="81">
        <v>243.73500000000001</v>
      </c>
      <c r="O9" s="90">
        <f t="shared" si="9"/>
        <v>250</v>
      </c>
      <c r="P9" s="90">
        <f t="shared" si="10"/>
        <v>330.03719999999998</v>
      </c>
      <c r="Q9" s="90">
        <v>0.75</v>
      </c>
      <c r="R9" s="98">
        <f t="shared" si="11"/>
        <v>247.52789999999999</v>
      </c>
      <c r="S9" s="90">
        <f t="shared" si="2"/>
        <v>250</v>
      </c>
      <c r="T9" s="286">
        <f t="shared" si="3"/>
        <v>2.4721000000000117</v>
      </c>
      <c r="U9" s="90" t="str">
        <f t="shared" si="4"/>
        <v>No</v>
      </c>
      <c r="V9" s="132"/>
      <c r="W9" s="101"/>
    </row>
    <row r="10" spans="1:23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5"/>
        <v>200</v>
      </c>
      <c r="F10" s="104">
        <v>200.11</v>
      </c>
      <c r="G10" s="92">
        <v>0.75</v>
      </c>
      <c r="H10" s="251">
        <f t="shared" si="6"/>
        <v>150.08250000000001</v>
      </c>
      <c r="I10" s="82">
        <f t="shared" si="7"/>
        <v>1</v>
      </c>
      <c r="J10" s="251">
        <f t="shared" si="0"/>
        <v>200</v>
      </c>
      <c r="K10" s="93">
        <f t="shared" si="1"/>
        <v>49.91749999999999</v>
      </c>
      <c r="L10" s="92">
        <f t="shared" si="8"/>
        <v>0.75041250000000004</v>
      </c>
      <c r="M10" s="99" t="s">
        <v>426</v>
      </c>
      <c r="N10" s="103">
        <v>614.06500000000005</v>
      </c>
      <c r="O10" s="90">
        <f t="shared" si="9"/>
        <v>150</v>
      </c>
      <c r="P10" s="90">
        <f t="shared" si="10"/>
        <v>200.11</v>
      </c>
      <c r="Q10" s="90">
        <v>0.75</v>
      </c>
      <c r="R10" s="89">
        <f t="shared" si="11"/>
        <v>150.08250000000001</v>
      </c>
      <c r="S10" s="90">
        <f t="shared" si="2"/>
        <v>150</v>
      </c>
      <c r="T10" s="286">
        <f t="shared" si="3"/>
        <v>-8.2500000000010232E-2</v>
      </c>
      <c r="U10" s="90" t="str">
        <f t="shared" si="4"/>
        <v>Yes</v>
      </c>
      <c r="V10" s="277"/>
      <c r="W10" s="190"/>
    </row>
    <row r="11" spans="1:23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5"/>
        <v>150</v>
      </c>
      <c r="F11" s="104">
        <v>416.14780000000002</v>
      </c>
      <c r="G11" s="92">
        <v>0.75</v>
      </c>
      <c r="H11" s="251">
        <f t="shared" si="6"/>
        <v>312.11085000000003</v>
      </c>
      <c r="I11" s="82">
        <f t="shared" si="7"/>
        <v>3</v>
      </c>
      <c r="J11" s="251">
        <f t="shared" si="0"/>
        <v>450</v>
      </c>
      <c r="K11" s="93">
        <f t="shared" si="1"/>
        <v>137.88914999999997</v>
      </c>
      <c r="L11" s="92">
        <f t="shared" si="8"/>
        <v>0.69357966666666671</v>
      </c>
      <c r="M11" s="99" t="s">
        <v>425</v>
      </c>
      <c r="N11" s="103">
        <v>692.19500000000005</v>
      </c>
      <c r="O11" s="90">
        <f t="shared" si="9"/>
        <v>150</v>
      </c>
      <c r="P11" s="90">
        <f t="shared" si="10"/>
        <v>416.14780000000002</v>
      </c>
      <c r="Q11" s="90">
        <v>0.75</v>
      </c>
      <c r="R11" s="89">
        <f t="shared" si="11"/>
        <v>312.11085000000003</v>
      </c>
      <c r="S11" s="90">
        <f t="shared" si="2"/>
        <v>450</v>
      </c>
      <c r="T11" s="286">
        <f t="shared" si="3"/>
        <v>137.88914999999997</v>
      </c>
      <c r="U11" s="90" t="str">
        <f t="shared" si="4"/>
        <v>No</v>
      </c>
      <c r="V11" s="277"/>
      <c r="W11" s="190"/>
    </row>
    <row r="12" spans="1:23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5"/>
        <v>200</v>
      </c>
      <c r="F12" s="104">
        <v>320.77999999999997</v>
      </c>
      <c r="G12" s="92">
        <v>0.75</v>
      </c>
      <c r="H12" s="251">
        <f t="shared" si="6"/>
        <v>240.58499999999998</v>
      </c>
      <c r="I12" s="82">
        <f t="shared" si="7"/>
        <v>2</v>
      </c>
      <c r="J12" s="251">
        <f t="shared" si="0"/>
        <v>400</v>
      </c>
      <c r="K12" s="93">
        <f t="shared" si="1"/>
        <v>159.41500000000002</v>
      </c>
      <c r="L12" s="92">
        <f t="shared" si="8"/>
        <v>0.6014624999999999</v>
      </c>
      <c r="M12" s="99" t="s">
        <v>419</v>
      </c>
      <c r="N12" s="103">
        <v>440.09</v>
      </c>
      <c r="O12" s="90">
        <f t="shared" si="9"/>
        <v>200</v>
      </c>
      <c r="P12" s="90">
        <f t="shared" si="10"/>
        <v>320.77999999999997</v>
      </c>
      <c r="Q12" s="90">
        <v>0.75</v>
      </c>
      <c r="R12" s="89">
        <f t="shared" si="11"/>
        <v>240.58499999999998</v>
      </c>
      <c r="S12" s="90">
        <f t="shared" si="2"/>
        <v>400</v>
      </c>
      <c r="T12" s="286">
        <f t="shared" si="3"/>
        <v>159.41500000000002</v>
      </c>
      <c r="U12" s="90" t="str">
        <f t="shared" si="4"/>
        <v>No</v>
      </c>
      <c r="V12" s="277"/>
      <c r="W12" s="190"/>
    </row>
    <row r="13" spans="1:23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5"/>
        <v>200</v>
      </c>
      <c r="F13" s="93">
        <v>22.35</v>
      </c>
      <c r="G13" s="92">
        <v>0.75</v>
      </c>
      <c r="H13" s="253">
        <f t="shared" si="6"/>
        <v>16.762500000000003</v>
      </c>
      <c r="I13" s="82">
        <f t="shared" si="7"/>
        <v>1</v>
      </c>
      <c r="J13" s="253">
        <f t="shared" si="0"/>
        <v>200</v>
      </c>
      <c r="K13" s="93">
        <f t="shared" si="1"/>
        <v>183.23750000000001</v>
      </c>
      <c r="L13" s="92">
        <f t="shared" si="8"/>
        <v>8.3812500000000012E-2</v>
      </c>
      <c r="M13" s="89" t="s">
        <v>417</v>
      </c>
      <c r="N13" s="91">
        <v>541.49</v>
      </c>
      <c r="O13" s="90">
        <f t="shared" si="9"/>
        <v>150</v>
      </c>
      <c r="P13" s="90">
        <f t="shared" si="10"/>
        <v>22.35</v>
      </c>
      <c r="Q13" s="90">
        <v>0.75</v>
      </c>
      <c r="R13" s="69">
        <f t="shared" si="11"/>
        <v>16.762500000000003</v>
      </c>
      <c r="S13" s="90">
        <f t="shared" si="2"/>
        <v>150</v>
      </c>
      <c r="T13" s="286">
        <f t="shared" si="3"/>
        <v>133.23750000000001</v>
      </c>
      <c r="U13" s="90" t="str">
        <f t="shared" si="4"/>
        <v>No</v>
      </c>
      <c r="V13" s="108"/>
      <c r="W13" s="100"/>
    </row>
    <row r="14" spans="1:23" ht="13.5" thickBot="1">
      <c r="A14" s="107" t="s">
        <v>425</v>
      </c>
      <c r="B14" s="85" t="s">
        <v>351</v>
      </c>
      <c r="C14" s="152"/>
      <c r="D14" s="83"/>
      <c r="E14" s="93">
        <f t="shared" si="5"/>
        <v>300</v>
      </c>
      <c r="F14" s="83"/>
      <c r="G14" s="169">
        <v>0.75</v>
      </c>
      <c r="H14" s="251">
        <f t="shared" si="6"/>
        <v>0</v>
      </c>
      <c r="I14" s="82">
        <f t="shared" si="7"/>
        <v>0</v>
      </c>
      <c r="J14" s="251"/>
      <c r="K14" s="170"/>
      <c r="L14" s="169"/>
      <c r="M14" s="98"/>
      <c r="N14" s="81"/>
      <c r="O14" s="167">
        <f t="shared" si="9"/>
        <v>300</v>
      </c>
      <c r="P14" s="167"/>
      <c r="Q14" s="167">
        <v>0.75</v>
      </c>
      <c r="R14" s="89">
        <f t="shared" si="11"/>
        <v>0</v>
      </c>
      <c r="S14" s="167"/>
      <c r="T14" s="287"/>
      <c r="U14" s="167"/>
      <c r="V14" s="106"/>
      <c r="W14" s="105"/>
    </row>
    <row r="15" spans="1:23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5"/>
        <v>200</v>
      </c>
      <c r="F15" s="83">
        <v>414.50749999999999</v>
      </c>
      <c r="G15" s="92">
        <v>0.75</v>
      </c>
      <c r="H15" s="252">
        <f t="shared" si="6"/>
        <v>310.88062500000001</v>
      </c>
      <c r="I15" s="82">
        <f t="shared" si="7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8"/>
        <v>0.77720156250000005</v>
      </c>
      <c r="M15" s="98" t="s">
        <v>423</v>
      </c>
      <c r="N15" s="81">
        <v>527.53499999999997</v>
      </c>
      <c r="O15" s="90">
        <f t="shared" si="9"/>
        <v>200</v>
      </c>
      <c r="P15" s="90">
        <f>F15</f>
        <v>414.50749999999999</v>
      </c>
      <c r="Q15" s="90">
        <v>0.75</v>
      </c>
      <c r="R15" s="98">
        <f t="shared" si="11"/>
        <v>310.88062500000001</v>
      </c>
      <c r="S15" s="90">
        <f t="shared" ref="S15:S24" si="13">O15*I15</f>
        <v>400</v>
      </c>
      <c r="T15" s="286">
        <f t="shared" ref="T15:T24" si="14">S15-R15</f>
        <v>89.119374999999991</v>
      </c>
      <c r="U15" s="90" t="str">
        <f t="shared" ref="U15:U24" si="15">IF(T15&gt;=0,"No","Yes")</f>
        <v>No</v>
      </c>
      <c r="V15" s="12"/>
      <c r="W15" s="86"/>
    </row>
    <row r="16" spans="1:23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5"/>
        <v>300</v>
      </c>
      <c r="F16" s="104">
        <v>249.06020000000001</v>
      </c>
      <c r="G16" s="92">
        <v>0.75</v>
      </c>
      <c r="H16" s="251">
        <f t="shared" si="6"/>
        <v>186.79515000000001</v>
      </c>
      <c r="I16" s="82">
        <f t="shared" si="7"/>
        <v>1</v>
      </c>
      <c r="J16" s="251">
        <f t="shared" si="12"/>
        <v>300</v>
      </c>
      <c r="K16" s="93">
        <f t="shared" si="1"/>
        <v>113.20484999999999</v>
      </c>
      <c r="L16" s="92">
        <f t="shared" si="8"/>
        <v>0.6226505</v>
      </c>
      <c r="M16" s="99" t="s">
        <v>421</v>
      </c>
      <c r="N16" s="103">
        <v>258.625</v>
      </c>
      <c r="O16" s="90">
        <f t="shared" si="9"/>
        <v>250</v>
      </c>
      <c r="P16" s="90">
        <f t="shared" ref="P16:P24" si="16">F16</f>
        <v>249.06020000000001</v>
      </c>
      <c r="Q16" s="90">
        <v>0.75</v>
      </c>
      <c r="R16" s="89">
        <f t="shared" si="11"/>
        <v>186.79515000000001</v>
      </c>
      <c r="S16" s="90">
        <f t="shared" si="13"/>
        <v>250</v>
      </c>
      <c r="T16" s="286">
        <f t="shared" si="14"/>
        <v>63.204849999999993</v>
      </c>
      <c r="U16" s="90" t="str">
        <f t="shared" si="15"/>
        <v>No</v>
      </c>
      <c r="V16" s="12"/>
      <c r="W16" s="96"/>
    </row>
    <row r="17" spans="1:41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5"/>
        <v>150</v>
      </c>
      <c r="F17" s="104">
        <v>185.4342</v>
      </c>
      <c r="G17" s="92">
        <v>0.75</v>
      </c>
      <c r="H17" s="251">
        <f t="shared" si="6"/>
        <v>139.07565</v>
      </c>
      <c r="I17" s="82">
        <f t="shared" si="7"/>
        <v>2</v>
      </c>
      <c r="J17" s="251">
        <f t="shared" si="12"/>
        <v>300</v>
      </c>
      <c r="K17" s="93">
        <f t="shared" si="1"/>
        <v>160.92435</v>
      </c>
      <c r="L17" s="92">
        <f t="shared" si="8"/>
        <v>0.46358549999999998</v>
      </c>
      <c r="M17" s="99" t="s">
        <v>384</v>
      </c>
      <c r="N17" s="103">
        <v>975.03499999999997</v>
      </c>
      <c r="O17" s="90">
        <f t="shared" si="9"/>
        <v>150</v>
      </c>
      <c r="P17" s="90">
        <f t="shared" si="16"/>
        <v>185.4342</v>
      </c>
      <c r="Q17" s="90">
        <v>0.75</v>
      </c>
      <c r="R17" s="89">
        <f t="shared" si="11"/>
        <v>139.07565</v>
      </c>
      <c r="S17" s="90">
        <f t="shared" si="13"/>
        <v>300</v>
      </c>
      <c r="T17" s="286">
        <f t="shared" si="14"/>
        <v>160.92435</v>
      </c>
      <c r="U17" s="90" t="str">
        <f t="shared" si="15"/>
        <v>No</v>
      </c>
      <c r="V17" s="12"/>
      <c r="W17" s="96"/>
    </row>
    <row r="18" spans="1:41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5"/>
        <v>150</v>
      </c>
      <c r="F18" s="104">
        <v>213.84829999999999</v>
      </c>
      <c r="G18" s="92">
        <v>0.75</v>
      </c>
      <c r="H18" s="251">
        <f t="shared" si="6"/>
        <v>160.386225</v>
      </c>
      <c r="I18" s="82">
        <f t="shared" si="7"/>
        <v>2</v>
      </c>
      <c r="J18" s="251">
        <f t="shared" si="12"/>
        <v>300</v>
      </c>
      <c r="K18" s="93">
        <f t="shared" si="1"/>
        <v>139.613775</v>
      </c>
      <c r="L18" s="92">
        <f t="shared" si="8"/>
        <v>0.53462074999999998</v>
      </c>
      <c r="M18" s="99" t="s">
        <v>420</v>
      </c>
      <c r="N18" s="103">
        <v>1025.3</v>
      </c>
      <c r="O18" s="90">
        <f t="shared" si="9"/>
        <v>150</v>
      </c>
      <c r="P18" s="90">
        <f t="shared" si="16"/>
        <v>213.84829999999999</v>
      </c>
      <c r="Q18" s="90">
        <v>0.75</v>
      </c>
      <c r="R18" s="89">
        <f t="shared" si="11"/>
        <v>160.386225</v>
      </c>
      <c r="S18" s="90">
        <f t="shared" si="13"/>
        <v>300</v>
      </c>
      <c r="T18" s="286">
        <f t="shared" si="14"/>
        <v>139.613775</v>
      </c>
      <c r="U18" s="90" t="str">
        <f t="shared" si="15"/>
        <v>No</v>
      </c>
      <c r="V18" s="12"/>
      <c r="W18" s="86"/>
      <c r="Y18" s="208"/>
      <c r="Z18" s="58"/>
      <c r="AD18" s="351"/>
      <c r="AE18" s="351"/>
      <c r="AF18" s="351"/>
      <c r="AG18" s="351"/>
      <c r="AH18" s="351"/>
      <c r="AI18" s="351"/>
      <c r="AJ18" s="351"/>
      <c r="AK18" s="351"/>
      <c r="AL18" s="351"/>
    </row>
    <row r="19" spans="1:41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5"/>
        <v>200</v>
      </c>
      <c r="F19" s="104">
        <v>320.7817</v>
      </c>
      <c r="G19" s="92">
        <v>0.75</v>
      </c>
      <c r="H19" s="251">
        <f t="shared" si="6"/>
        <v>240.586275</v>
      </c>
      <c r="I19" s="82">
        <f t="shared" si="7"/>
        <v>2</v>
      </c>
      <c r="J19" s="251">
        <f t="shared" si="12"/>
        <v>400</v>
      </c>
      <c r="K19" s="93">
        <f t="shared" si="1"/>
        <v>159.413725</v>
      </c>
      <c r="L19" s="92">
        <f t="shared" si="8"/>
        <v>0.60146568749999996</v>
      </c>
      <c r="M19" s="99" t="s">
        <v>419</v>
      </c>
      <c r="N19" s="103">
        <v>440.09</v>
      </c>
      <c r="O19" s="90">
        <f t="shared" si="9"/>
        <v>200</v>
      </c>
      <c r="P19" s="90">
        <f t="shared" si="16"/>
        <v>320.7817</v>
      </c>
      <c r="Q19" s="90">
        <v>0.75</v>
      </c>
      <c r="R19" s="89">
        <f t="shared" si="11"/>
        <v>240.586275</v>
      </c>
      <c r="S19" s="90">
        <f t="shared" si="13"/>
        <v>400</v>
      </c>
      <c r="T19" s="286">
        <f t="shared" si="14"/>
        <v>159.413725</v>
      </c>
      <c r="U19" s="90" t="str">
        <f t="shared" si="15"/>
        <v>No</v>
      </c>
      <c r="V19" s="12"/>
      <c r="W19" s="86"/>
      <c r="Y19" s="230" t="s">
        <v>453</v>
      </c>
      <c r="Z19" s="231"/>
      <c r="AA19" s="234"/>
      <c r="AD19" s="351"/>
      <c r="AE19" s="351"/>
      <c r="AF19" s="351"/>
      <c r="AG19" s="351"/>
      <c r="AH19" s="351"/>
      <c r="AI19" s="351"/>
      <c r="AJ19" s="351"/>
      <c r="AK19" s="527"/>
      <c r="AL19" s="527"/>
      <c r="AM19" s="345"/>
      <c r="AN19" s="526"/>
      <c r="AO19" s="526"/>
    </row>
    <row r="20" spans="1:41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5"/>
        <v>200</v>
      </c>
      <c r="F20" s="93">
        <v>22.35</v>
      </c>
      <c r="G20" s="92">
        <v>0.75</v>
      </c>
      <c r="H20" s="251">
        <f t="shared" si="6"/>
        <v>16.762500000000003</v>
      </c>
      <c r="I20" s="82">
        <f t="shared" si="7"/>
        <v>1</v>
      </c>
      <c r="J20" s="251">
        <f t="shared" si="12"/>
        <v>200</v>
      </c>
      <c r="K20" s="93">
        <f t="shared" si="1"/>
        <v>183.23750000000001</v>
      </c>
      <c r="L20" s="92">
        <f t="shared" si="8"/>
        <v>8.3812500000000012E-2</v>
      </c>
      <c r="M20" s="89" t="s">
        <v>417</v>
      </c>
      <c r="N20" s="91">
        <v>541.49</v>
      </c>
      <c r="O20" s="90">
        <f t="shared" si="9"/>
        <v>150</v>
      </c>
      <c r="P20" s="90">
        <f t="shared" si="16"/>
        <v>22.35</v>
      </c>
      <c r="Q20" s="90">
        <v>0.75</v>
      </c>
      <c r="R20" s="89">
        <f t="shared" si="11"/>
        <v>16.762500000000003</v>
      </c>
      <c r="S20" s="90">
        <f t="shared" si="13"/>
        <v>150</v>
      </c>
      <c r="T20" s="286">
        <f t="shared" si="14"/>
        <v>133.23750000000001</v>
      </c>
      <c r="U20" s="90" t="str">
        <f t="shared" si="15"/>
        <v>No</v>
      </c>
      <c r="V20" s="12"/>
      <c r="W20" s="96"/>
      <c r="Y20" s="88"/>
      <c r="Z20" s="20"/>
      <c r="AA20" s="97"/>
      <c r="AD20" s="500"/>
      <c r="AE20" s="500"/>
      <c r="AF20" s="500"/>
      <c r="AG20" s="351"/>
      <c r="AH20" s="351"/>
      <c r="AI20" s="351"/>
      <c r="AJ20" s="351"/>
      <c r="AK20" s="352"/>
      <c r="AL20" s="352"/>
      <c r="AM20" s="345"/>
      <c r="AN20" s="350"/>
      <c r="AO20" s="350"/>
    </row>
    <row r="21" spans="1:41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5"/>
        <v>200</v>
      </c>
      <c r="F21" s="83">
        <v>200.1122</v>
      </c>
      <c r="G21" s="82">
        <v>0.75</v>
      </c>
      <c r="H21" s="252">
        <f t="shared" si="6"/>
        <v>150.08414999999999</v>
      </c>
      <c r="I21" s="82">
        <f t="shared" si="7"/>
        <v>1</v>
      </c>
      <c r="J21" s="252">
        <f t="shared" si="12"/>
        <v>200</v>
      </c>
      <c r="K21" s="83">
        <f t="shared" si="1"/>
        <v>49.915850000000006</v>
      </c>
      <c r="L21" s="82">
        <f t="shared" si="8"/>
        <v>0.75042074999999997</v>
      </c>
      <c r="M21" s="98" t="s">
        <v>415</v>
      </c>
      <c r="N21" s="81">
        <v>733.18499999999995</v>
      </c>
      <c r="O21" s="80">
        <f t="shared" si="9"/>
        <v>150</v>
      </c>
      <c r="P21" s="80">
        <f t="shared" si="16"/>
        <v>200.1122</v>
      </c>
      <c r="Q21" s="80">
        <v>0.75</v>
      </c>
      <c r="R21" s="98">
        <f t="shared" si="11"/>
        <v>150.08414999999999</v>
      </c>
      <c r="S21" s="80">
        <f t="shared" si="13"/>
        <v>150</v>
      </c>
      <c r="T21" s="79">
        <f t="shared" si="14"/>
        <v>-8.4149999999993952E-2</v>
      </c>
      <c r="U21" s="80" t="str">
        <f t="shared" si="15"/>
        <v>Yes</v>
      </c>
      <c r="V21" s="132"/>
      <c r="W21" s="101"/>
      <c r="Y21" s="131" t="s">
        <v>389</v>
      </c>
      <c r="Z21" s="130" t="s">
        <v>388</v>
      </c>
      <c r="AA21" s="129" t="s">
        <v>387</v>
      </c>
      <c r="AD21" s="351"/>
      <c r="AE21" s="351"/>
      <c r="AF21" s="351"/>
      <c r="AG21" s="500"/>
      <c r="AH21" s="500"/>
      <c r="AI21" s="351"/>
      <c r="AJ21" s="351"/>
      <c r="AK21" s="351"/>
      <c r="AL21" s="351"/>
      <c r="AN21" s="250"/>
      <c r="AO21" s="250"/>
    </row>
    <row r="22" spans="1:41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5"/>
        <v>150</v>
      </c>
      <c r="F22" s="104">
        <v>416.14780000000002</v>
      </c>
      <c r="G22" s="92">
        <v>0.75</v>
      </c>
      <c r="H22" s="251">
        <f t="shared" si="6"/>
        <v>312.11085000000003</v>
      </c>
      <c r="I22" s="82">
        <f t="shared" si="7"/>
        <v>3</v>
      </c>
      <c r="J22" s="251">
        <f t="shared" si="12"/>
        <v>450</v>
      </c>
      <c r="K22" s="93">
        <f t="shared" si="1"/>
        <v>137.88914999999997</v>
      </c>
      <c r="L22" s="92">
        <f t="shared" si="8"/>
        <v>0.69357966666666671</v>
      </c>
      <c r="M22" s="99" t="s">
        <v>361</v>
      </c>
      <c r="N22" s="103">
        <v>692.19500000000005</v>
      </c>
      <c r="O22" s="90">
        <f t="shared" si="9"/>
        <v>150</v>
      </c>
      <c r="P22" s="90">
        <f t="shared" si="16"/>
        <v>416.14780000000002</v>
      </c>
      <c r="Q22" s="90">
        <v>0.75</v>
      </c>
      <c r="R22" s="89">
        <f t="shared" si="11"/>
        <v>312.11085000000003</v>
      </c>
      <c r="S22" s="90">
        <f t="shared" si="13"/>
        <v>450</v>
      </c>
      <c r="T22" s="286">
        <f t="shared" si="14"/>
        <v>137.88914999999997</v>
      </c>
      <c r="U22" s="90" t="str">
        <f t="shared" si="15"/>
        <v>No</v>
      </c>
      <c r="V22" s="277"/>
      <c r="W22" s="190"/>
      <c r="Y22" s="157" t="s">
        <v>460</v>
      </c>
      <c r="Z22" s="156">
        <v>23.22</v>
      </c>
      <c r="AA22" s="97">
        <f>(Z22/J10)*100</f>
        <v>11.61</v>
      </c>
      <c r="AD22" s="352"/>
      <c r="AE22" s="352"/>
      <c r="AF22" s="352"/>
      <c r="AG22" s="352"/>
      <c r="AH22" s="352"/>
      <c r="AI22" s="351"/>
      <c r="AJ22" s="351"/>
      <c r="AK22" s="349"/>
      <c r="AL22" s="349"/>
      <c r="AN22" s="354"/>
      <c r="AO22" s="354"/>
    </row>
    <row r="23" spans="1:41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5"/>
        <v>200</v>
      </c>
      <c r="F23" s="104">
        <v>24.103000000000002</v>
      </c>
      <c r="G23" s="92">
        <v>0.75</v>
      </c>
      <c r="H23" s="251">
        <f t="shared" si="6"/>
        <v>18.077249999999999</v>
      </c>
      <c r="I23" s="82">
        <f t="shared" si="7"/>
        <v>1</v>
      </c>
      <c r="J23" s="251">
        <f t="shared" si="12"/>
        <v>200</v>
      </c>
      <c r="K23" s="93">
        <f t="shared" si="1"/>
        <v>181.92275000000001</v>
      </c>
      <c r="L23" s="92">
        <f t="shared" si="8"/>
        <v>9.0386250000000001E-2</v>
      </c>
      <c r="M23" s="99" t="s">
        <v>411</v>
      </c>
      <c r="N23" s="103">
        <v>820.63</v>
      </c>
      <c r="O23" s="90">
        <f t="shared" si="9"/>
        <v>150</v>
      </c>
      <c r="P23" s="90">
        <f t="shared" si="16"/>
        <v>24.103000000000002</v>
      </c>
      <c r="Q23" s="90">
        <v>0.75</v>
      </c>
      <c r="R23" s="89">
        <f t="shared" si="11"/>
        <v>18.077249999999999</v>
      </c>
      <c r="S23" s="90">
        <f t="shared" si="13"/>
        <v>150</v>
      </c>
      <c r="T23" s="286">
        <f t="shared" si="14"/>
        <v>131.92275000000001</v>
      </c>
      <c r="U23" s="90" t="str">
        <f t="shared" si="15"/>
        <v>No</v>
      </c>
      <c r="V23" s="277"/>
      <c r="W23" s="190"/>
      <c r="Y23" s="157" t="s">
        <v>27</v>
      </c>
      <c r="Z23" s="156">
        <v>101.41</v>
      </c>
      <c r="AA23" s="97">
        <f>(Z23/J46)*100</f>
        <v>50.704999999999998</v>
      </c>
      <c r="AD23" s="351"/>
      <c r="AE23" s="351"/>
      <c r="AF23" s="18"/>
      <c r="AG23" s="351"/>
      <c r="AH23" s="351"/>
      <c r="AI23" s="351"/>
      <c r="AJ23" s="351"/>
      <c r="AK23" s="351"/>
      <c r="AL23" s="351"/>
      <c r="AN23" s="250"/>
      <c r="AO23" s="250"/>
    </row>
    <row r="24" spans="1:41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5"/>
        <v>200</v>
      </c>
      <c r="F24" s="93">
        <v>22.35</v>
      </c>
      <c r="G24" s="72">
        <v>0.75</v>
      </c>
      <c r="H24" s="253">
        <f t="shared" si="6"/>
        <v>16.762500000000003</v>
      </c>
      <c r="I24" s="82">
        <f t="shared" si="7"/>
        <v>1</v>
      </c>
      <c r="J24" s="253">
        <f t="shared" si="12"/>
        <v>200</v>
      </c>
      <c r="K24" s="73">
        <f t="shared" si="1"/>
        <v>183.23750000000001</v>
      </c>
      <c r="L24" s="72">
        <f t="shared" si="8"/>
        <v>8.3812500000000012E-2</v>
      </c>
      <c r="M24" s="89" t="s">
        <v>409</v>
      </c>
      <c r="N24" s="91">
        <v>660.63</v>
      </c>
      <c r="O24" s="114">
        <f t="shared" si="9"/>
        <v>150</v>
      </c>
      <c r="P24" s="114">
        <f t="shared" si="16"/>
        <v>22.35</v>
      </c>
      <c r="Q24" s="114">
        <v>0.75</v>
      </c>
      <c r="R24" s="69">
        <f t="shared" si="11"/>
        <v>16.762500000000003</v>
      </c>
      <c r="S24" s="114">
        <f t="shared" si="13"/>
        <v>150</v>
      </c>
      <c r="T24" s="288">
        <f t="shared" si="14"/>
        <v>133.23750000000001</v>
      </c>
      <c r="U24" s="114" t="str">
        <f t="shared" si="15"/>
        <v>No</v>
      </c>
      <c r="V24" s="108"/>
      <c r="W24" s="100"/>
      <c r="Y24" s="157" t="s">
        <v>327</v>
      </c>
      <c r="Z24" s="156">
        <v>233.83</v>
      </c>
      <c r="AA24" s="97">
        <f>(Z24/600)*100</f>
        <v>38.971666666666671</v>
      </c>
      <c r="AD24" s="351"/>
      <c r="AE24" s="351"/>
      <c r="AF24" s="18"/>
      <c r="AG24" s="351"/>
      <c r="AH24" s="351"/>
      <c r="AI24" s="351"/>
      <c r="AJ24" s="351"/>
      <c r="AK24" s="351"/>
      <c r="AL24" s="351"/>
      <c r="AN24" s="250"/>
      <c r="AO24" s="250"/>
    </row>
    <row r="25" spans="1:41" ht="13.5" thickBot="1">
      <c r="A25" s="153" t="s">
        <v>408</v>
      </c>
      <c r="B25" s="85" t="s">
        <v>407</v>
      </c>
      <c r="C25" s="152"/>
      <c r="D25" s="83"/>
      <c r="E25" s="93">
        <f t="shared" si="5"/>
        <v>300</v>
      </c>
      <c r="F25" s="83"/>
      <c r="G25" s="92">
        <v>0.75</v>
      </c>
      <c r="H25" s="251">
        <f t="shared" si="6"/>
        <v>0</v>
      </c>
      <c r="I25" s="82">
        <f t="shared" si="7"/>
        <v>0</v>
      </c>
      <c r="J25" s="251"/>
      <c r="K25" s="93"/>
      <c r="L25" s="92"/>
      <c r="M25" s="98"/>
      <c r="N25" s="81"/>
      <c r="O25" s="90">
        <f t="shared" si="9"/>
        <v>300</v>
      </c>
      <c r="P25" s="90"/>
      <c r="Q25" s="90">
        <v>0.75</v>
      </c>
      <c r="R25" s="89">
        <f t="shared" si="11"/>
        <v>0</v>
      </c>
      <c r="S25" s="90"/>
      <c r="T25" s="286"/>
      <c r="U25" s="90"/>
      <c r="V25" s="77"/>
      <c r="W25" s="207"/>
      <c r="Y25" s="157" t="s">
        <v>19</v>
      </c>
      <c r="Z25" s="156">
        <v>16.190000000000001</v>
      </c>
      <c r="AA25" s="97">
        <f>(Z25/1000)*100</f>
        <v>1.6190000000000002</v>
      </c>
      <c r="AD25" s="351"/>
      <c r="AE25" s="351"/>
      <c r="AF25" s="18"/>
      <c r="AH25" s="351"/>
      <c r="AI25" s="351"/>
      <c r="AJ25" s="351"/>
      <c r="AK25" s="351"/>
      <c r="AL25" s="351"/>
      <c r="AN25" s="250"/>
      <c r="AO25" s="250"/>
    </row>
    <row r="26" spans="1:41" ht="13.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5"/>
        <v>200</v>
      </c>
      <c r="F26" s="83">
        <v>664.51419999999996</v>
      </c>
      <c r="G26" s="82">
        <v>0.75</v>
      </c>
      <c r="H26" s="252">
        <f>G26*F26</f>
        <v>498.38564999999994</v>
      </c>
      <c r="I26" s="82">
        <f t="shared" si="7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8"/>
        <v>0.83064274999999987</v>
      </c>
      <c r="M26" s="98" t="s">
        <v>404</v>
      </c>
      <c r="N26" s="81">
        <v>799.22</v>
      </c>
      <c r="O26" s="80">
        <f t="shared" si="9"/>
        <v>150</v>
      </c>
      <c r="P26" s="80">
        <f>F26</f>
        <v>664.51419999999996</v>
      </c>
      <c r="Q26" s="80">
        <v>0.75</v>
      </c>
      <c r="R26" s="98">
        <f t="shared" si="11"/>
        <v>498.38564999999994</v>
      </c>
      <c r="S26" s="80">
        <f t="shared" ref="S26:S56" si="18">O26*I26</f>
        <v>450</v>
      </c>
      <c r="T26" s="79">
        <f t="shared" ref="T26:T56" si="19">S26-R26</f>
        <v>-48.385649999999941</v>
      </c>
      <c r="U26" s="199" t="str">
        <f t="shared" ref="U26:U56" si="20">IF(T26&gt;=0,"No","Yes")</f>
        <v>Yes</v>
      </c>
      <c r="V26" s="278" t="s">
        <v>466</v>
      </c>
      <c r="W26" s="206">
        <v>23.22</v>
      </c>
      <c r="Y26" s="157" t="s">
        <v>28</v>
      </c>
      <c r="Z26" s="156">
        <v>97.22</v>
      </c>
      <c r="AA26" s="203">
        <f>(Z26/150)*100</f>
        <v>64.813333333333333</v>
      </c>
      <c r="AD26" s="351"/>
      <c r="AE26" s="351"/>
      <c r="AF26" s="18"/>
      <c r="AH26" s="351"/>
      <c r="AI26" s="351"/>
      <c r="AJ26" s="351"/>
      <c r="AK26" s="351"/>
      <c r="AL26" s="351"/>
      <c r="AN26" s="250"/>
      <c r="AO26" s="250"/>
    </row>
    <row r="27" spans="1:41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5"/>
        <v>150</v>
      </c>
      <c r="F27" s="147">
        <v>424.66829999999999</v>
      </c>
      <c r="G27" s="72">
        <v>0.75</v>
      </c>
      <c r="H27" s="251">
        <f t="shared" si="6"/>
        <v>318.50122499999998</v>
      </c>
      <c r="I27" s="82">
        <f t="shared" si="7"/>
        <v>3</v>
      </c>
      <c r="J27" s="251">
        <f t="shared" si="17"/>
        <v>450</v>
      </c>
      <c r="K27" s="73">
        <f t="shared" si="1"/>
        <v>131.49877500000002</v>
      </c>
      <c r="L27" s="72">
        <f t="shared" si="8"/>
        <v>0.70778049999999992</v>
      </c>
      <c r="M27" s="238" t="s">
        <v>403</v>
      </c>
      <c r="N27" s="146">
        <v>973.76</v>
      </c>
      <c r="O27" s="114">
        <f t="shared" si="9"/>
        <v>150</v>
      </c>
      <c r="P27" s="114">
        <f t="shared" ref="P27:P56" si="21">F27</f>
        <v>424.66829999999999</v>
      </c>
      <c r="Q27" s="114">
        <v>0.75</v>
      </c>
      <c r="R27" s="89">
        <f t="shared" si="11"/>
        <v>318.50122499999998</v>
      </c>
      <c r="S27" s="114">
        <f t="shared" si="18"/>
        <v>450</v>
      </c>
      <c r="T27" s="288">
        <f t="shared" si="19"/>
        <v>131.49877500000002</v>
      </c>
      <c r="U27" s="289" t="str">
        <f t="shared" si="20"/>
        <v>No</v>
      </c>
      <c r="V27" s="279" t="s">
        <v>483</v>
      </c>
      <c r="W27" s="205">
        <v>30</v>
      </c>
      <c r="Y27" s="157" t="s">
        <v>30</v>
      </c>
      <c r="Z27" s="156">
        <v>84.21</v>
      </c>
      <c r="AA27" s="202">
        <f>(Z27/200)*100</f>
        <v>42.104999999999997</v>
      </c>
      <c r="AD27" s="351"/>
      <c r="AE27" s="351"/>
      <c r="AF27" s="18"/>
      <c r="AH27" s="351"/>
      <c r="AI27" s="351"/>
      <c r="AJ27" s="351"/>
      <c r="AK27" s="351"/>
      <c r="AL27" s="351"/>
      <c r="AN27" s="250"/>
      <c r="AO27" s="250"/>
    </row>
    <row r="28" spans="1:41" ht="13.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5"/>
        <v>200</v>
      </c>
      <c r="F28" s="93">
        <v>414.50749999999999</v>
      </c>
      <c r="G28" s="92">
        <v>0.75</v>
      </c>
      <c r="H28" s="252">
        <f t="shared" si="6"/>
        <v>310.88062500000001</v>
      </c>
      <c r="I28" s="82">
        <f t="shared" si="7"/>
        <v>2</v>
      </c>
      <c r="J28" s="252">
        <f t="shared" si="17"/>
        <v>400</v>
      </c>
      <c r="K28" s="93">
        <f t="shared" si="1"/>
        <v>89.119374999999991</v>
      </c>
      <c r="L28" s="92">
        <f t="shared" si="8"/>
        <v>0.77720156250000005</v>
      </c>
      <c r="M28" s="89" t="s">
        <v>401</v>
      </c>
      <c r="N28" s="91">
        <v>849.47500000000002</v>
      </c>
      <c r="O28" s="90">
        <f t="shared" si="9"/>
        <v>150</v>
      </c>
      <c r="P28" s="90">
        <f t="shared" si="21"/>
        <v>414.50749999999999</v>
      </c>
      <c r="Q28" s="90">
        <v>0.75</v>
      </c>
      <c r="R28" s="98">
        <f t="shared" si="11"/>
        <v>310.88062500000001</v>
      </c>
      <c r="S28" s="90">
        <f t="shared" si="18"/>
        <v>300</v>
      </c>
      <c r="T28" s="286">
        <f t="shared" si="19"/>
        <v>-10.880625000000009</v>
      </c>
      <c r="U28" s="290" t="str">
        <f t="shared" si="20"/>
        <v>Yes</v>
      </c>
      <c r="V28" s="278"/>
      <c r="W28" s="232"/>
      <c r="Y28" s="157" t="s">
        <v>31</v>
      </c>
      <c r="Z28" s="156">
        <v>46.58</v>
      </c>
      <c r="AA28" s="97">
        <f>Z28/200 * 100</f>
        <v>23.29</v>
      </c>
      <c r="AD28" s="351"/>
      <c r="AE28" s="351"/>
      <c r="AF28" s="18"/>
      <c r="AH28" s="351"/>
      <c r="AI28" s="351"/>
      <c r="AJ28" s="351"/>
      <c r="AK28" s="351"/>
      <c r="AL28" s="351"/>
      <c r="AN28" s="250"/>
      <c r="AO28" s="250"/>
    </row>
    <row r="29" spans="1:41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5"/>
        <v>150</v>
      </c>
      <c r="F29" s="93">
        <v>185.4342</v>
      </c>
      <c r="G29" s="92">
        <v>0.75</v>
      </c>
      <c r="H29" s="251">
        <f t="shared" si="6"/>
        <v>139.07565</v>
      </c>
      <c r="I29" s="82">
        <f t="shared" si="7"/>
        <v>2</v>
      </c>
      <c r="J29" s="251">
        <f t="shared" si="17"/>
        <v>300</v>
      </c>
      <c r="K29" s="93">
        <f t="shared" si="1"/>
        <v>160.92435</v>
      </c>
      <c r="L29" s="92">
        <f t="shared" si="8"/>
        <v>0.46358549999999998</v>
      </c>
      <c r="M29" s="89" t="s">
        <v>384</v>
      </c>
      <c r="N29" s="91">
        <v>975.03499999999997</v>
      </c>
      <c r="O29" s="90">
        <f t="shared" si="9"/>
        <v>150</v>
      </c>
      <c r="P29" s="90">
        <f t="shared" si="21"/>
        <v>185.4342</v>
      </c>
      <c r="Q29" s="90">
        <v>0.75</v>
      </c>
      <c r="R29" s="89">
        <f t="shared" si="11"/>
        <v>139.07565</v>
      </c>
      <c r="S29" s="90">
        <f t="shared" si="18"/>
        <v>300</v>
      </c>
      <c r="T29" s="286">
        <f t="shared" si="19"/>
        <v>160.92435</v>
      </c>
      <c r="U29" s="290" t="str">
        <f t="shared" si="20"/>
        <v>No</v>
      </c>
      <c r="V29" s="280"/>
      <c r="W29" s="240"/>
      <c r="Y29" s="157" t="s">
        <v>461</v>
      </c>
      <c r="Z29" s="156">
        <v>74.83</v>
      </c>
      <c r="AA29" s="97"/>
      <c r="AD29" s="351"/>
      <c r="AE29" s="351"/>
      <c r="AF29" s="351"/>
      <c r="AH29" s="351"/>
      <c r="AI29" s="351"/>
      <c r="AJ29" s="351"/>
      <c r="AK29" s="351"/>
      <c r="AL29" s="351"/>
      <c r="AN29" s="250"/>
      <c r="AO29" s="250"/>
    </row>
    <row r="30" spans="1:41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5"/>
        <v>150</v>
      </c>
      <c r="F30" s="104">
        <v>213.84829999999999</v>
      </c>
      <c r="G30" s="92">
        <v>0.75</v>
      </c>
      <c r="H30" s="251">
        <f t="shared" si="6"/>
        <v>160.386225</v>
      </c>
      <c r="I30" s="82">
        <f t="shared" si="7"/>
        <v>2</v>
      </c>
      <c r="J30" s="251">
        <f t="shared" si="17"/>
        <v>300</v>
      </c>
      <c r="K30" s="93">
        <f t="shared" si="1"/>
        <v>139.613775</v>
      </c>
      <c r="L30" s="92">
        <f t="shared" si="8"/>
        <v>0.53462074999999998</v>
      </c>
      <c r="M30" s="99" t="s">
        <v>398</v>
      </c>
      <c r="N30" s="103">
        <v>1347.24</v>
      </c>
      <c r="O30" s="90">
        <f t="shared" si="9"/>
        <v>100</v>
      </c>
      <c r="P30" s="90">
        <f t="shared" si="21"/>
        <v>213.84829999999999</v>
      </c>
      <c r="Q30" s="90">
        <v>0.75</v>
      </c>
      <c r="R30" s="89">
        <f t="shared" si="11"/>
        <v>160.386225</v>
      </c>
      <c r="S30" s="90">
        <f t="shared" si="18"/>
        <v>200</v>
      </c>
      <c r="T30" s="286">
        <f t="shared" si="19"/>
        <v>39.613775000000004</v>
      </c>
      <c r="U30" s="290" t="str">
        <f t="shared" si="20"/>
        <v>No</v>
      </c>
      <c r="V30" s="281" t="s">
        <v>467</v>
      </c>
      <c r="W30" s="204">
        <v>74.83</v>
      </c>
      <c r="Y30" s="225" t="s">
        <v>16</v>
      </c>
      <c r="Z30" s="224">
        <v>30</v>
      </c>
      <c r="AA30" s="87"/>
      <c r="AD30" s="351"/>
      <c r="AE30" s="351"/>
      <c r="AF30" s="351"/>
      <c r="AG30" s="351"/>
      <c r="AH30" s="351"/>
      <c r="AI30" s="351"/>
      <c r="AJ30" s="351"/>
      <c r="AK30" s="351"/>
      <c r="AL30" s="351"/>
      <c r="AN30" s="250"/>
      <c r="AO30" s="250"/>
    </row>
    <row r="31" spans="1:41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5"/>
        <v>200</v>
      </c>
      <c r="F31" s="93">
        <v>320.7817</v>
      </c>
      <c r="G31" s="92">
        <v>0.75</v>
      </c>
      <c r="H31" s="251">
        <f t="shared" si="6"/>
        <v>240.586275</v>
      </c>
      <c r="I31" s="82">
        <f t="shared" si="7"/>
        <v>2</v>
      </c>
      <c r="J31" s="251">
        <f t="shared" si="17"/>
        <v>400</v>
      </c>
      <c r="K31" s="93">
        <f t="shared" si="1"/>
        <v>159.413725</v>
      </c>
      <c r="L31" s="92">
        <f t="shared" si="8"/>
        <v>0.60146568749999996</v>
      </c>
      <c r="M31" s="89" t="s">
        <v>396</v>
      </c>
      <c r="N31" s="91">
        <v>762.03</v>
      </c>
      <c r="O31" s="90">
        <f t="shared" si="9"/>
        <v>150</v>
      </c>
      <c r="P31" s="90">
        <f t="shared" si="21"/>
        <v>320.7817</v>
      </c>
      <c r="Q31" s="90">
        <v>0.75</v>
      </c>
      <c r="R31" s="89">
        <f t="shared" si="11"/>
        <v>240.586275</v>
      </c>
      <c r="S31" s="90">
        <f t="shared" si="18"/>
        <v>300</v>
      </c>
      <c r="T31" s="286">
        <f t="shared" si="19"/>
        <v>59.413724999999999</v>
      </c>
      <c r="U31" s="290" t="str">
        <f t="shared" si="20"/>
        <v>No</v>
      </c>
      <c r="V31" s="281"/>
      <c r="W31" s="204"/>
      <c r="Y31" s="120" t="s">
        <v>369</v>
      </c>
      <c r="Z31" s="229">
        <f>SUM(Z22:Z30)</f>
        <v>707.49000000000012</v>
      </c>
      <c r="AB31" s="20"/>
      <c r="AC31" s="17"/>
      <c r="AD31" s="18"/>
      <c r="AE31" s="351"/>
      <c r="AF31" s="18"/>
      <c r="AG31" s="351"/>
      <c r="AH31" s="351"/>
      <c r="AI31" s="353"/>
      <c r="AJ31" s="351"/>
      <c r="AK31" s="351"/>
      <c r="AL31" s="351"/>
      <c r="AN31" s="250"/>
      <c r="AO31" s="250"/>
    </row>
    <row r="32" spans="1:41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5"/>
        <v>250</v>
      </c>
      <c r="F32" s="93">
        <v>277.57420000000002</v>
      </c>
      <c r="G32" s="92">
        <v>0.75</v>
      </c>
      <c r="H32" s="251">
        <f t="shared" si="6"/>
        <v>208.18065000000001</v>
      </c>
      <c r="I32" s="82">
        <f t="shared" si="7"/>
        <v>1</v>
      </c>
      <c r="J32" s="251">
        <f t="shared" si="17"/>
        <v>250</v>
      </c>
      <c r="K32" s="93">
        <f t="shared" si="1"/>
        <v>41.819349999999986</v>
      </c>
      <c r="L32" s="92">
        <f t="shared" si="8"/>
        <v>0.83272260000000009</v>
      </c>
      <c r="M32" s="89" t="s">
        <v>393</v>
      </c>
      <c r="N32" s="91">
        <v>922.03</v>
      </c>
      <c r="O32" s="90">
        <f t="shared" si="9"/>
        <v>150</v>
      </c>
      <c r="P32" s="90">
        <f t="shared" si="21"/>
        <v>277.57420000000002</v>
      </c>
      <c r="Q32" s="90">
        <v>0.75</v>
      </c>
      <c r="R32" s="89">
        <f t="shared" si="11"/>
        <v>208.18065000000001</v>
      </c>
      <c r="S32" s="90">
        <f t="shared" si="18"/>
        <v>150</v>
      </c>
      <c r="T32" s="286">
        <f t="shared" si="19"/>
        <v>-58.180650000000014</v>
      </c>
      <c r="U32" s="290" t="str">
        <f t="shared" si="20"/>
        <v>Yes</v>
      </c>
      <c r="V32" s="282"/>
      <c r="W32" s="241"/>
      <c r="Y32" s="17" t="s">
        <v>365</v>
      </c>
      <c r="Z32" s="17">
        <f>Z31/9100.11497</f>
        <v>7.7745171608529701E-2</v>
      </c>
      <c r="AA32" s="250"/>
      <c r="AD32" s="18"/>
      <c r="AE32" s="351"/>
      <c r="AF32" s="18"/>
      <c r="AG32" s="351"/>
      <c r="AH32" s="351"/>
      <c r="AI32" s="351"/>
      <c r="AJ32" s="351"/>
      <c r="AK32" s="351"/>
      <c r="AL32" s="351"/>
      <c r="AN32" s="250"/>
      <c r="AO32" s="250"/>
    </row>
    <row r="33" spans="1:41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5"/>
        <v>150</v>
      </c>
      <c r="F33" s="83">
        <v>593.39</v>
      </c>
      <c r="G33" s="82">
        <v>0.75</v>
      </c>
      <c r="H33" s="252">
        <f t="shared" si="6"/>
        <v>445.04250000000002</v>
      </c>
      <c r="I33" s="82">
        <f t="shared" si="7"/>
        <v>4</v>
      </c>
      <c r="J33" s="252">
        <f t="shared" si="17"/>
        <v>600</v>
      </c>
      <c r="K33" s="83">
        <f t="shared" si="1"/>
        <v>154.95749999999998</v>
      </c>
      <c r="L33" s="82">
        <f t="shared" si="8"/>
        <v>0.74173750000000005</v>
      </c>
      <c r="M33" s="98" t="s">
        <v>390</v>
      </c>
      <c r="N33" s="81">
        <v>778.62</v>
      </c>
      <c r="O33" s="80">
        <f t="shared" si="9"/>
        <v>150</v>
      </c>
      <c r="P33" s="80">
        <f t="shared" si="21"/>
        <v>593.39</v>
      </c>
      <c r="Q33" s="80">
        <v>0.75</v>
      </c>
      <c r="R33" s="98">
        <f t="shared" si="11"/>
        <v>445.04250000000002</v>
      </c>
      <c r="S33" s="80">
        <f t="shared" si="18"/>
        <v>600</v>
      </c>
      <c r="T33" s="79">
        <f t="shared" si="19"/>
        <v>154.95749999999998</v>
      </c>
      <c r="U33" s="199" t="str">
        <f t="shared" si="20"/>
        <v>No</v>
      </c>
      <c r="V33" s="132"/>
      <c r="W33" s="101"/>
      <c r="Y33" s="345"/>
      <c r="Z33" s="345"/>
      <c r="AA33" s="345"/>
      <c r="AD33" s="18"/>
      <c r="AE33" s="351"/>
      <c r="AF33" s="351"/>
      <c r="AG33" s="351"/>
      <c r="AH33" s="351"/>
      <c r="AI33" s="351"/>
      <c r="AJ33" s="351"/>
      <c r="AK33" s="351"/>
      <c r="AL33" s="351"/>
      <c r="AN33" s="250"/>
      <c r="AO33" s="250"/>
    </row>
    <row r="34" spans="1:41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5"/>
        <v>150</v>
      </c>
      <c r="F34" s="104">
        <v>185.4342</v>
      </c>
      <c r="G34" s="92">
        <v>0.75</v>
      </c>
      <c r="H34" s="251">
        <f t="shared" si="6"/>
        <v>139.07565</v>
      </c>
      <c r="I34" s="82">
        <f t="shared" si="7"/>
        <v>2</v>
      </c>
      <c r="J34" s="251">
        <f t="shared" si="17"/>
        <v>300</v>
      </c>
      <c r="K34" s="93">
        <f t="shared" si="1"/>
        <v>160.92435</v>
      </c>
      <c r="L34" s="92">
        <f t="shared" si="8"/>
        <v>0.46358549999999998</v>
      </c>
      <c r="M34" s="99" t="s">
        <v>384</v>
      </c>
      <c r="N34" s="103">
        <v>975.03499999999997</v>
      </c>
      <c r="O34" s="90">
        <f t="shared" si="9"/>
        <v>150</v>
      </c>
      <c r="P34" s="90">
        <f t="shared" si="21"/>
        <v>185.4342</v>
      </c>
      <c r="Q34" s="90">
        <v>0.75</v>
      </c>
      <c r="R34" s="89">
        <f t="shared" si="11"/>
        <v>139.07565</v>
      </c>
      <c r="S34" s="90">
        <f t="shared" si="18"/>
        <v>300</v>
      </c>
      <c r="T34" s="286">
        <f t="shared" si="19"/>
        <v>160.92435</v>
      </c>
      <c r="U34" s="290" t="str">
        <f t="shared" si="20"/>
        <v>No</v>
      </c>
      <c r="V34" s="108"/>
      <c r="W34" s="100"/>
      <c r="Y34" s="497" t="s">
        <v>549</v>
      </c>
      <c r="Z34" s="498"/>
      <c r="AA34" s="498"/>
      <c r="AB34" s="498"/>
      <c r="AC34" s="498"/>
      <c r="AD34" s="499"/>
      <c r="AE34" s="155"/>
      <c r="AJ34" s="351"/>
      <c r="AK34" s="351"/>
      <c r="AL34" s="351"/>
    </row>
    <row r="35" spans="1:41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5"/>
        <v>150</v>
      </c>
      <c r="F35" s="93">
        <v>491.47570000000002</v>
      </c>
      <c r="G35" s="72">
        <v>0.75</v>
      </c>
      <c r="H35" s="251">
        <f t="shared" si="6"/>
        <v>368.60677500000003</v>
      </c>
      <c r="I35" s="82">
        <f t="shared" si="7"/>
        <v>3</v>
      </c>
      <c r="J35" s="251">
        <f t="shared" si="17"/>
        <v>450</v>
      </c>
      <c r="K35" s="73">
        <f t="shared" ref="K35:K56" si="22">J35-H35</f>
        <v>81.393224999999973</v>
      </c>
      <c r="L35" s="72">
        <f t="shared" si="8"/>
        <v>0.81912616666666671</v>
      </c>
      <c r="M35" s="89" t="s">
        <v>380</v>
      </c>
      <c r="N35" s="91">
        <v>660.12</v>
      </c>
      <c r="O35" s="114">
        <f t="shared" si="9"/>
        <v>150</v>
      </c>
      <c r="P35" s="114">
        <f t="shared" si="21"/>
        <v>491.47570000000002</v>
      </c>
      <c r="Q35" s="114">
        <v>0.75</v>
      </c>
      <c r="R35" s="89">
        <f t="shared" si="11"/>
        <v>368.60677500000003</v>
      </c>
      <c r="S35" s="114">
        <f t="shared" si="18"/>
        <v>450</v>
      </c>
      <c r="T35" s="288">
        <f t="shared" si="19"/>
        <v>81.393224999999973</v>
      </c>
      <c r="U35" s="289" t="str">
        <f t="shared" si="20"/>
        <v>No</v>
      </c>
      <c r="V35" s="128"/>
      <c r="W35" s="127"/>
      <c r="Y35" s="355" t="s">
        <v>484</v>
      </c>
      <c r="Z35" s="357" t="s">
        <v>485</v>
      </c>
      <c r="AA35" s="357" t="s">
        <v>486</v>
      </c>
      <c r="AB35" s="357" t="s">
        <v>487</v>
      </c>
      <c r="AC35" s="357" t="s">
        <v>488</v>
      </c>
      <c r="AD35" s="358" t="s">
        <v>489</v>
      </c>
      <c r="AE35" s="270" t="s">
        <v>416</v>
      </c>
      <c r="AJ35" s="351"/>
      <c r="AK35" s="351"/>
      <c r="AL35" s="351"/>
    </row>
    <row r="36" spans="1:41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5"/>
        <v>150</v>
      </c>
      <c r="F36" s="83">
        <v>213.84829999999999</v>
      </c>
      <c r="G36" s="92">
        <v>0.75</v>
      </c>
      <c r="H36" s="252">
        <f t="shared" si="6"/>
        <v>160.386225</v>
      </c>
      <c r="I36" s="82">
        <f t="shared" si="7"/>
        <v>2</v>
      </c>
      <c r="J36" s="252">
        <f t="shared" si="17"/>
        <v>300</v>
      </c>
      <c r="K36" s="93">
        <f t="shared" si="22"/>
        <v>139.613775</v>
      </c>
      <c r="L36" s="92">
        <f t="shared" si="8"/>
        <v>0.53462074999999998</v>
      </c>
      <c r="M36" s="98" t="s">
        <v>377</v>
      </c>
      <c r="N36" s="81">
        <v>844.89</v>
      </c>
      <c r="O36" s="90">
        <f t="shared" si="9"/>
        <v>150</v>
      </c>
      <c r="P36" s="90">
        <f t="shared" si="21"/>
        <v>213.84829999999999</v>
      </c>
      <c r="Q36" s="90">
        <v>0.75</v>
      </c>
      <c r="R36" s="98">
        <f t="shared" si="11"/>
        <v>160.386225</v>
      </c>
      <c r="S36" s="90">
        <f t="shared" si="18"/>
        <v>300</v>
      </c>
      <c r="T36" s="286">
        <f t="shared" si="19"/>
        <v>139.613775</v>
      </c>
      <c r="U36" s="290" t="str">
        <f t="shared" si="20"/>
        <v>No</v>
      </c>
      <c r="V36" s="77"/>
      <c r="W36" s="76"/>
      <c r="Y36" s="60" t="s">
        <v>84</v>
      </c>
      <c r="Z36" s="359">
        <v>0</v>
      </c>
      <c r="AA36" s="359">
        <v>0</v>
      </c>
      <c r="AB36" s="360">
        <v>0</v>
      </c>
      <c r="AC36" s="360">
        <v>0</v>
      </c>
      <c r="AD36" s="292">
        <v>0</v>
      </c>
      <c r="AE36" s="361">
        <f>SUM(Z36:AD36)</f>
        <v>0</v>
      </c>
      <c r="AJ36" s="351"/>
      <c r="AK36" s="351"/>
      <c r="AL36" s="351"/>
    </row>
    <row r="37" spans="1:41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5"/>
        <v>200</v>
      </c>
      <c r="F37" s="93">
        <v>1151.328</v>
      </c>
      <c r="G37" s="92">
        <v>0.75</v>
      </c>
      <c r="H37" s="253">
        <f t="shared" si="6"/>
        <v>863.49599999999998</v>
      </c>
      <c r="I37" s="82">
        <f t="shared" si="7"/>
        <v>6</v>
      </c>
      <c r="J37" s="253">
        <f t="shared" si="17"/>
        <v>1200</v>
      </c>
      <c r="K37" s="93">
        <f t="shared" si="22"/>
        <v>336.50400000000002</v>
      </c>
      <c r="L37" s="92">
        <f t="shared" si="8"/>
        <v>0.71958</v>
      </c>
      <c r="M37" s="89" t="s">
        <v>374</v>
      </c>
      <c r="N37" s="91">
        <v>503.42500000000001</v>
      </c>
      <c r="O37" s="90">
        <f t="shared" si="9"/>
        <v>200</v>
      </c>
      <c r="P37" s="90">
        <f t="shared" si="21"/>
        <v>1151.328</v>
      </c>
      <c r="Q37" s="90">
        <v>0.75</v>
      </c>
      <c r="R37" s="69">
        <f t="shared" si="11"/>
        <v>863.49599999999998</v>
      </c>
      <c r="S37" s="90">
        <f t="shared" si="18"/>
        <v>1200</v>
      </c>
      <c r="T37" s="286">
        <f t="shared" si="19"/>
        <v>336.50400000000002</v>
      </c>
      <c r="U37" s="290" t="str">
        <f t="shared" si="20"/>
        <v>No</v>
      </c>
      <c r="V37" s="67"/>
      <c r="W37" s="66"/>
      <c r="Y37" s="60" t="s">
        <v>85</v>
      </c>
      <c r="Z37" s="359">
        <v>1</v>
      </c>
      <c r="AA37" s="359">
        <v>0</v>
      </c>
      <c r="AB37" s="359">
        <v>0</v>
      </c>
      <c r="AC37" s="359">
        <v>0</v>
      </c>
      <c r="AD37" s="292">
        <v>0</v>
      </c>
      <c r="AE37" s="60">
        <f t="shared" ref="AE37:AE47" si="23">SUM(Z37:AD37)</f>
        <v>1</v>
      </c>
      <c r="AJ37" s="351"/>
      <c r="AK37" s="351"/>
      <c r="AL37" s="351"/>
    </row>
    <row r="38" spans="1:41" ht="13.5" thickBot="1">
      <c r="A38" s="107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5"/>
        <v>250</v>
      </c>
      <c r="F38" s="83">
        <v>779.52329999999995</v>
      </c>
      <c r="G38" s="169">
        <v>0.75</v>
      </c>
      <c r="H38" s="251">
        <f t="shared" si="6"/>
        <v>584.64247499999999</v>
      </c>
      <c r="I38" s="82">
        <f t="shared" si="7"/>
        <v>3</v>
      </c>
      <c r="J38" s="251">
        <f t="shared" si="17"/>
        <v>750</v>
      </c>
      <c r="K38" s="170">
        <f t="shared" si="22"/>
        <v>165.35752500000001</v>
      </c>
      <c r="L38" s="169">
        <f t="shared" si="8"/>
        <v>0.77952330000000003</v>
      </c>
      <c r="M38" s="98" t="s">
        <v>371</v>
      </c>
      <c r="N38" s="81">
        <v>539.80499999999995</v>
      </c>
      <c r="O38" s="167">
        <f t="shared" si="9"/>
        <v>150</v>
      </c>
      <c r="P38" s="167">
        <f t="shared" si="21"/>
        <v>779.52329999999995</v>
      </c>
      <c r="Q38" s="167">
        <v>0.75</v>
      </c>
      <c r="R38" s="89">
        <f t="shared" si="11"/>
        <v>584.64247499999999</v>
      </c>
      <c r="S38" s="167">
        <f t="shared" si="18"/>
        <v>450</v>
      </c>
      <c r="T38" s="287">
        <f t="shared" si="19"/>
        <v>-134.64247499999999</v>
      </c>
      <c r="U38" s="291" t="str">
        <f t="shared" si="20"/>
        <v>Yes</v>
      </c>
      <c r="V38" s="283" t="s">
        <v>468</v>
      </c>
      <c r="W38" s="200" t="s">
        <v>495</v>
      </c>
      <c r="Y38" s="60" t="s">
        <v>86</v>
      </c>
      <c r="Z38" s="359">
        <v>0</v>
      </c>
      <c r="AA38" s="359">
        <v>0</v>
      </c>
      <c r="AB38" s="359">
        <v>0</v>
      </c>
      <c r="AC38" s="359">
        <v>0</v>
      </c>
      <c r="AD38" s="292">
        <v>0</v>
      </c>
      <c r="AE38" s="60">
        <f t="shared" si="23"/>
        <v>0</v>
      </c>
      <c r="AG38" s="471" t="s">
        <v>490</v>
      </c>
      <c r="AH38" s="471" t="s">
        <v>491</v>
      </c>
      <c r="AI38" s="363" t="s">
        <v>492</v>
      </c>
      <c r="AJ38" s="351"/>
      <c r="AK38" s="351"/>
      <c r="AL38" s="351"/>
    </row>
    <row r="39" spans="1:41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5"/>
        <v>250</v>
      </c>
      <c r="F39" s="83">
        <v>886.15449999999998</v>
      </c>
      <c r="G39" s="92">
        <v>0.75</v>
      </c>
      <c r="H39" s="252">
        <f t="shared" si="6"/>
        <v>664.61587499999996</v>
      </c>
      <c r="I39" s="82">
        <f t="shared" si="7"/>
        <v>4</v>
      </c>
      <c r="J39" s="252">
        <f t="shared" si="17"/>
        <v>1000</v>
      </c>
      <c r="K39" s="93">
        <f t="shared" si="22"/>
        <v>335.38412500000004</v>
      </c>
      <c r="L39" s="92">
        <f t="shared" si="8"/>
        <v>0.66461587499999997</v>
      </c>
      <c r="M39" s="98" t="s">
        <v>366</v>
      </c>
      <c r="N39" s="81">
        <v>585.61500000000001</v>
      </c>
      <c r="O39" s="90">
        <f t="shared" si="9"/>
        <v>150</v>
      </c>
      <c r="P39" s="90">
        <f t="shared" si="21"/>
        <v>886.15449999999998</v>
      </c>
      <c r="Q39" s="90">
        <v>0.75</v>
      </c>
      <c r="R39" s="98">
        <f t="shared" si="11"/>
        <v>664.61587499999996</v>
      </c>
      <c r="S39" s="90">
        <f t="shared" si="18"/>
        <v>600</v>
      </c>
      <c r="T39" s="286">
        <f t="shared" si="19"/>
        <v>-64.61587499999996</v>
      </c>
      <c r="U39" s="290" t="str">
        <f t="shared" si="20"/>
        <v>Yes</v>
      </c>
      <c r="V39" s="198" t="s">
        <v>452</v>
      </c>
      <c r="W39" s="197" t="s">
        <v>469</v>
      </c>
      <c r="Y39" s="60" t="s">
        <v>87</v>
      </c>
      <c r="Z39" s="359">
        <v>1</v>
      </c>
      <c r="AA39" s="359">
        <v>1</v>
      </c>
      <c r="AB39" s="359">
        <v>0</v>
      </c>
      <c r="AC39" s="359">
        <v>0</v>
      </c>
      <c r="AD39" s="292">
        <v>0</v>
      </c>
      <c r="AE39" s="60">
        <f t="shared" si="23"/>
        <v>2</v>
      </c>
      <c r="AG39" s="61" t="s">
        <v>485</v>
      </c>
      <c r="AH39" s="61">
        <v>100</v>
      </c>
      <c r="AI39" s="420">
        <v>15</v>
      </c>
      <c r="AJ39" s="351"/>
      <c r="AK39" s="351"/>
      <c r="AL39" s="351"/>
    </row>
    <row r="40" spans="1:41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5"/>
        <v>200</v>
      </c>
      <c r="F40" s="73">
        <v>233.80699999999999</v>
      </c>
      <c r="G40" s="92">
        <v>0.75</v>
      </c>
      <c r="H40" s="251">
        <f t="shared" si="6"/>
        <v>175.35524999999998</v>
      </c>
      <c r="I40" s="82">
        <f t="shared" si="7"/>
        <v>2</v>
      </c>
      <c r="J40" s="251">
        <f t="shared" si="17"/>
        <v>400</v>
      </c>
      <c r="K40" s="93">
        <f t="shared" si="22"/>
        <v>224.64475000000002</v>
      </c>
      <c r="L40" s="92">
        <f t="shared" si="8"/>
        <v>0.43838812499999996</v>
      </c>
      <c r="M40" s="69" t="s">
        <v>328</v>
      </c>
      <c r="N40" s="71">
        <v>673.16499999999996</v>
      </c>
      <c r="O40" s="90">
        <f t="shared" si="9"/>
        <v>150</v>
      </c>
      <c r="P40" s="90">
        <f t="shared" si="21"/>
        <v>233.80699999999999</v>
      </c>
      <c r="Q40" s="90">
        <v>0.75</v>
      </c>
      <c r="R40" s="89">
        <f t="shared" si="11"/>
        <v>175.35524999999998</v>
      </c>
      <c r="S40" s="90">
        <f t="shared" si="18"/>
        <v>300</v>
      </c>
      <c r="T40" s="286">
        <f t="shared" si="19"/>
        <v>124.64475000000002</v>
      </c>
      <c r="U40" s="290" t="str">
        <f t="shared" si="20"/>
        <v>No</v>
      </c>
      <c r="V40" s="196" t="s">
        <v>470</v>
      </c>
      <c r="W40" s="195" t="s">
        <v>471</v>
      </c>
      <c r="Y40" s="60" t="s">
        <v>88</v>
      </c>
      <c r="Z40" s="359">
        <v>1</v>
      </c>
      <c r="AA40" s="359">
        <v>0</v>
      </c>
      <c r="AB40" s="359">
        <v>0</v>
      </c>
      <c r="AC40" s="359">
        <v>0</v>
      </c>
      <c r="AD40" s="292">
        <v>0</v>
      </c>
      <c r="AE40" s="60">
        <f t="shared" si="23"/>
        <v>1</v>
      </c>
      <c r="AF40" s="351"/>
      <c r="AG40" s="364" t="s">
        <v>486</v>
      </c>
      <c r="AH40" s="364">
        <v>150</v>
      </c>
      <c r="AI40" s="421">
        <v>16.3689</v>
      </c>
      <c r="AJ40" s="351"/>
      <c r="AK40" s="351"/>
      <c r="AL40" s="351"/>
    </row>
    <row r="41" spans="1:41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5"/>
        <v>150</v>
      </c>
      <c r="F41" s="93">
        <v>416.14780000000002</v>
      </c>
      <c r="G41" s="82">
        <v>0.75</v>
      </c>
      <c r="H41" s="252">
        <f t="shared" si="6"/>
        <v>312.11085000000003</v>
      </c>
      <c r="I41" s="82">
        <f t="shared" si="7"/>
        <v>3</v>
      </c>
      <c r="J41" s="252">
        <f t="shared" si="17"/>
        <v>450</v>
      </c>
      <c r="K41" s="83">
        <f t="shared" si="22"/>
        <v>137.88914999999997</v>
      </c>
      <c r="L41" s="82">
        <f t="shared" si="8"/>
        <v>0.69357966666666671</v>
      </c>
      <c r="M41" s="89" t="s">
        <v>361</v>
      </c>
      <c r="N41" s="91">
        <v>692.19500000000005</v>
      </c>
      <c r="O41" s="80">
        <f t="shared" si="9"/>
        <v>150</v>
      </c>
      <c r="P41" s="80">
        <f t="shared" si="21"/>
        <v>416.14780000000002</v>
      </c>
      <c r="Q41" s="80">
        <v>0.75</v>
      </c>
      <c r="R41" s="98">
        <f t="shared" si="11"/>
        <v>312.11085000000003</v>
      </c>
      <c r="S41" s="80">
        <f t="shared" si="18"/>
        <v>450</v>
      </c>
      <c r="T41" s="79">
        <f t="shared" si="19"/>
        <v>137.88914999999997</v>
      </c>
      <c r="U41" s="199" t="str">
        <f t="shared" si="20"/>
        <v>No</v>
      </c>
      <c r="V41" s="108"/>
      <c r="W41" s="100"/>
      <c r="Y41" s="60" t="s">
        <v>89</v>
      </c>
      <c r="Z41" s="359">
        <v>0</v>
      </c>
      <c r="AA41" s="359">
        <v>0</v>
      </c>
      <c r="AB41" s="359">
        <v>0</v>
      </c>
      <c r="AC41" s="359">
        <v>0</v>
      </c>
      <c r="AD41" s="292">
        <v>0</v>
      </c>
      <c r="AE41" s="60">
        <f t="shared" si="23"/>
        <v>0</v>
      </c>
      <c r="AF41" s="352"/>
      <c r="AG41" s="364" t="s">
        <v>487</v>
      </c>
      <c r="AH41" s="364">
        <v>200</v>
      </c>
      <c r="AI41" s="421">
        <v>16.746700000000001</v>
      </c>
      <c r="AJ41" s="351"/>
      <c r="AK41" s="351"/>
      <c r="AL41" s="351"/>
    </row>
    <row r="42" spans="1:41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5"/>
        <v>150</v>
      </c>
      <c r="F42" s="104">
        <v>424.66829999999999</v>
      </c>
      <c r="G42" s="92">
        <v>0.75</v>
      </c>
      <c r="H42" s="251">
        <f t="shared" si="6"/>
        <v>318.50122499999998</v>
      </c>
      <c r="I42" s="82">
        <f t="shared" si="7"/>
        <v>3</v>
      </c>
      <c r="J42" s="251">
        <f t="shared" si="17"/>
        <v>450</v>
      </c>
      <c r="K42" s="93">
        <f t="shared" si="22"/>
        <v>131.49877500000002</v>
      </c>
      <c r="L42" s="92">
        <f t="shared" si="8"/>
        <v>0.70778049999999992</v>
      </c>
      <c r="M42" s="99" t="s">
        <v>359</v>
      </c>
      <c r="N42" s="103">
        <v>1033.6600000000001</v>
      </c>
      <c r="O42" s="90">
        <f t="shared" si="9"/>
        <v>150</v>
      </c>
      <c r="P42" s="90">
        <f t="shared" si="21"/>
        <v>424.66829999999999</v>
      </c>
      <c r="Q42" s="90">
        <v>0.75</v>
      </c>
      <c r="R42" s="89">
        <f t="shared" si="11"/>
        <v>318.50122499999998</v>
      </c>
      <c r="S42" s="90">
        <f t="shared" si="18"/>
        <v>450</v>
      </c>
      <c r="T42" s="286">
        <f t="shared" si="19"/>
        <v>131.49877500000002</v>
      </c>
      <c r="U42" s="290" t="str">
        <f t="shared" si="20"/>
        <v>No</v>
      </c>
      <c r="V42" s="108"/>
      <c r="W42" s="100"/>
      <c r="Y42" s="60" t="s">
        <v>90</v>
      </c>
      <c r="Z42" s="359">
        <v>1</v>
      </c>
      <c r="AA42" s="359">
        <v>0</v>
      </c>
      <c r="AB42" s="359">
        <v>0</v>
      </c>
      <c r="AC42" s="359">
        <v>0</v>
      </c>
      <c r="AD42" s="292">
        <v>0</v>
      </c>
      <c r="AE42" s="60">
        <f t="shared" si="23"/>
        <v>1</v>
      </c>
      <c r="AF42" s="352"/>
      <c r="AG42" s="364" t="s">
        <v>488</v>
      </c>
      <c r="AH42" s="364">
        <v>250</v>
      </c>
      <c r="AI42" s="421">
        <v>16.886600000000001</v>
      </c>
      <c r="AJ42" s="351"/>
      <c r="AK42" s="351"/>
      <c r="AL42" s="351"/>
    </row>
    <row r="43" spans="1:41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5"/>
        <v>250</v>
      </c>
      <c r="F43" s="93">
        <v>80.336669999999998</v>
      </c>
      <c r="G43" s="72">
        <v>0.75</v>
      </c>
      <c r="H43" s="253">
        <f t="shared" si="6"/>
        <v>60.252502499999999</v>
      </c>
      <c r="I43" s="82">
        <f t="shared" si="7"/>
        <v>1</v>
      </c>
      <c r="J43" s="253">
        <f t="shared" si="17"/>
        <v>250</v>
      </c>
      <c r="K43" s="73">
        <f t="shared" si="22"/>
        <v>189.74749750000001</v>
      </c>
      <c r="L43" s="72">
        <f t="shared" si="8"/>
        <v>0.24101001</v>
      </c>
      <c r="M43" s="89" t="s">
        <v>357</v>
      </c>
      <c r="N43" s="91">
        <v>811.21</v>
      </c>
      <c r="O43" s="114">
        <f t="shared" si="9"/>
        <v>150</v>
      </c>
      <c r="P43" s="114">
        <f t="shared" si="21"/>
        <v>80.336669999999998</v>
      </c>
      <c r="Q43" s="114">
        <v>0.75</v>
      </c>
      <c r="R43" s="69">
        <f t="shared" si="11"/>
        <v>60.252502499999999</v>
      </c>
      <c r="S43" s="114">
        <f t="shared" si="18"/>
        <v>150</v>
      </c>
      <c r="T43" s="288">
        <f t="shared" si="19"/>
        <v>89.747497500000009</v>
      </c>
      <c r="U43" s="289" t="str">
        <f t="shared" si="20"/>
        <v>No</v>
      </c>
      <c r="V43" s="108"/>
      <c r="W43" s="100"/>
      <c r="Y43" s="60" t="s">
        <v>91</v>
      </c>
      <c r="Z43" s="359">
        <v>1</v>
      </c>
      <c r="AA43" s="359">
        <v>1</v>
      </c>
      <c r="AB43" s="292">
        <v>0</v>
      </c>
      <c r="AC43" s="292">
        <v>0</v>
      </c>
      <c r="AD43" s="292">
        <v>0</v>
      </c>
      <c r="AE43" s="60">
        <f t="shared" si="23"/>
        <v>2</v>
      </c>
      <c r="AF43" s="351"/>
      <c r="AG43" s="365" t="s">
        <v>525</v>
      </c>
      <c r="AH43" s="365">
        <v>300</v>
      </c>
      <c r="AI43" s="422">
        <v>17</v>
      </c>
      <c r="AJ43" s="351"/>
      <c r="AK43" s="351"/>
      <c r="AL43" s="351"/>
    </row>
    <row r="44" spans="1:41" ht="13.5" thickBot="1">
      <c r="A44" s="107" t="s">
        <v>355</v>
      </c>
      <c r="B44" s="85" t="s">
        <v>356</v>
      </c>
      <c r="C44" s="84" t="s">
        <v>355</v>
      </c>
      <c r="D44" s="83">
        <v>517.28</v>
      </c>
      <c r="E44" s="93">
        <f t="shared" si="5"/>
        <v>200</v>
      </c>
      <c r="F44" s="83">
        <v>67.241829999999993</v>
      </c>
      <c r="G44" s="92">
        <v>0.75</v>
      </c>
      <c r="H44" s="251">
        <f t="shared" si="6"/>
        <v>50.431372499999995</v>
      </c>
      <c r="I44" s="82">
        <f t="shared" si="7"/>
        <v>1</v>
      </c>
      <c r="J44" s="251">
        <f t="shared" si="17"/>
        <v>200</v>
      </c>
      <c r="K44" s="93">
        <f t="shared" si="22"/>
        <v>149.56862749999999</v>
      </c>
      <c r="L44" s="92">
        <f t="shared" si="8"/>
        <v>0.25215686249999997</v>
      </c>
      <c r="M44" s="98" t="s">
        <v>354</v>
      </c>
      <c r="N44" s="81">
        <v>607.995</v>
      </c>
      <c r="O44" s="90">
        <f t="shared" si="9"/>
        <v>150</v>
      </c>
      <c r="P44" s="90">
        <f t="shared" si="21"/>
        <v>67.241829999999993</v>
      </c>
      <c r="Q44" s="90">
        <v>0.75</v>
      </c>
      <c r="R44" s="89">
        <f t="shared" si="11"/>
        <v>50.431372499999995</v>
      </c>
      <c r="S44" s="90">
        <f t="shared" si="18"/>
        <v>150</v>
      </c>
      <c r="T44" s="286">
        <f t="shared" si="19"/>
        <v>99.568627500000005</v>
      </c>
      <c r="U44" s="290" t="str">
        <f t="shared" si="20"/>
        <v>No</v>
      </c>
      <c r="V44" s="284"/>
      <c r="W44" s="193"/>
      <c r="Y44" s="60" t="s">
        <v>92</v>
      </c>
      <c r="Z44" s="292">
        <v>1</v>
      </c>
      <c r="AA44" s="292">
        <v>0</v>
      </c>
      <c r="AB44" s="292">
        <v>0</v>
      </c>
      <c r="AC44" s="292">
        <v>0</v>
      </c>
      <c r="AD44" s="292">
        <v>0</v>
      </c>
      <c r="AE44" s="60">
        <f t="shared" si="23"/>
        <v>1</v>
      </c>
      <c r="AF44" s="351"/>
      <c r="AG44" s="351"/>
      <c r="AH44" s="351"/>
      <c r="AJ44" s="351"/>
      <c r="AK44" s="351"/>
      <c r="AL44" s="351"/>
    </row>
    <row r="45" spans="1:41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5"/>
        <v>150</v>
      </c>
      <c r="F45" s="83">
        <v>175.91919999999999</v>
      </c>
      <c r="G45" s="92">
        <v>0.75</v>
      </c>
      <c r="H45" s="252">
        <f t="shared" si="6"/>
        <v>131.93939999999998</v>
      </c>
      <c r="I45" s="82">
        <f t="shared" si="7"/>
        <v>2</v>
      </c>
      <c r="J45" s="252">
        <f t="shared" si="17"/>
        <v>300</v>
      </c>
      <c r="K45" s="83">
        <f t="shared" si="22"/>
        <v>168.06060000000002</v>
      </c>
      <c r="L45" s="82">
        <f t="shared" si="8"/>
        <v>0.43979799999999991</v>
      </c>
      <c r="M45" s="98" t="s">
        <v>352</v>
      </c>
      <c r="N45" s="81">
        <v>1051.23</v>
      </c>
      <c r="O45" s="80">
        <f t="shared" si="9"/>
        <v>150</v>
      </c>
      <c r="P45" s="80">
        <f t="shared" si="21"/>
        <v>175.91919999999999</v>
      </c>
      <c r="Q45" s="80">
        <v>0.75</v>
      </c>
      <c r="R45" s="98">
        <f t="shared" si="11"/>
        <v>131.93939999999998</v>
      </c>
      <c r="S45" s="80">
        <f t="shared" si="18"/>
        <v>300</v>
      </c>
      <c r="T45" s="79">
        <f t="shared" si="19"/>
        <v>168.06060000000002</v>
      </c>
      <c r="U45" s="199" t="str">
        <f t="shared" si="20"/>
        <v>No</v>
      </c>
      <c r="V45" s="132"/>
      <c r="W45" s="101"/>
      <c r="Y45" s="60" t="s">
        <v>93</v>
      </c>
      <c r="Z45" s="292">
        <v>2</v>
      </c>
      <c r="AA45" s="359">
        <v>0</v>
      </c>
      <c r="AB45" s="292">
        <v>0</v>
      </c>
      <c r="AC45" s="292">
        <v>0</v>
      </c>
      <c r="AD45" s="292">
        <v>0</v>
      </c>
      <c r="AE45" s="60">
        <f t="shared" si="23"/>
        <v>2</v>
      </c>
      <c r="AF45" s="351"/>
      <c r="AG45" s="351"/>
      <c r="AH45" s="351"/>
      <c r="AJ45" s="351"/>
      <c r="AK45" s="351"/>
      <c r="AL45" s="351"/>
    </row>
    <row r="46" spans="1:41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5"/>
        <v>200</v>
      </c>
      <c r="F46" s="104">
        <v>115.1143</v>
      </c>
      <c r="G46" s="92">
        <v>0.75</v>
      </c>
      <c r="H46" s="251">
        <f t="shared" si="6"/>
        <v>86.335724999999996</v>
      </c>
      <c r="I46" s="82">
        <f t="shared" si="7"/>
        <v>1</v>
      </c>
      <c r="J46" s="251">
        <f t="shared" si="17"/>
        <v>200</v>
      </c>
      <c r="K46" s="93">
        <f t="shared" si="22"/>
        <v>113.664275</v>
      </c>
      <c r="L46" s="92">
        <f t="shared" si="8"/>
        <v>0.43167862499999998</v>
      </c>
      <c r="M46" s="99" t="s">
        <v>348</v>
      </c>
      <c r="N46" s="103">
        <v>838.745</v>
      </c>
      <c r="O46" s="90">
        <f t="shared" si="9"/>
        <v>150</v>
      </c>
      <c r="P46" s="90">
        <f t="shared" si="21"/>
        <v>115.1143</v>
      </c>
      <c r="Q46" s="90">
        <v>0.75</v>
      </c>
      <c r="R46" s="89">
        <f t="shared" si="11"/>
        <v>86.335724999999996</v>
      </c>
      <c r="S46" s="90">
        <f t="shared" si="18"/>
        <v>150</v>
      </c>
      <c r="T46" s="286">
        <f t="shared" si="19"/>
        <v>63.664275000000004</v>
      </c>
      <c r="U46" s="290" t="str">
        <f t="shared" si="20"/>
        <v>No</v>
      </c>
      <c r="V46" s="277"/>
      <c r="W46" s="190"/>
      <c r="Y46" s="60" t="s">
        <v>94</v>
      </c>
      <c r="Z46" s="292">
        <v>3</v>
      </c>
      <c r="AA46" s="359">
        <v>0</v>
      </c>
      <c r="AB46" s="292">
        <v>0</v>
      </c>
      <c r="AC46" s="292">
        <v>0</v>
      </c>
      <c r="AD46" s="292">
        <v>0</v>
      </c>
      <c r="AE46" s="60">
        <f t="shared" si="23"/>
        <v>3</v>
      </c>
      <c r="AF46" s="18"/>
      <c r="AG46" s="18"/>
      <c r="AH46" s="351"/>
      <c r="AJ46" s="351"/>
      <c r="AK46" s="351"/>
      <c r="AL46" s="351"/>
    </row>
    <row r="47" spans="1:41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5"/>
        <v>150</v>
      </c>
      <c r="F47" s="104">
        <v>87.5685</v>
      </c>
      <c r="G47" s="92">
        <v>0.75</v>
      </c>
      <c r="H47" s="251">
        <f t="shared" si="6"/>
        <v>65.676375000000007</v>
      </c>
      <c r="I47" s="82">
        <f t="shared" si="7"/>
        <v>1</v>
      </c>
      <c r="J47" s="251">
        <f t="shared" si="17"/>
        <v>150</v>
      </c>
      <c r="K47" s="93">
        <f t="shared" si="22"/>
        <v>84.323624999999993</v>
      </c>
      <c r="L47" s="92">
        <f t="shared" si="8"/>
        <v>0.43784250000000002</v>
      </c>
      <c r="M47" s="99" t="s">
        <v>346</v>
      </c>
      <c r="N47" s="103">
        <v>792.93499999999995</v>
      </c>
      <c r="O47" s="90">
        <f t="shared" si="9"/>
        <v>150</v>
      </c>
      <c r="P47" s="90">
        <f t="shared" si="21"/>
        <v>87.5685</v>
      </c>
      <c r="Q47" s="90">
        <v>0.75</v>
      </c>
      <c r="R47" s="89">
        <f t="shared" si="11"/>
        <v>65.676375000000007</v>
      </c>
      <c r="S47" s="90">
        <f t="shared" si="18"/>
        <v>150</v>
      </c>
      <c r="T47" s="286">
        <f t="shared" si="19"/>
        <v>84.323624999999993</v>
      </c>
      <c r="U47" s="290" t="str">
        <f t="shared" si="20"/>
        <v>No</v>
      </c>
      <c r="V47" s="277"/>
      <c r="W47" s="190"/>
      <c r="Y47" s="366" t="s">
        <v>482</v>
      </c>
      <c r="Z47" s="367">
        <v>0</v>
      </c>
      <c r="AA47" s="367">
        <v>0</v>
      </c>
      <c r="AB47" s="367">
        <v>0</v>
      </c>
      <c r="AC47" s="367">
        <v>0</v>
      </c>
      <c r="AD47" s="367">
        <v>0</v>
      </c>
      <c r="AE47" s="366">
        <f t="shared" si="23"/>
        <v>0</v>
      </c>
      <c r="AF47" s="351"/>
      <c r="AG47" s="497" t="s">
        <v>551</v>
      </c>
      <c r="AH47" s="498"/>
      <c r="AI47" s="498"/>
      <c r="AJ47" s="498"/>
      <c r="AK47" s="498"/>
      <c r="AL47" s="499"/>
      <c r="AM47" s="155"/>
    </row>
    <row r="48" spans="1:41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5"/>
        <v>150</v>
      </c>
      <c r="F48" s="93">
        <v>46.164000000000001</v>
      </c>
      <c r="G48" s="92">
        <v>0.75</v>
      </c>
      <c r="H48" s="251">
        <f t="shared" si="6"/>
        <v>34.623000000000005</v>
      </c>
      <c r="I48" s="82">
        <f t="shared" si="7"/>
        <v>1</v>
      </c>
      <c r="J48" s="251">
        <f t="shared" si="17"/>
        <v>150</v>
      </c>
      <c r="K48" s="73">
        <f t="shared" si="22"/>
        <v>115.377</v>
      </c>
      <c r="L48" s="72">
        <f t="shared" si="8"/>
        <v>0.23082000000000003</v>
      </c>
      <c r="M48" s="89" t="s">
        <v>345</v>
      </c>
      <c r="N48" s="91">
        <v>934.80499999999995</v>
      </c>
      <c r="O48" s="114">
        <f t="shared" si="9"/>
        <v>150</v>
      </c>
      <c r="P48" s="114">
        <f t="shared" si="21"/>
        <v>46.164000000000001</v>
      </c>
      <c r="Q48" s="114">
        <v>0.75</v>
      </c>
      <c r="R48" s="89">
        <f t="shared" si="11"/>
        <v>34.623000000000005</v>
      </c>
      <c r="S48" s="114">
        <f t="shared" si="18"/>
        <v>150</v>
      </c>
      <c r="T48" s="288">
        <f t="shared" si="19"/>
        <v>115.377</v>
      </c>
      <c r="U48" s="289" t="str">
        <f t="shared" si="20"/>
        <v>No</v>
      </c>
      <c r="V48" s="108"/>
      <c r="W48" s="100"/>
      <c r="Y48" s="270" t="s">
        <v>493</v>
      </c>
      <c r="Z48" s="368">
        <f t="shared" ref="Z48:AE48" si="24">SUM(Z36:Z47)</f>
        <v>11</v>
      </c>
      <c r="AA48" s="368">
        <f t="shared" si="24"/>
        <v>2</v>
      </c>
      <c r="AB48" s="368">
        <f t="shared" si="24"/>
        <v>0</v>
      </c>
      <c r="AC48" s="368">
        <f t="shared" si="24"/>
        <v>0</v>
      </c>
      <c r="AD48" s="368">
        <f t="shared" si="24"/>
        <v>0</v>
      </c>
      <c r="AE48" s="369">
        <f t="shared" si="24"/>
        <v>13</v>
      </c>
      <c r="AF48" s="351"/>
      <c r="AG48" s="355" t="s">
        <v>484</v>
      </c>
      <c r="AH48" s="357" t="s">
        <v>485</v>
      </c>
      <c r="AI48" s="357" t="s">
        <v>486</v>
      </c>
      <c r="AJ48" s="357" t="s">
        <v>487</v>
      </c>
      <c r="AK48" s="357" t="s">
        <v>488</v>
      </c>
      <c r="AL48" s="358" t="s">
        <v>525</v>
      </c>
      <c r="AM48" s="270" t="s">
        <v>416</v>
      </c>
    </row>
    <row r="49" spans="1:39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5"/>
        <v>150</v>
      </c>
      <c r="F49" s="83">
        <v>175.91919999999999</v>
      </c>
      <c r="G49" s="82">
        <v>0.75</v>
      </c>
      <c r="H49" s="252">
        <f t="shared" si="6"/>
        <v>131.93939999999998</v>
      </c>
      <c r="I49" s="82">
        <f t="shared" si="7"/>
        <v>2</v>
      </c>
      <c r="J49" s="252">
        <f t="shared" si="17"/>
        <v>300</v>
      </c>
      <c r="K49" s="93">
        <f t="shared" si="22"/>
        <v>168.06060000000002</v>
      </c>
      <c r="L49" s="92">
        <f t="shared" si="8"/>
        <v>0.43979799999999991</v>
      </c>
      <c r="M49" s="98" t="s">
        <v>341</v>
      </c>
      <c r="N49" s="81">
        <v>992.44500000000005</v>
      </c>
      <c r="O49" s="90">
        <f t="shared" si="9"/>
        <v>150</v>
      </c>
      <c r="P49" s="90">
        <f t="shared" si="21"/>
        <v>175.91919999999999</v>
      </c>
      <c r="Q49" s="90">
        <v>0.75</v>
      </c>
      <c r="R49" s="98">
        <f t="shared" si="11"/>
        <v>131.93939999999998</v>
      </c>
      <c r="S49" s="90">
        <f t="shared" si="18"/>
        <v>300</v>
      </c>
      <c r="T49" s="286">
        <f t="shared" si="19"/>
        <v>168.06060000000002</v>
      </c>
      <c r="U49" s="290" t="str">
        <f t="shared" si="20"/>
        <v>No</v>
      </c>
      <c r="V49" s="132"/>
      <c r="W49" s="101"/>
      <c r="Y49" s="270" t="s">
        <v>492</v>
      </c>
      <c r="Z49" s="370">
        <f>PRODUCT(Z48*AI39)</f>
        <v>165</v>
      </c>
      <c r="AA49" s="370">
        <f>PRODUCT(AA48*AI40)</f>
        <v>32.7378</v>
      </c>
      <c r="AB49" s="370">
        <f>PRODUCT(AB48*AI41)</f>
        <v>0</v>
      </c>
      <c r="AC49" s="370">
        <f>PRODUCT(AC48*AI42)</f>
        <v>0</v>
      </c>
      <c r="AD49" s="370">
        <f>PRODUCT(AD48*AI43)</f>
        <v>0</v>
      </c>
      <c r="AE49" s="270">
        <f>SUM(Z49:AD49)</f>
        <v>197.73779999999999</v>
      </c>
      <c r="AF49" s="351"/>
      <c r="AG49" s="60" t="s">
        <v>84</v>
      </c>
      <c r="AH49" s="470">
        <f>Z36+Z56</f>
        <v>0</v>
      </c>
      <c r="AI49" s="470">
        <f t="shared" ref="AI49:AL60" si="25">AA36+AA56</f>
        <v>4</v>
      </c>
      <c r="AJ49" s="470">
        <f t="shared" si="25"/>
        <v>2</v>
      </c>
      <c r="AK49" s="470">
        <f t="shared" si="25"/>
        <v>1</v>
      </c>
      <c r="AL49" s="470">
        <f t="shared" si="25"/>
        <v>0</v>
      </c>
      <c r="AM49" s="361">
        <f>SUM(AH49:AL49)</f>
        <v>7</v>
      </c>
    </row>
    <row r="50" spans="1:39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5"/>
        <v>150</v>
      </c>
      <c r="F50" s="93">
        <v>46.164000000000001</v>
      </c>
      <c r="G50" s="72">
        <v>0.75</v>
      </c>
      <c r="H50" s="251">
        <f t="shared" si="6"/>
        <v>34.623000000000005</v>
      </c>
      <c r="I50" s="82">
        <f t="shared" si="7"/>
        <v>1</v>
      </c>
      <c r="J50" s="251">
        <f t="shared" si="17"/>
        <v>150</v>
      </c>
      <c r="K50" s="93">
        <f t="shared" si="22"/>
        <v>115.377</v>
      </c>
      <c r="L50" s="92">
        <f t="shared" si="8"/>
        <v>0.23082000000000003</v>
      </c>
      <c r="M50" s="89" t="s">
        <v>337</v>
      </c>
      <c r="N50" s="91">
        <v>817.04499999999996</v>
      </c>
      <c r="O50" s="90">
        <f t="shared" si="9"/>
        <v>150</v>
      </c>
      <c r="P50" s="90">
        <f t="shared" si="21"/>
        <v>46.164000000000001</v>
      </c>
      <c r="Q50" s="90">
        <v>0.75</v>
      </c>
      <c r="R50" s="89">
        <f t="shared" si="11"/>
        <v>34.623000000000005</v>
      </c>
      <c r="S50" s="90">
        <f t="shared" si="18"/>
        <v>150</v>
      </c>
      <c r="T50" s="286">
        <f t="shared" si="19"/>
        <v>115.377</v>
      </c>
      <c r="U50" s="290" t="str">
        <f t="shared" si="20"/>
        <v>No</v>
      </c>
      <c r="V50" s="277"/>
      <c r="W50" s="190"/>
      <c r="Y50" s="270" t="s">
        <v>491</v>
      </c>
      <c r="Z50" s="370">
        <f>Z48*AH39</f>
        <v>1100</v>
      </c>
      <c r="AA50" s="370">
        <f>AA48*AH40</f>
        <v>300</v>
      </c>
      <c r="AB50" s="370">
        <f>AB48*AH41</f>
        <v>0</v>
      </c>
      <c r="AC50" s="370">
        <f>AC48*AH42</f>
        <v>0</v>
      </c>
      <c r="AD50" s="370">
        <f>AD48*AH43</f>
        <v>0</v>
      </c>
      <c r="AE50" s="270">
        <f>SUM(Z50:AD50)</f>
        <v>1400</v>
      </c>
      <c r="AF50" s="351"/>
      <c r="AG50" s="60" t="s">
        <v>85</v>
      </c>
      <c r="AH50" s="470">
        <f t="shared" ref="AH50:AH60" si="26">Z37+Z57</f>
        <v>1</v>
      </c>
      <c r="AI50" s="470">
        <f t="shared" si="25"/>
        <v>7</v>
      </c>
      <c r="AJ50" s="470">
        <f t="shared" si="25"/>
        <v>3</v>
      </c>
      <c r="AK50" s="470">
        <f t="shared" si="25"/>
        <v>0</v>
      </c>
      <c r="AL50" s="470">
        <f t="shared" si="25"/>
        <v>2</v>
      </c>
      <c r="AM50" s="60">
        <f t="shared" ref="AM50:AM60" si="27">SUM(AH50:AL50)</f>
        <v>13</v>
      </c>
    </row>
    <row r="51" spans="1:39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5"/>
        <v>150</v>
      </c>
      <c r="F51" s="83">
        <v>46.164000000000001</v>
      </c>
      <c r="G51" s="92">
        <v>0.75</v>
      </c>
      <c r="H51" s="252">
        <f t="shared" si="6"/>
        <v>34.623000000000005</v>
      </c>
      <c r="I51" s="82">
        <f t="shared" si="7"/>
        <v>1</v>
      </c>
      <c r="J51" s="252">
        <f t="shared" si="17"/>
        <v>150</v>
      </c>
      <c r="K51" s="83">
        <f t="shared" si="22"/>
        <v>115.377</v>
      </c>
      <c r="L51" s="82">
        <f t="shared" si="8"/>
        <v>0.23082000000000003</v>
      </c>
      <c r="M51" s="98" t="s">
        <v>337</v>
      </c>
      <c r="N51" s="81">
        <v>817.04499999999996</v>
      </c>
      <c r="O51" s="80">
        <f t="shared" si="9"/>
        <v>150</v>
      </c>
      <c r="P51" s="80">
        <f t="shared" si="21"/>
        <v>46.164000000000001</v>
      </c>
      <c r="Q51" s="80">
        <v>0.75</v>
      </c>
      <c r="R51" s="98">
        <f t="shared" si="11"/>
        <v>34.623000000000005</v>
      </c>
      <c r="S51" s="80">
        <f t="shared" si="18"/>
        <v>150</v>
      </c>
      <c r="T51" s="79">
        <f t="shared" si="19"/>
        <v>115.377</v>
      </c>
      <c r="U51" s="199" t="str">
        <f t="shared" si="20"/>
        <v>No</v>
      </c>
      <c r="V51" s="77"/>
      <c r="W51" s="76"/>
      <c r="AD51" s="351"/>
      <c r="AE51" s="351"/>
      <c r="AF51" s="351"/>
      <c r="AG51" s="60" t="s">
        <v>86</v>
      </c>
      <c r="AH51" s="470">
        <f t="shared" si="26"/>
        <v>0</v>
      </c>
      <c r="AI51" s="470">
        <f t="shared" si="25"/>
        <v>0</v>
      </c>
      <c r="AJ51" s="470">
        <f t="shared" si="25"/>
        <v>3</v>
      </c>
      <c r="AK51" s="470">
        <f t="shared" si="25"/>
        <v>0</v>
      </c>
      <c r="AL51" s="470">
        <f t="shared" si="25"/>
        <v>1</v>
      </c>
      <c r="AM51" s="60">
        <f t="shared" si="27"/>
        <v>4</v>
      </c>
    </row>
    <row r="52" spans="1:39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5"/>
        <v>200</v>
      </c>
      <c r="F52" s="93">
        <v>136.87530000000001</v>
      </c>
      <c r="G52" s="92">
        <v>0.75</v>
      </c>
      <c r="H52" s="251">
        <f t="shared" si="6"/>
        <v>102.656475</v>
      </c>
      <c r="I52" s="82">
        <f t="shared" si="7"/>
        <v>1</v>
      </c>
      <c r="J52" s="251">
        <f t="shared" si="17"/>
        <v>200</v>
      </c>
      <c r="K52" s="73">
        <f t="shared" si="22"/>
        <v>97.343525</v>
      </c>
      <c r="L52" s="72">
        <f t="shared" si="8"/>
        <v>0.51328237499999996</v>
      </c>
      <c r="M52" s="89" t="s">
        <v>325</v>
      </c>
      <c r="N52" s="91">
        <v>518.48</v>
      </c>
      <c r="O52" s="114">
        <f t="shared" si="9"/>
        <v>200</v>
      </c>
      <c r="P52" s="114">
        <f t="shared" si="21"/>
        <v>136.87530000000001</v>
      </c>
      <c r="Q52" s="114">
        <v>0.75</v>
      </c>
      <c r="R52" s="89">
        <f t="shared" si="11"/>
        <v>102.656475</v>
      </c>
      <c r="S52" s="114">
        <f t="shared" si="18"/>
        <v>200</v>
      </c>
      <c r="T52" s="288">
        <f t="shared" si="19"/>
        <v>97.343525</v>
      </c>
      <c r="U52" s="289" t="str">
        <f t="shared" si="20"/>
        <v>No</v>
      </c>
      <c r="V52" s="67"/>
      <c r="W52" s="66"/>
      <c r="AD52" s="351"/>
      <c r="AE52" s="351"/>
      <c r="AF52" s="351"/>
      <c r="AG52" s="60" t="s">
        <v>87</v>
      </c>
      <c r="AH52" s="470">
        <f t="shared" si="26"/>
        <v>1</v>
      </c>
      <c r="AI52" s="470">
        <f t="shared" si="25"/>
        <v>11</v>
      </c>
      <c r="AJ52" s="470">
        <f t="shared" si="25"/>
        <v>15</v>
      </c>
      <c r="AK52" s="470">
        <f t="shared" si="25"/>
        <v>8</v>
      </c>
      <c r="AL52" s="470">
        <f t="shared" si="25"/>
        <v>0</v>
      </c>
      <c r="AM52" s="60">
        <f t="shared" si="27"/>
        <v>35</v>
      </c>
    </row>
    <row r="53" spans="1:39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5"/>
        <v>150</v>
      </c>
      <c r="F53" s="83">
        <v>87.5685</v>
      </c>
      <c r="G53" s="82">
        <v>0.75</v>
      </c>
      <c r="H53" s="252">
        <f t="shared" si="6"/>
        <v>65.676375000000007</v>
      </c>
      <c r="I53" s="82">
        <f t="shared" si="7"/>
        <v>1</v>
      </c>
      <c r="J53" s="252">
        <f t="shared" si="17"/>
        <v>150</v>
      </c>
      <c r="K53" s="93">
        <f t="shared" si="22"/>
        <v>84.323624999999993</v>
      </c>
      <c r="L53" s="92">
        <f t="shared" si="8"/>
        <v>0.43784250000000002</v>
      </c>
      <c r="M53" s="98" t="s">
        <v>334</v>
      </c>
      <c r="N53" s="81">
        <v>792.93499999999995</v>
      </c>
      <c r="O53" s="90">
        <f t="shared" si="9"/>
        <v>150</v>
      </c>
      <c r="P53" s="90">
        <f t="shared" si="21"/>
        <v>87.5685</v>
      </c>
      <c r="Q53" s="90">
        <v>0.75</v>
      </c>
      <c r="R53" s="98">
        <f t="shared" si="11"/>
        <v>65.676375000000007</v>
      </c>
      <c r="S53" s="90">
        <f t="shared" si="18"/>
        <v>150</v>
      </c>
      <c r="T53" s="286">
        <f t="shared" si="19"/>
        <v>84.323624999999993</v>
      </c>
      <c r="U53" s="290" t="str">
        <f t="shared" si="20"/>
        <v>No</v>
      </c>
      <c r="V53" s="12"/>
      <c r="W53" s="97"/>
      <c r="AG53" s="60" t="s">
        <v>88</v>
      </c>
      <c r="AH53" s="470">
        <f t="shared" si="26"/>
        <v>1</v>
      </c>
      <c r="AI53" s="470">
        <f t="shared" si="25"/>
        <v>0</v>
      </c>
      <c r="AJ53" s="470">
        <f t="shared" si="25"/>
        <v>8</v>
      </c>
      <c r="AK53" s="470">
        <f t="shared" si="25"/>
        <v>1</v>
      </c>
      <c r="AL53" s="470">
        <f t="shared" si="25"/>
        <v>0</v>
      </c>
      <c r="AM53" s="60">
        <f t="shared" si="27"/>
        <v>10</v>
      </c>
    </row>
    <row r="54" spans="1:39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5"/>
        <v>200</v>
      </c>
      <c r="F54" s="93">
        <v>33.29833</v>
      </c>
      <c r="G54" s="72">
        <v>0.75</v>
      </c>
      <c r="H54" s="251">
        <f t="shared" si="6"/>
        <v>24.973747500000002</v>
      </c>
      <c r="I54" s="82">
        <f t="shared" si="7"/>
        <v>1</v>
      </c>
      <c r="J54" s="253">
        <f t="shared" si="17"/>
        <v>200</v>
      </c>
      <c r="K54" s="93">
        <f t="shared" si="22"/>
        <v>175.0262525</v>
      </c>
      <c r="L54" s="92">
        <f t="shared" si="8"/>
        <v>0.12486873750000001</v>
      </c>
      <c r="M54" s="89" t="s">
        <v>331</v>
      </c>
      <c r="N54" s="91">
        <v>524.75</v>
      </c>
      <c r="O54" s="90">
        <f t="shared" si="9"/>
        <v>200</v>
      </c>
      <c r="P54" s="90">
        <f t="shared" si="21"/>
        <v>33.29833</v>
      </c>
      <c r="Q54" s="90">
        <v>0.75</v>
      </c>
      <c r="R54" s="89">
        <f t="shared" si="11"/>
        <v>24.973747500000002</v>
      </c>
      <c r="S54" s="90">
        <f t="shared" si="18"/>
        <v>200</v>
      </c>
      <c r="T54" s="286">
        <f t="shared" si="19"/>
        <v>175.0262525</v>
      </c>
      <c r="U54" s="290" t="str">
        <f t="shared" si="20"/>
        <v>No</v>
      </c>
      <c r="V54" s="12"/>
      <c r="W54" s="97"/>
      <c r="Y54" s="497" t="s">
        <v>550</v>
      </c>
      <c r="Z54" s="498"/>
      <c r="AA54" s="498"/>
      <c r="AB54" s="498"/>
      <c r="AC54" s="498"/>
      <c r="AD54" s="499"/>
      <c r="AE54" s="155"/>
      <c r="AG54" s="60" t="s">
        <v>89</v>
      </c>
      <c r="AH54" s="470">
        <f t="shared" si="26"/>
        <v>0</v>
      </c>
      <c r="AI54" s="470">
        <f t="shared" si="25"/>
        <v>7</v>
      </c>
      <c r="AJ54" s="470">
        <f t="shared" si="25"/>
        <v>1</v>
      </c>
      <c r="AK54" s="470">
        <f t="shared" si="25"/>
        <v>1</v>
      </c>
      <c r="AL54" s="470">
        <f t="shared" si="25"/>
        <v>0</v>
      </c>
      <c r="AM54" s="60">
        <f t="shared" si="27"/>
        <v>9</v>
      </c>
    </row>
    <row r="55" spans="1:39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5"/>
        <v>200</v>
      </c>
      <c r="F55" s="83">
        <v>233.80699999999999</v>
      </c>
      <c r="G55" s="82">
        <v>0.75</v>
      </c>
      <c r="H55" s="252">
        <f t="shared" si="6"/>
        <v>175.35524999999998</v>
      </c>
      <c r="I55" s="82">
        <f t="shared" si="7"/>
        <v>2</v>
      </c>
      <c r="J55" s="252">
        <f t="shared" si="17"/>
        <v>400</v>
      </c>
      <c r="K55" s="83">
        <f t="shared" si="22"/>
        <v>224.64475000000002</v>
      </c>
      <c r="L55" s="82">
        <f t="shared" si="8"/>
        <v>0.43838812499999996</v>
      </c>
      <c r="M55" s="98" t="s">
        <v>328</v>
      </c>
      <c r="N55" s="81">
        <v>673.16499999999996</v>
      </c>
      <c r="O55" s="80">
        <f t="shared" si="9"/>
        <v>150</v>
      </c>
      <c r="P55" s="80">
        <f t="shared" si="21"/>
        <v>233.80699999999999</v>
      </c>
      <c r="Q55" s="80">
        <v>0.75</v>
      </c>
      <c r="R55" s="98">
        <f t="shared" si="11"/>
        <v>175.35524999999998</v>
      </c>
      <c r="S55" s="80">
        <f t="shared" si="18"/>
        <v>300</v>
      </c>
      <c r="T55" s="79">
        <f t="shared" si="19"/>
        <v>124.64475000000002</v>
      </c>
      <c r="U55" s="199" t="str">
        <f t="shared" si="20"/>
        <v>No</v>
      </c>
      <c r="V55" s="132"/>
      <c r="W55" s="101"/>
      <c r="Y55" s="355" t="s">
        <v>484</v>
      </c>
      <c r="Z55" s="357" t="s">
        <v>485</v>
      </c>
      <c r="AA55" s="357" t="s">
        <v>486</v>
      </c>
      <c r="AB55" s="357" t="s">
        <v>487</v>
      </c>
      <c r="AC55" s="357" t="s">
        <v>488</v>
      </c>
      <c r="AD55" s="358" t="s">
        <v>525</v>
      </c>
      <c r="AE55" s="270" t="s">
        <v>416</v>
      </c>
      <c r="AG55" s="60" t="s">
        <v>90</v>
      </c>
      <c r="AH55" s="470">
        <f t="shared" si="26"/>
        <v>1</v>
      </c>
      <c r="AI55" s="470">
        <f t="shared" si="25"/>
        <v>0</v>
      </c>
      <c r="AJ55" s="470">
        <f t="shared" si="25"/>
        <v>1</v>
      </c>
      <c r="AK55" s="470">
        <f t="shared" si="25"/>
        <v>1</v>
      </c>
      <c r="AL55" s="470">
        <f t="shared" si="25"/>
        <v>1</v>
      </c>
      <c r="AM55" s="60">
        <f t="shared" si="27"/>
        <v>4</v>
      </c>
    </row>
    <row r="56" spans="1:39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5"/>
        <v>200</v>
      </c>
      <c r="F56" s="73">
        <v>136.87530000000001</v>
      </c>
      <c r="G56" s="72">
        <v>0.75</v>
      </c>
      <c r="H56" s="253">
        <f t="shared" si="6"/>
        <v>102.656475</v>
      </c>
      <c r="I56" s="82">
        <f t="shared" si="7"/>
        <v>1</v>
      </c>
      <c r="J56" s="253">
        <f t="shared" si="17"/>
        <v>200</v>
      </c>
      <c r="K56" s="73">
        <f t="shared" si="22"/>
        <v>97.343525</v>
      </c>
      <c r="L56" s="72">
        <f t="shared" si="8"/>
        <v>0.51328237499999996</v>
      </c>
      <c r="M56" s="69" t="s">
        <v>325</v>
      </c>
      <c r="N56" s="71">
        <v>518.48</v>
      </c>
      <c r="O56" s="114">
        <f t="shared" si="9"/>
        <v>200</v>
      </c>
      <c r="P56" s="114">
        <f t="shared" si="21"/>
        <v>136.87530000000001</v>
      </c>
      <c r="Q56" s="114">
        <v>0.75</v>
      </c>
      <c r="R56" s="69">
        <f t="shared" si="11"/>
        <v>102.656475</v>
      </c>
      <c r="S56" s="114">
        <f t="shared" si="18"/>
        <v>200</v>
      </c>
      <c r="T56" s="288">
        <f t="shared" si="19"/>
        <v>97.343525</v>
      </c>
      <c r="U56" s="289" t="str">
        <f t="shared" si="20"/>
        <v>No</v>
      </c>
      <c r="V56" s="285"/>
      <c r="W56" s="186"/>
      <c r="Y56" s="60" t="s">
        <v>84</v>
      </c>
      <c r="Z56" s="470">
        <v>0</v>
      </c>
      <c r="AA56" s="470">
        <f>4</f>
        <v>4</v>
      </c>
      <c r="AB56" s="416">
        <f>1+1</f>
        <v>2</v>
      </c>
      <c r="AC56" s="416">
        <f>1</f>
        <v>1</v>
      </c>
      <c r="AD56" s="470">
        <v>0</v>
      </c>
      <c r="AE56" s="361">
        <f>SUM(Z56:AD56)</f>
        <v>7</v>
      </c>
      <c r="AG56" s="60" t="s">
        <v>91</v>
      </c>
      <c r="AH56" s="470">
        <f t="shared" si="26"/>
        <v>1</v>
      </c>
      <c r="AI56" s="470">
        <f t="shared" si="25"/>
        <v>11</v>
      </c>
      <c r="AJ56" s="470">
        <f t="shared" si="25"/>
        <v>2</v>
      </c>
      <c r="AK56" s="470">
        <f t="shared" si="25"/>
        <v>1</v>
      </c>
      <c r="AL56" s="470">
        <f t="shared" si="25"/>
        <v>0</v>
      </c>
      <c r="AM56" s="60">
        <f t="shared" si="27"/>
        <v>15</v>
      </c>
    </row>
    <row r="57" spans="1:39">
      <c r="A57" s="20"/>
      <c r="B57" s="64"/>
      <c r="C57" s="20"/>
      <c r="D57" s="20"/>
      <c r="E57" s="250"/>
      <c r="F57" s="64"/>
      <c r="G57" s="64"/>
      <c r="H57" s="64"/>
      <c r="I57" s="250" t="s">
        <v>416</v>
      </c>
      <c r="J57" s="20">
        <f>SUM(J3:J56)</f>
        <v>17650</v>
      </c>
      <c r="K57" s="20"/>
      <c r="L57" s="250"/>
      <c r="M57" s="20"/>
      <c r="N57" s="20"/>
      <c r="O57" s="250"/>
      <c r="P57" s="20"/>
      <c r="Q57" s="20"/>
      <c r="R57" s="20"/>
      <c r="S57" s="250"/>
      <c r="U57" s="20"/>
      <c r="V57" s="11"/>
      <c r="W57" s="20"/>
      <c r="Y57" s="60" t="s">
        <v>85</v>
      </c>
      <c r="Z57" s="470">
        <v>0</v>
      </c>
      <c r="AA57" s="470">
        <f>3+2+2</f>
        <v>7</v>
      </c>
      <c r="AB57" s="470">
        <f>2+1</f>
        <v>3</v>
      </c>
      <c r="AC57" s="470">
        <v>0</v>
      </c>
      <c r="AD57" s="470">
        <f>1+1</f>
        <v>2</v>
      </c>
      <c r="AE57" s="60">
        <f t="shared" ref="AE57:AE67" si="28">SUM(Z57:AD57)</f>
        <v>12</v>
      </c>
      <c r="AG57" s="60" t="s">
        <v>92</v>
      </c>
      <c r="AH57" s="470">
        <f t="shared" si="26"/>
        <v>1</v>
      </c>
      <c r="AI57" s="470">
        <f t="shared" si="25"/>
        <v>4</v>
      </c>
      <c r="AJ57" s="470">
        <f t="shared" si="25"/>
        <v>7</v>
      </c>
      <c r="AK57" s="470">
        <f t="shared" si="25"/>
        <v>0</v>
      </c>
      <c r="AL57" s="470">
        <f t="shared" si="25"/>
        <v>0</v>
      </c>
      <c r="AM57" s="60">
        <f t="shared" si="27"/>
        <v>12</v>
      </c>
    </row>
    <row r="58" spans="1:39">
      <c r="A58" s="20"/>
      <c r="B58" s="64"/>
      <c r="C58" s="20"/>
      <c r="D58" s="20"/>
      <c r="E58" s="250"/>
      <c r="F58" s="64"/>
      <c r="G58" s="64"/>
      <c r="H58" s="64"/>
      <c r="I58" s="250"/>
      <c r="J58" s="20"/>
      <c r="K58" s="20"/>
      <c r="L58" s="250"/>
      <c r="M58" s="20"/>
      <c r="N58" s="20"/>
      <c r="O58" s="250"/>
      <c r="P58" s="20"/>
      <c r="Q58" s="20"/>
      <c r="R58" s="20"/>
      <c r="S58" s="250"/>
      <c r="U58" s="20"/>
      <c r="V58" s="11"/>
      <c r="W58" s="20"/>
      <c r="Y58" s="60" t="s">
        <v>86</v>
      </c>
      <c r="Z58" s="470">
        <v>0</v>
      </c>
      <c r="AA58" s="470">
        <v>0</v>
      </c>
      <c r="AB58" s="359">
        <f>2+1</f>
        <v>3</v>
      </c>
      <c r="AC58" s="470">
        <v>0</v>
      </c>
      <c r="AD58" s="470">
        <f>1</f>
        <v>1</v>
      </c>
      <c r="AE58" s="60">
        <f t="shared" si="28"/>
        <v>4</v>
      </c>
      <c r="AG58" s="60" t="s">
        <v>93</v>
      </c>
      <c r="AH58" s="470">
        <f t="shared" si="26"/>
        <v>2</v>
      </c>
      <c r="AI58" s="470">
        <f t="shared" si="25"/>
        <v>0</v>
      </c>
      <c r="AJ58" s="470">
        <f t="shared" si="25"/>
        <v>2</v>
      </c>
      <c r="AK58" s="470">
        <f t="shared" si="25"/>
        <v>3</v>
      </c>
      <c r="AL58" s="470">
        <f t="shared" si="25"/>
        <v>0</v>
      </c>
      <c r="AM58" s="60">
        <f t="shared" si="27"/>
        <v>7</v>
      </c>
    </row>
    <row r="59" spans="1:39">
      <c r="A59" s="20"/>
      <c r="B59" s="64"/>
      <c r="C59" s="20"/>
      <c r="D59" s="20"/>
      <c r="E59" s="250"/>
      <c r="F59" s="64"/>
      <c r="G59" s="64"/>
      <c r="H59" s="64"/>
      <c r="I59" s="250"/>
      <c r="J59" s="20"/>
      <c r="K59" s="20"/>
      <c r="L59" s="250"/>
      <c r="M59" s="20"/>
      <c r="N59" s="20"/>
      <c r="O59" s="250"/>
      <c r="P59" s="20"/>
      <c r="Q59" s="20"/>
      <c r="R59" s="20"/>
      <c r="S59" s="250"/>
      <c r="U59" s="20"/>
      <c r="V59" s="11"/>
      <c r="W59" s="20"/>
      <c r="Y59" s="60" t="s">
        <v>87</v>
      </c>
      <c r="Z59" s="470">
        <v>0</v>
      </c>
      <c r="AA59" s="417">
        <f>4+3+3</f>
        <v>10</v>
      </c>
      <c r="AB59" s="470">
        <f>2+2+3+6+2</f>
        <v>15</v>
      </c>
      <c r="AC59" s="470">
        <f>1+3+4</f>
        <v>8</v>
      </c>
      <c r="AD59" s="470">
        <v>0</v>
      </c>
      <c r="AE59" s="60">
        <f t="shared" si="28"/>
        <v>33</v>
      </c>
      <c r="AG59" s="60" t="s">
        <v>94</v>
      </c>
      <c r="AH59" s="470">
        <f t="shared" si="26"/>
        <v>3</v>
      </c>
      <c r="AI59" s="470">
        <f t="shared" si="25"/>
        <v>1</v>
      </c>
      <c r="AJ59" s="470">
        <f t="shared" si="25"/>
        <v>2</v>
      </c>
      <c r="AK59" s="470">
        <f t="shared" si="25"/>
        <v>4</v>
      </c>
      <c r="AL59" s="470">
        <f t="shared" si="25"/>
        <v>0</v>
      </c>
      <c r="AM59" s="60">
        <f t="shared" si="27"/>
        <v>10</v>
      </c>
    </row>
    <row r="60" spans="1:39">
      <c r="A60" s="20"/>
      <c r="B60" s="64"/>
      <c r="C60" s="20"/>
      <c r="D60" s="20"/>
      <c r="E60" s="250"/>
      <c r="F60" s="64"/>
      <c r="G60" s="64"/>
      <c r="H60" s="64"/>
      <c r="I60" s="250"/>
      <c r="J60" s="20"/>
      <c r="K60" s="20"/>
      <c r="L60" s="250"/>
      <c r="M60" s="20"/>
      <c r="N60" s="20"/>
      <c r="O60" s="250"/>
      <c r="P60" s="20"/>
      <c r="Q60" s="20"/>
      <c r="R60" s="20"/>
      <c r="S60" s="250"/>
      <c r="U60" s="20"/>
      <c r="V60" s="11"/>
      <c r="W60" s="20"/>
      <c r="Y60" s="60" t="s">
        <v>88</v>
      </c>
      <c r="Z60" s="470">
        <v>0</v>
      </c>
      <c r="AA60" s="470">
        <v>0</v>
      </c>
      <c r="AB60" s="470">
        <f>1+1+1+3+1+1</f>
        <v>8</v>
      </c>
      <c r="AC60" s="470">
        <f>1</f>
        <v>1</v>
      </c>
      <c r="AD60" s="470">
        <v>0</v>
      </c>
      <c r="AE60" s="60">
        <f t="shared" si="28"/>
        <v>9</v>
      </c>
      <c r="AG60" s="366" t="s">
        <v>482</v>
      </c>
      <c r="AH60" s="470">
        <f t="shared" si="26"/>
        <v>0</v>
      </c>
      <c r="AI60" s="470">
        <f t="shared" si="25"/>
        <v>1</v>
      </c>
      <c r="AJ60" s="470">
        <f t="shared" si="25"/>
        <v>2</v>
      </c>
      <c r="AK60" s="470">
        <f t="shared" si="25"/>
        <v>0</v>
      </c>
      <c r="AL60" s="470">
        <f t="shared" si="25"/>
        <v>0</v>
      </c>
      <c r="AM60" s="366">
        <f t="shared" si="27"/>
        <v>3</v>
      </c>
    </row>
    <row r="61" spans="1:39">
      <c r="A61" s="20"/>
      <c r="B61" s="64"/>
      <c r="C61" s="20"/>
      <c r="D61" s="20"/>
      <c r="E61" s="250"/>
      <c r="F61" s="64"/>
      <c r="G61" s="64"/>
      <c r="H61" s="64"/>
      <c r="I61" s="250"/>
      <c r="J61" s="20"/>
      <c r="K61" s="20"/>
      <c r="L61" s="250"/>
      <c r="M61" s="20"/>
      <c r="N61" s="20"/>
      <c r="O61" s="250"/>
      <c r="P61" s="20"/>
      <c r="Q61" s="20"/>
      <c r="R61" s="20"/>
      <c r="S61" s="250"/>
      <c r="U61" s="20"/>
      <c r="V61" s="11"/>
      <c r="W61" s="20"/>
      <c r="Y61" s="60" t="s">
        <v>89</v>
      </c>
      <c r="Z61" s="470">
        <v>0</v>
      </c>
      <c r="AA61" s="470">
        <f>3+3+1</f>
        <v>7</v>
      </c>
      <c r="AB61" s="470">
        <f>1</f>
        <v>1</v>
      </c>
      <c r="AC61" s="470">
        <f>1</f>
        <v>1</v>
      </c>
      <c r="AD61" s="470">
        <v>0</v>
      </c>
      <c r="AE61" s="60">
        <f t="shared" si="28"/>
        <v>9</v>
      </c>
      <c r="AG61" s="270" t="s">
        <v>493</v>
      </c>
      <c r="AH61" s="368">
        <f t="shared" ref="AH61:AM61" si="29">SUM(AH49:AH60)</f>
        <v>11</v>
      </c>
      <c r="AI61" s="368">
        <f t="shared" si="29"/>
        <v>46</v>
      </c>
      <c r="AJ61" s="368">
        <f t="shared" si="29"/>
        <v>48</v>
      </c>
      <c r="AK61" s="368">
        <f t="shared" si="29"/>
        <v>20</v>
      </c>
      <c r="AL61" s="368">
        <f t="shared" si="29"/>
        <v>4</v>
      </c>
      <c r="AM61" s="369">
        <f t="shared" si="29"/>
        <v>129</v>
      </c>
    </row>
    <row r="62" spans="1:39">
      <c r="A62" s="20"/>
      <c r="B62" s="65"/>
      <c r="C62" s="20"/>
      <c r="D62" s="20"/>
      <c r="E62" s="250"/>
      <c r="F62" s="64"/>
      <c r="G62" s="64"/>
      <c r="H62" s="64"/>
      <c r="I62" s="250"/>
      <c r="J62" s="20"/>
      <c r="K62" s="20"/>
      <c r="L62" s="250"/>
      <c r="M62" s="20"/>
      <c r="N62" s="20"/>
      <c r="O62" s="250"/>
      <c r="P62" s="20"/>
      <c r="Q62" s="20"/>
      <c r="R62" s="20"/>
      <c r="S62" s="250"/>
      <c r="U62" s="20"/>
      <c r="V62" s="11"/>
      <c r="W62" s="20"/>
      <c r="Y62" s="60" t="s">
        <v>90</v>
      </c>
      <c r="Z62" s="470">
        <v>0</v>
      </c>
      <c r="AA62" s="359">
        <v>0</v>
      </c>
      <c r="AB62" s="359">
        <f>1</f>
        <v>1</v>
      </c>
      <c r="AC62" s="470">
        <f>1</f>
        <v>1</v>
      </c>
      <c r="AD62" s="470">
        <f>1</f>
        <v>1</v>
      </c>
      <c r="AE62" s="60">
        <f t="shared" si="28"/>
        <v>3</v>
      </c>
      <c r="AG62" s="270" t="s">
        <v>492</v>
      </c>
      <c r="AH62" s="370">
        <f>PRODUCT(AH61*AI39)</f>
        <v>165</v>
      </c>
      <c r="AI62" s="418">
        <f>PRODUCT(AI61*AI40)</f>
        <v>752.96939999999995</v>
      </c>
      <c r="AJ62" s="418">
        <f>PRODUCT(AJ61*AI41)</f>
        <v>803.84159999999997</v>
      </c>
      <c r="AK62" s="418">
        <f>PRODUCT(AK61*AI42)</f>
        <v>337.73200000000003</v>
      </c>
      <c r="AL62" s="418">
        <f>PRODUCT(AL61*AI43)</f>
        <v>68</v>
      </c>
      <c r="AM62" s="419">
        <f>SUM(AH62:AL62)</f>
        <v>2127.5430000000001</v>
      </c>
    </row>
    <row r="63" spans="1:39">
      <c r="A63" s="20"/>
      <c r="B63" s="65"/>
      <c r="C63" s="20"/>
      <c r="D63" s="20"/>
      <c r="E63" s="250"/>
      <c r="F63" s="64"/>
      <c r="G63" s="64"/>
      <c r="H63" s="64"/>
      <c r="I63" s="250"/>
      <c r="J63" s="20"/>
      <c r="K63" s="20"/>
      <c r="L63" s="250"/>
      <c r="M63" s="20"/>
      <c r="N63" s="20"/>
      <c r="O63" s="250"/>
      <c r="P63" s="20"/>
      <c r="Q63" s="20"/>
      <c r="R63" s="20"/>
      <c r="S63" s="250"/>
      <c r="U63" s="20"/>
      <c r="V63" s="11"/>
      <c r="W63" s="20"/>
      <c r="Y63" s="60" t="s">
        <v>91</v>
      </c>
      <c r="Z63" s="470">
        <v>0</v>
      </c>
      <c r="AA63" s="359">
        <f>2+3+1+2+1+1</f>
        <v>10</v>
      </c>
      <c r="AB63" s="470">
        <f>1+1</f>
        <v>2</v>
      </c>
      <c r="AC63" s="470">
        <f>1</f>
        <v>1</v>
      </c>
      <c r="AD63" s="470">
        <v>0</v>
      </c>
      <c r="AE63" s="60">
        <f t="shared" si="28"/>
        <v>13</v>
      </c>
      <c r="AG63" s="270" t="s">
        <v>526</v>
      </c>
      <c r="AH63" s="370">
        <f>AH61*AH39</f>
        <v>1100</v>
      </c>
      <c r="AI63" s="370">
        <f>AI61*AH40</f>
        <v>6900</v>
      </c>
      <c r="AJ63" s="370">
        <f>AJ61*AH41</f>
        <v>9600</v>
      </c>
      <c r="AK63" s="370">
        <f>AK61*AH42</f>
        <v>5000</v>
      </c>
      <c r="AL63" s="370">
        <f>AL61*AH43</f>
        <v>1200</v>
      </c>
      <c r="AM63" s="270">
        <f>SUM(AH63:AL63)</f>
        <v>23800</v>
      </c>
    </row>
    <row r="64" spans="1:39">
      <c r="A64" s="20"/>
      <c r="B64" s="65"/>
      <c r="C64" s="20"/>
      <c r="D64" s="20"/>
      <c r="E64" s="250"/>
      <c r="F64" s="64"/>
      <c r="G64" s="64"/>
      <c r="H64" s="64"/>
      <c r="I64" s="250"/>
      <c r="J64" s="20"/>
      <c r="K64" s="20"/>
      <c r="L64" s="250"/>
      <c r="M64" s="20"/>
      <c r="N64" s="20"/>
      <c r="O64" s="250"/>
      <c r="P64" s="20"/>
      <c r="Q64" s="20"/>
      <c r="R64" s="20"/>
      <c r="S64" s="250"/>
      <c r="U64" s="20"/>
      <c r="V64" s="11"/>
      <c r="W64" s="20"/>
      <c r="Y64" s="60" t="s">
        <v>92</v>
      </c>
      <c r="Z64" s="470">
        <v>0</v>
      </c>
      <c r="AA64" s="359">
        <f>2+2</f>
        <v>4</v>
      </c>
      <c r="AB64" s="470">
        <f>6+1</f>
        <v>7</v>
      </c>
      <c r="AC64" s="470">
        <v>0</v>
      </c>
      <c r="AD64" s="470">
        <v>0</v>
      </c>
      <c r="AE64" s="60">
        <f t="shared" si="28"/>
        <v>11</v>
      </c>
    </row>
    <row r="65" spans="1:31">
      <c r="A65" s="20"/>
      <c r="B65" s="64"/>
      <c r="C65" s="20"/>
      <c r="D65" s="20"/>
      <c r="E65" s="250"/>
      <c r="I65" s="250"/>
      <c r="O65" s="250"/>
      <c r="P65" s="20"/>
      <c r="Q65" s="20"/>
      <c r="R65" s="20"/>
      <c r="S65" s="250"/>
      <c r="U65" s="20"/>
      <c r="V65" s="11"/>
      <c r="W65" s="20"/>
      <c r="Y65" s="60" t="s">
        <v>93</v>
      </c>
      <c r="Z65" s="470">
        <v>0</v>
      </c>
      <c r="AA65" s="359">
        <v>0</v>
      </c>
      <c r="AB65" s="470">
        <f>1+1</f>
        <v>2</v>
      </c>
      <c r="AC65" s="470">
        <f>3</f>
        <v>3</v>
      </c>
      <c r="AD65" s="470">
        <v>0</v>
      </c>
      <c r="AE65" s="60">
        <f t="shared" si="28"/>
        <v>5</v>
      </c>
    </row>
    <row r="66" spans="1:31">
      <c r="A66" s="20"/>
      <c r="B66" s="64"/>
      <c r="C66" s="20"/>
      <c r="D66" s="20"/>
      <c r="E66" s="250"/>
      <c r="I66" s="250"/>
      <c r="O66" s="250"/>
      <c r="P66" s="20"/>
      <c r="Q66" s="20"/>
      <c r="R66" s="20"/>
      <c r="S66" s="250"/>
      <c r="U66" s="20"/>
      <c r="V66" s="11"/>
      <c r="W66" s="20"/>
      <c r="Y66" s="60" t="s">
        <v>94</v>
      </c>
      <c r="Z66" s="470">
        <v>0</v>
      </c>
      <c r="AA66" s="417">
        <f>1</f>
        <v>1</v>
      </c>
      <c r="AB66" s="470">
        <f>1+1</f>
        <v>2</v>
      </c>
      <c r="AC66" s="470">
        <f>4</f>
        <v>4</v>
      </c>
      <c r="AD66" s="470">
        <v>0</v>
      </c>
      <c r="AE66" s="60">
        <f t="shared" si="28"/>
        <v>7</v>
      </c>
    </row>
    <row r="67" spans="1:31">
      <c r="A67" s="20"/>
      <c r="B67" s="64"/>
      <c r="C67" s="20"/>
      <c r="D67" s="20"/>
      <c r="E67" s="250"/>
      <c r="I67" s="250"/>
      <c r="O67" s="250"/>
      <c r="P67" s="20"/>
      <c r="Q67" s="20"/>
      <c r="R67" s="20"/>
      <c r="S67" s="250"/>
      <c r="U67" s="20"/>
      <c r="V67" s="11"/>
      <c r="W67" s="20"/>
      <c r="Y67" s="366" t="s">
        <v>482</v>
      </c>
      <c r="Z67" s="367">
        <v>0</v>
      </c>
      <c r="AA67" s="367">
        <f>1</f>
        <v>1</v>
      </c>
      <c r="AB67" s="367">
        <f>2</f>
        <v>2</v>
      </c>
      <c r="AC67" s="367">
        <v>0</v>
      </c>
      <c r="AD67" s="367">
        <v>0</v>
      </c>
      <c r="AE67" s="366">
        <f t="shared" si="28"/>
        <v>3</v>
      </c>
    </row>
    <row r="68" spans="1:31">
      <c r="A68" s="20"/>
      <c r="B68" s="64"/>
      <c r="C68" s="20"/>
      <c r="D68" s="20"/>
      <c r="E68" s="250"/>
      <c r="F68" s="64"/>
      <c r="G68" s="64"/>
      <c r="H68" s="64"/>
      <c r="I68" s="250"/>
      <c r="J68" s="20"/>
      <c r="K68" s="20"/>
      <c r="L68" s="250"/>
      <c r="M68" s="20"/>
      <c r="N68" s="20"/>
      <c r="O68" s="250"/>
      <c r="P68" s="20"/>
      <c r="Q68" s="20"/>
      <c r="R68" s="20"/>
      <c r="S68" s="250"/>
      <c r="U68" s="20"/>
      <c r="V68" s="11"/>
      <c r="W68" s="20"/>
      <c r="Y68" s="270" t="s">
        <v>493</v>
      </c>
      <c r="Z68" s="368">
        <f t="shared" ref="Z68:AE68" si="30">SUM(Z56:Z67)</f>
        <v>0</v>
      </c>
      <c r="AA68" s="368">
        <f t="shared" si="30"/>
        <v>44</v>
      </c>
      <c r="AB68" s="368">
        <f t="shared" si="30"/>
        <v>48</v>
      </c>
      <c r="AC68" s="368">
        <f t="shared" si="30"/>
        <v>20</v>
      </c>
      <c r="AD68" s="368">
        <f t="shared" si="30"/>
        <v>4</v>
      </c>
      <c r="AE68" s="369">
        <f t="shared" si="30"/>
        <v>116</v>
      </c>
    </row>
    <row r="69" spans="1:31">
      <c r="B69" s="64"/>
      <c r="C69" s="20"/>
      <c r="D69" s="20"/>
      <c r="E69" s="250"/>
      <c r="F69" s="64"/>
      <c r="G69" s="64"/>
      <c r="H69" s="64"/>
      <c r="I69" s="250"/>
      <c r="J69" s="20"/>
      <c r="K69" s="20"/>
      <c r="L69" s="250"/>
      <c r="M69" s="20"/>
      <c r="N69" s="20"/>
      <c r="O69" s="250"/>
      <c r="P69" s="20"/>
      <c r="Q69" s="20"/>
      <c r="R69" s="20"/>
      <c r="S69" s="250"/>
      <c r="U69" s="20"/>
      <c r="V69" s="11"/>
      <c r="W69" s="20"/>
      <c r="Y69" s="270" t="s">
        <v>492</v>
      </c>
      <c r="Z69" s="418">
        <f>PRODUCT(Z68*AI39)</f>
        <v>0</v>
      </c>
      <c r="AA69" s="418">
        <f>PRODUCT(AA68*AI40)</f>
        <v>720.23159999999996</v>
      </c>
      <c r="AB69" s="418">
        <f>PRODUCT(AB68*AI41)</f>
        <v>803.84159999999997</v>
      </c>
      <c r="AC69" s="418">
        <f>PRODUCT(AC68*AI42)</f>
        <v>337.73200000000003</v>
      </c>
      <c r="AD69" s="418">
        <f>PRODUCT(AD68*AI43)</f>
        <v>68</v>
      </c>
      <c r="AE69" s="419">
        <f>SUM(Z69:AD69)</f>
        <v>1929.8051999999998</v>
      </c>
    </row>
    <row r="70" spans="1:31">
      <c r="B70" s="64"/>
      <c r="C70" s="20"/>
      <c r="D70" s="20"/>
      <c r="E70" s="250"/>
      <c r="F70" s="64"/>
      <c r="G70" s="64"/>
      <c r="H70" s="64"/>
      <c r="I70" s="250"/>
      <c r="J70" s="20"/>
      <c r="K70" s="20"/>
      <c r="L70" s="250"/>
      <c r="M70" s="20"/>
      <c r="N70" s="20"/>
      <c r="O70" s="250"/>
      <c r="P70" s="20"/>
      <c r="Q70" s="20"/>
      <c r="R70" s="20"/>
      <c r="S70" s="250"/>
      <c r="U70" s="20"/>
      <c r="V70" s="11"/>
      <c r="W70" s="20"/>
      <c r="Y70" s="270" t="s">
        <v>526</v>
      </c>
      <c r="Z70" s="370">
        <f>Z68*AH39</f>
        <v>0</v>
      </c>
      <c r="AA70" s="370">
        <f>AA68*AH40</f>
        <v>6600</v>
      </c>
      <c r="AB70" s="370">
        <f>AB68*AH41</f>
        <v>9600</v>
      </c>
      <c r="AC70" s="370">
        <f>AC68*AH42</f>
        <v>5000</v>
      </c>
      <c r="AD70" s="370">
        <f>AD68*AH43</f>
        <v>1200</v>
      </c>
      <c r="AE70" s="270">
        <f>SUM(Z70:AD70)</f>
        <v>22400</v>
      </c>
    </row>
    <row r="71" spans="1:31">
      <c r="B71" s="64"/>
      <c r="C71" s="20"/>
      <c r="D71" s="20"/>
      <c r="E71" s="250"/>
      <c r="F71" s="64"/>
      <c r="G71" s="64"/>
      <c r="H71" s="64"/>
      <c r="I71" s="250"/>
      <c r="J71" s="20"/>
      <c r="K71" s="20"/>
      <c r="L71" s="250"/>
      <c r="M71" s="20"/>
      <c r="N71" s="20"/>
      <c r="O71" s="250"/>
      <c r="P71" s="20"/>
      <c r="Q71" s="20"/>
      <c r="R71" s="20"/>
      <c r="S71" s="250"/>
      <c r="U71" s="20"/>
      <c r="V71" s="11"/>
      <c r="W71" s="20"/>
      <c r="Y71" s="58"/>
      <c r="Z71" s="58"/>
    </row>
    <row r="72" spans="1:31">
      <c r="B72" s="64"/>
      <c r="C72" s="20"/>
      <c r="D72" s="20"/>
      <c r="E72" s="250"/>
      <c r="F72" s="64"/>
      <c r="G72" s="64"/>
      <c r="H72" s="64"/>
      <c r="I72" s="250"/>
      <c r="J72" s="20"/>
      <c r="K72" s="20"/>
      <c r="L72" s="250"/>
      <c r="M72" s="20"/>
      <c r="N72" s="20"/>
      <c r="O72" s="250"/>
      <c r="P72" s="20"/>
      <c r="Q72" s="20"/>
      <c r="R72" s="20"/>
      <c r="S72" s="250"/>
      <c r="U72" s="20"/>
      <c r="V72" s="11"/>
      <c r="W72" s="20"/>
      <c r="Y72" s="58"/>
      <c r="Z72" s="58"/>
    </row>
    <row r="73" spans="1:31">
      <c r="B73" s="64"/>
      <c r="C73" s="20"/>
      <c r="D73" s="20"/>
      <c r="E73" s="250"/>
      <c r="F73" s="64"/>
      <c r="G73" s="64"/>
      <c r="H73" s="64"/>
      <c r="I73" s="250"/>
      <c r="J73" s="20"/>
      <c r="K73" s="20"/>
      <c r="L73" s="250"/>
      <c r="M73" s="20"/>
      <c r="N73" s="20"/>
      <c r="O73" s="250"/>
      <c r="P73" s="20"/>
      <c r="Q73" s="20"/>
      <c r="R73" s="20"/>
      <c r="S73" s="250"/>
      <c r="U73" s="20"/>
      <c r="V73" s="11"/>
      <c r="W73" s="20"/>
      <c r="Y73" s="58"/>
    </row>
    <row r="74" spans="1:31">
      <c r="B74" s="64"/>
      <c r="C74" s="20"/>
      <c r="D74" s="20"/>
      <c r="E74" s="250"/>
      <c r="F74" s="64"/>
      <c r="G74" s="64"/>
      <c r="H74" s="64"/>
      <c r="I74" s="250"/>
      <c r="J74" s="20"/>
      <c r="K74" s="20"/>
      <c r="L74" s="250"/>
      <c r="M74" s="20"/>
      <c r="N74" s="20"/>
      <c r="O74" s="250"/>
      <c r="P74" s="20"/>
      <c r="Q74" s="20"/>
      <c r="R74" s="20"/>
      <c r="S74" s="250"/>
      <c r="U74" s="20"/>
      <c r="V74" s="11"/>
      <c r="W74" s="20"/>
      <c r="Y74" s="58"/>
    </row>
    <row r="75" spans="1:31">
      <c r="B75" s="64"/>
      <c r="C75" s="20"/>
      <c r="D75" s="20"/>
      <c r="E75" s="250"/>
      <c r="F75" s="64"/>
      <c r="G75" s="64"/>
      <c r="H75" s="64"/>
      <c r="I75" s="250"/>
      <c r="J75" s="20"/>
      <c r="K75" s="20"/>
      <c r="L75" s="250"/>
      <c r="M75" s="20"/>
      <c r="N75" s="20"/>
      <c r="O75" s="250"/>
      <c r="P75" s="20"/>
      <c r="Q75" s="20"/>
      <c r="R75" s="20"/>
      <c r="S75" s="250"/>
      <c r="U75" s="20"/>
      <c r="V75" s="11"/>
      <c r="W75" s="20"/>
    </row>
    <row r="76" spans="1:31">
      <c r="B76" s="64"/>
      <c r="C76" s="20"/>
      <c r="D76" s="20"/>
      <c r="E76" s="250"/>
      <c r="F76" s="64"/>
      <c r="G76" s="64"/>
      <c r="H76" s="64"/>
      <c r="I76" s="250"/>
      <c r="J76" s="20"/>
      <c r="K76" s="20"/>
      <c r="L76" s="250"/>
      <c r="M76" s="20"/>
      <c r="N76" s="20"/>
      <c r="O76" s="250"/>
      <c r="P76" s="20"/>
      <c r="Q76" s="20"/>
      <c r="R76" s="20"/>
      <c r="S76" s="250"/>
      <c r="U76" s="20"/>
      <c r="V76" s="11"/>
      <c r="W76" s="20"/>
    </row>
    <row r="77" spans="1:31">
      <c r="B77" s="64"/>
      <c r="C77" s="20"/>
      <c r="D77" s="20"/>
      <c r="E77" s="250"/>
      <c r="F77" s="64"/>
      <c r="G77" s="64"/>
      <c r="H77" s="64"/>
      <c r="I77" s="250"/>
      <c r="J77" s="20"/>
      <c r="K77" s="20"/>
      <c r="L77" s="250"/>
      <c r="M77" s="20"/>
      <c r="N77" s="20"/>
      <c r="O77" s="250"/>
      <c r="P77" s="20"/>
      <c r="Q77" s="20"/>
      <c r="R77" s="20"/>
      <c r="S77" s="250"/>
      <c r="U77" s="20"/>
      <c r="V77" s="11"/>
      <c r="W77" s="20"/>
    </row>
    <row r="78" spans="1:31">
      <c r="B78" s="64"/>
      <c r="C78" s="20"/>
      <c r="D78" s="20"/>
      <c r="E78" s="250"/>
      <c r="F78" s="64"/>
      <c r="G78" s="64"/>
      <c r="H78" s="64"/>
      <c r="I78" s="250"/>
      <c r="J78" s="20"/>
      <c r="K78" s="20"/>
      <c r="L78" s="250"/>
      <c r="M78" s="20"/>
      <c r="N78" s="20"/>
      <c r="O78" s="250"/>
      <c r="P78" s="20"/>
      <c r="Q78" s="20"/>
      <c r="R78" s="20"/>
      <c r="S78" s="250"/>
      <c r="U78" s="20"/>
      <c r="V78" s="11"/>
      <c r="W78" s="20"/>
    </row>
    <row r="79" spans="1:31">
      <c r="B79" s="64"/>
      <c r="C79" s="20"/>
      <c r="D79" s="20"/>
      <c r="E79" s="250"/>
      <c r="F79" s="64"/>
      <c r="G79" s="64"/>
      <c r="H79" s="64"/>
      <c r="I79" s="250"/>
      <c r="J79" s="20"/>
      <c r="K79" s="20"/>
      <c r="L79" s="250"/>
      <c r="M79" s="20"/>
      <c r="N79" s="20"/>
      <c r="O79" s="250"/>
      <c r="P79" s="20"/>
      <c r="Q79" s="20"/>
      <c r="R79" s="20"/>
      <c r="S79" s="250"/>
      <c r="U79" s="20"/>
      <c r="V79" s="11"/>
      <c r="W79" s="20"/>
    </row>
    <row r="80" spans="1:31">
      <c r="B80" s="64"/>
      <c r="C80" s="20"/>
      <c r="D80" s="20"/>
      <c r="E80" s="250"/>
      <c r="F80" s="64"/>
      <c r="G80" s="64"/>
      <c r="H80" s="64"/>
      <c r="I80" s="250"/>
      <c r="J80" s="20"/>
      <c r="K80" s="20"/>
      <c r="L80" s="250"/>
      <c r="M80" s="20"/>
      <c r="N80" s="20"/>
      <c r="O80" s="250"/>
      <c r="P80" s="20"/>
      <c r="Q80" s="20"/>
      <c r="R80" s="20"/>
      <c r="S80" s="250"/>
      <c r="U80" s="20"/>
      <c r="V80" s="11"/>
      <c r="W80" s="20"/>
    </row>
    <row r="81" spans="2:23">
      <c r="B81" s="64"/>
      <c r="C81" s="20"/>
      <c r="D81" s="20"/>
      <c r="E81" s="250"/>
      <c r="F81" s="64"/>
      <c r="G81" s="64"/>
      <c r="H81" s="64"/>
      <c r="I81" s="250"/>
      <c r="J81" s="20"/>
      <c r="K81" s="20"/>
      <c r="L81" s="250"/>
      <c r="M81" s="20"/>
      <c r="N81" s="20"/>
      <c r="O81" s="250"/>
      <c r="P81" s="20"/>
      <c r="Q81" s="20"/>
      <c r="R81" s="20"/>
      <c r="S81" s="250"/>
      <c r="U81" s="20"/>
      <c r="V81" s="11"/>
      <c r="W81" s="20"/>
    </row>
    <row r="82" spans="2:23">
      <c r="B82" s="64"/>
      <c r="C82" s="20"/>
      <c r="D82" s="20"/>
      <c r="E82" s="250"/>
      <c r="F82" s="64"/>
      <c r="G82" s="64"/>
      <c r="H82" s="64"/>
      <c r="I82" s="250"/>
      <c r="J82" s="20"/>
      <c r="K82" s="20"/>
      <c r="L82" s="250"/>
      <c r="M82" s="20"/>
      <c r="N82" s="20"/>
      <c r="O82" s="250"/>
      <c r="P82" s="20"/>
      <c r="Q82" s="20"/>
      <c r="R82" s="20"/>
      <c r="S82" s="250"/>
      <c r="U82" s="20"/>
      <c r="V82" s="11"/>
      <c r="W82" s="20"/>
    </row>
    <row r="83" spans="2:23">
      <c r="B83" s="64"/>
      <c r="C83" s="20"/>
      <c r="D83" s="20"/>
      <c r="E83" s="250"/>
      <c r="F83" s="64"/>
      <c r="G83" s="64"/>
      <c r="H83" s="64"/>
      <c r="I83" s="250"/>
      <c r="J83" s="20"/>
      <c r="K83" s="20"/>
      <c r="L83" s="250"/>
      <c r="M83" s="20"/>
      <c r="N83" s="20"/>
      <c r="O83" s="250"/>
      <c r="P83" s="20"/>
      <c r="Q83" s="20"/>
      <c r="R83" s="20"/>
      <c r="S83" s="250"/>
      <c r="U83" s="20"/>
      <c r="V83" s="11"/>
      <c r="W83" s="20"/>
    </row>
    <row r="84" spans="2:23">
      <c r="B84" s="64"/>
      <c r="C84" s="20"/>
      <c r="D84" s="20"/>
      <c r="E84" s="250"/>
      <c r="F84" s="64"/>
      <c r="G84" s="64"/>
      <c r="H84" s="64"/>
      <c r="I84" s="250"/>
      <c r="J84" s="20"/>
      <c r="K84" s="20"/>
      <c r="L84" s="250"/>
      <c r="M84" s="20"/>
      <c r="N84" s="20"/>
      <c r="O84" s="250"/>
      <c r="P84" s="20"/>
      <c r="Q84" s="20"/>
      <c r="R84" s="20"/>
      <c r="S84" s="250"/>
      <c r="U84" s="20"/>
      <c r="V84" s="11"/>
      <c r="W84" s="20"/>
    </row>
    <row r="85" spans="2:23">
      <c r="B85" s="64"/>
      <c r="C85" s="20"/>
      <c r="D85" s="20"/>
      <c r="E85" s="250"/>
      <c r="F85" s="64"/>
      <c r="G85" s="64"/>
      <c r="H85" s="64"/>
      <c r="I85" s="250"/>
      <c r="J85" s="20"/>
      <c r="K85" s="20"/>
      <c r="L85" s="250"/>
      <c r="M85" s="20"/>
      <c r="N85" s="20"/>
      <c r="O85" s="250"/>
      <c r="P85" s="20"/>
      <c r="Q85" s="20"/>
      <c r="R85" s="20"/>
      <c r="S85" s="250"/>
      <c r="U85" s="20"/>
      <c r="V85" s="11"/>
      <c r="W85" s="20"/>
    </row>
    <row r="86" spans="2:23">
      <c r="B86" s="64"/>
      <c r="C86" s="20"/>
      <c r="D86" s="20"/>
      <c r="E86" s="250"/>
      <c r="F86" s="64"/>
      <c r="G86" s="64"/>
      <c r="H86" s="64"/>
      <c r="I86" s="250"/>
      <c r="J86" s="20"/>
      <c r="K86" s="20"/>
      <c r="L86" s="250"/>
      <c r="M86" s="20"/>
      <c r="N86" s="20"/>
      <c r="O86" s="250"/>
      <c r="P86" s="20"/>
      <c r="Q86" s="20"/>
      <c r="R86" s="20"/>
      <c r="S86" s="250"/>
      <c r="U86" s="20"/>
      <c r="V86" s="11"/>
      <c r="W86" s="20"/>
    </row>
    <row r="87" spans="2:23">
      <c r="B87" s="64"/>
      <c r="C87" s="20"/>
      <c r="D87" s="20"/>
      <c r="E87" s="250"/>
      <c r="F87" s="64"/>
      <c r="G87" s="64"/>
      <c r="H87" s="64"/>
      <c r="I87" s="250"/>
      <c r="J87" s="20"/>
      <c r="K87" s="20"/>
      <c r="L87" s="250"/>
      <c r="M87" s="20"/>
      <c r="N87" s="20"/>
      <c r="O87" s="250"/>
      <c r="P87" s="20"/>
      <c r="Q87" s="20"/>
      <c r="R87" s="20"/>
      <c r="S87" s="250"/>
      <c r="U87" s="20"/>
      <c r="V87" s="11"/>
      <c r="W87" s="20"/>
    </row>
    <row r="88" spans="2:23">
      <c r="B88" s="64"/>
      <c r="C88" s="20"/>
      <c r="D88" s="20"/>
      <c r="E88" s="250"/>
      <c r="F88" s="64"/>
      <c r="G88" s="64"/>
      <c r="H88" s="64"/>
      <c r="I88" s="250"/>
      <c r="J88" s="20"/>
      <c r="K88" s="20"/>
      <c r="L88" s="250"/>
      <c r="M88" s="20"/>
      <c r="N88" s="20"/>
      <c r="O88" s="250"/>
      <c r="P88" s="20"/>
      <c r="Q88" s="20"/>
      <c r="R88" s="20"/>
      <c r="S88" s="250"/>
      <c r="U88" s="20"/>
      <c r="V88" s="11"/>
      <c r="W88" s="20"/>
    </row>
    <row r="89" spans="2:23">
      <c r="B89" s="64"/>
      <c r="C89" s="20"/>
      <c r="D89" s="20"/>
      <c r="E89" s="250"/>
      <c r="F89" s="64"/>
      <c r="G89" s="64"/>
      <c r="H89" s="64"/>
      <c r="I89" s="250"/>
      <c r="J89" s="20"/>
      <c r="K89" s="20"/>
      <c r="L89" s="250"/>
      <c r="M89" s="20"/>
      <c r="N89" s="20"/>
      <c r="O89" s="250"/>
      <c r="P89" s="20"/>
      <c r="Q89" s="20"/>
      <c r="R89" s="20"/>
      <c r="S89" s="250"/>
      <c r="U89" s="20"/>
      <c r="V89" s="11"/>
      <c r="W89" s="20"/>
    </row>
    <row r="90" spans="2:23">
      <c r="B90" s="64"/>
      <c r="C90" s="20"/>
      <c r="D90" s="20"/>
      <c r="E90" s="250"/>
      <c r="F90" s="64"/>
      <c r="G90" s="64"/>
      <c r="H90" s="64"/>
      <c r="I90" s="250"/>
      <c r="J90" s="20"/>
      <c r="K90" s="20"/>
      <c r="L90" s="250"/>
      <c r="M90" s="20"/>
      <c r="N90" s="20"/>
      <c r="O90" s="250"/>
      <c r="P90" s="20"/>
      <c r="Q90" s="20"/>
      <c r="R90" s="20"/>
      <c r="S90" s="250"/>
      <c r="U90" s="20"/>
      <c r="V90" s="11"/>
      <c r="W90" s="20"/>
    </row>
    <row r="91" spans="2:23">
      <c r="B91" s="64"/>
      <c r="C91" s="20"/>
      <c r="D91" s="20"/>
      <c r="E91" s="250"/>
      <c r="F91" s="64"/>
      <c r="G91" s="64"/>
      <c r="H91" s="64"/>
      <c r="I91" s="250"/>
      <c r="J91" s="20"/>
      <c r="K91" s="20"/>
      <c r="L91" s="250"/>
      <c r="M91" s="20"/>
      <c r="N91" s="20"/>
      <c r="O91" s="250"/>
      <c r="P91" s="20"/>
      <c r="Q91" s="20"/>
      <c r="R91" s="20"/>
      <c r="S91" s="250"/>
      <c r="U91" s="20"/>
      <c r="V91" s="11"/>
      <c r="W91" s="20"/>
    </row>
    <row r="92" spans="2:23">
      <c r="B92" s="64"/>
      <c r="C92" s="20"/>
      <c r="D92" s="20"/>
      <c r="E92" s="250"/>
      <c r="F92" s="64"/>
      <c r="G92" s="64"/>
      <c r="H92" s="64"/>
      <c r="I92" s="250"/>
      <c r="J92" s="20"/>
      <c r="K92" s="20"/>
      <c r="L92" s="250"/>
      <c r="M92" s="20"/>
      <c r="N92" s="20"/>
      <c r="O92" s="250"/>
      <c r="P92" s="20"/>
      <c r="Q92" s="20"/>
      <c r="R92" s="20"/>
      <c r="S92" s="250"/>
      <c r="U92" s="20"/>
      <c r="V92" s="11"/>
      <c r="W92" s="20"/>
    </row>
    <row r="93" spans="2:23">
      <c r="B93" s="64"/>
      <c r="C93" s="20"/>
      <c r="D93" s="20"/>
      <c r="E93" s="250"/>
      <c r="F93" s="64"/>
      <c r="G93" s="64"/>
      <c r="H93" s="64"/>
      <c r="I93" s="250"/>
      <c r="J93" s="20"/>
      <c r="K93" s="20"/>
      <c r="L93" s="250"/>
      <c r="M93" s="20"/>
      <c r="N93" s="20"/>
      <c r="O93" s="250"/>
      <c r="P93" s="20"/>
      <c r="Q93" s="20"/>
      <c r="R93" s="20"/>
      <c r="S93" s="250"/>
      <c r="U93" s="20"/>
      <c r="V93" s="11"/>
      <c r="W93" s="20"/>
    </row>
    <row r="94" spans="2:23">
      <c r="B94" s="64"/>
      <c r="C94" s="20"/>
      <c r="D94" s="20"/>
      <c r="E94" s="250"/>
      <c r="F94" s="64"/>
      <c r="G94" s="64"/>
      <c r="H94" s="64"/>
      <c r="I94" s="250"/>
      <c r="J94" s="20"/>
      <c r="K94" s="20"/>
      <c r="L94" s="250"/>
      <c r="M94" s="20"/>
      <c r="N94" s="20"/>
      <c r="O94" s="250"/>
      <c r="P94" s="20"/>
      <c r="Q94" s="20"/>
      <c r="R94" s="20"/>
      <c r="S94" s="250"/>
      <c r="U94" s="20"/>
      <c r="V94" s="11"/>
      <c r="W94" s="20"/>
    </row>
    <row r="95" spans="2:23">
      <c r="B95" s="64"/>
      <c r="C95" s="20"/>
      <c r="D95" s="20"/>
      <c r="E95" s="250"/>
      <c r="F95" s="64"/>
      <c r="G95" s="64"/>
      <c r="H95" s="64"/>
      <c r="I95" s="250"/>
      <c r="J95" s="20"/>
      <c r="K95" s="20"/>
      <c r="L95" s="250"/>
      <c r="M95" s="20"/>
      <c r="N95" s="20"/>
      <c r="O95" s="250"/>
      <c r="P95" s="20"/>
      <c r="Q95" s="20"/>
      <c r="R95" s="20"/>
      <c r="S95" s="250"/>
      <c r="U95" s="20"/>
      <c r="V95" s="11"/>
      <c r="W95" s="20"/>
    </row>
    <row r="96" spans="2:23">
      <c r="B96" s="64"/>
      <c r="C96" s="20"/>
      <c r="D96" s="20"/>
      <c r="E96" s="250"/>
      <c r="F96" s="64"/>
      <c r="G96" s="64"/>
      <c r="H96" s="64"/>
      <c r="I96" s="250"/>
      <c r="J96" s="20"/>
      <c r="K96" s="20"/>
      <c r="L96" s="250"/>
      <c r="M96" s="20"/>
      <c r="N96" s="20"/>
      <c r="O96" s="250"/>
      <c r="P96" s="20"/>
      <c r="Q96" s="20"/>
      <c r="R96" s="20"/>
      <c r="S96" s="250"/>
      <c r="U96" s="20"/>
      <c r="V96" s="11"/>
      <c r="W96" s="20"/>
    </row>
    <row r="97" spans="2:23">
      <c r="B97" s="64"/>
      <c r="C97" s="20"/>
      <c r="D97" s="20"/>
      <c r="E97" s="250"/>
      <c r="F97" s="64"/>
      <c r="G97" s="64"/>
      <c r="H97" s="64"/>
      <c r="I97" s="250"/>
      <c r="J97" s="20"/>
      <c r="K97" s="20"/>
      <c r="L97" s="250"/>
      <c r="M97" s="20"/>
      <c r="N97" s="20"/>
      <c r="O97" s="250"/>
      <c r="P97" s="20"/>
      <c r="Q97" s="20"/>
      <c r="R97" s="20"/>
      <c r="S97" s="250"/>
      <c r="U97" s="20"/>
      <c r="V97" s="11"/>
      <c r="W97" s="20"/>
    </row>
    <row r="98" spans="2:23">
      <c r="B98" s="64"/>
      <c r="C98" s="20"/>
      <c r="D98" s="20"/>
      <c r="E98" s="250"/>
      <c r="F98" s="64"/>
      <c r="G98" s="64"/>
      <c r="H98" s="64"/>
      <c r="I98" s="250"/>
      <c r="J98" s="20"/>
      <c r="K98" s="20"/>
      <c r="L98" s="250"/>
      <c r="M98" s="20"/>
      <c r="N98" s="20"/>
      <c r="O98" s="250"/>
      <c r="P98" s="20"/>
      <c r="Q98" s="20"/>
      <c r="R98" s="20"/>
      <c r="S98" s="250"/>
      <c r="U98" s="20"/>
      <c r="V98" s="11"/>
      <c r="W98" s="20"/>
    </row>
    <row r="99" spans="2:23">
      <c r="B99" s="64"/>
      <c r="C99" s="20"/>
      <c r="D99" s="20"/>
      <c r="E99" s="250"/>
      <c r="F99" s="64"/>
      <c r="G99" s="64"/>
      <c r="H99" s="64"/>
      <c r="I99" s="250"/>
      <c r="J99" s="20"/>
      <c r="K99" s="20"/>
      <c r="L99" s="250"/>
      <c r="M99" s="20"/>
      <c r="N99" s="20"/>
      <c r="O99" s="250"/>
      <c r="P99" s="20"/>
      <c r="Q99" s="20"/>
      <c r="R99" s="20"/>
      <c r="S99" s="250"/>
      <c r="U99" s="20"/>
      <c r="V99" s="11"/>
      <c r="W99" s="20"/>
    </row>
    <row r="100" spans="2:23">
      <c r="B100" s="64"/>
      <c r="C100" s="20"/>
      <c r="D100" s="20"/>
      <c r="E100" s="250"/>
      <c r="F100" s="64"/>
      <c r="G100" s="64"/>
      <c r="H100" s="64"/>
      <c r="I100" s="250"/>
      <c r="J100" s="20"/>
      <c r="K100" s="20"/>
      <c r="L100" s="250"/>
      <c r="M100" s="20"/>
      <c r="N100" s="20"/>
      <c r="O100" s="250"/>
      <c r="P100" s="20"/>
      <c r="Q100" s="20"/>
      <c r="R100" s="20"/>
      <c r="S100" s="250"/>
      <c r="U100" s="20"/>
      <c r="V100" s="11"/>
      <c r="W100" s="20"/>
    </row>
    <row r="101" spans="2:23">
      <c r="B101" s="64"/>
      <c r="C101" s="20"/>
      <c r="D101" s="20"/>
      <c r="E101" s="250"/>
      <c r="F101" s="64"/>
      <c r="G101" s="64"/>
      <c r="H101" s="64"/>
      <c r="I101" s="250"/>
      <c r="J101" s="20"/>
      <c r="K101" s="20"/>
      <c r="L101" s="250"/>
      <c r="M101" s="20"/>
      <c r="N101" s="20"/>
      <c r="O101" s="250"/>
      <c r="P101" s="20"/>
      <c r="Q101" s="20"/>
      <c r="R101" s="20"/>
      <c r="S101" s="250"/>
      <c r="U101" s="20"/>
      <c r="V101" s="11"/>
      <c r="W101" s="20"/>
    </row>
    <row r="102" spans="2:23">
      <c r="B102" s="64"/>
      <c r="C102" s="20"/>
      <c r="D102" s="20"/>
      <c r="E102" s="250"/>
      <c r="F102" s="64"/>
      <c r="G102" s="64"/>
      <c r="H102" s="64"/>
      <c r="I102" s="250"/>
      <c r="J102" s="20"/>
      <c r="K102" s="20"/>
      <c r="L102" s="250"/>
      <c r="M102" s="20"/>
      <c r="N102" s="20"/>
      <c r="O102" s="250"/>
      <c r="P102" s="20"/>
      <c r="Q102" s="20"/>
      <c r="R102" s="20"/>
      <c r="S102" s="250"/>
      <c r="U102" s="20"/>
      <c r="V102" s="11"/>
      <c r="W102" s="20"/>
    </row>
    <row r="103" spans="2:23">
      <c r="B103" s="64"/>
      <c r="C103" s="20"/>
      <c r="D103" s="20"/>
      <c r="E103" s="250"/>
      <c r="F103" s="64"/>
      <c r="G103" s="64"/>
      <c r="H103" s="64"/>
      <c r="I103" s="250"/>
      <c r="J103" s="20"/>
      <c r="K103" s="20"/>
      <c r="L103" s="250"/>
      <c r="M103" s="20"/>
      <c r="N103" s="20"/>
      <c r="O103" s="250"/>
      <c r="P103" s="20"/>
      <c r="Q103" s="20"/>
      <c r="R103" s="20"/>
      <c r="S103" s="250"/>
      <c r="U103" s="20"/>
      <c r="V103" s="11"/>
      <c r="W103" s="20"/>
    </row>
    <row r="104" spans="2:23">
      <c r="B104" s="64"/>
      <c r="C104" s="20"/>
      <c r="D104" s="20"/>
      <c r="E104" s="250"/>
      <c r="F104" s="64"/>
      <c r="G104" s="64"/>
      <c r="H104" s="64"/>
      <c r="I104" s="250"/>
      <c r="J104" s="20"/>
      <c r="K104" s="20"/>
      <c r="L104" s="250"/>
      <c r="M104" s="20"/>
      <c r="N104" s="20"/>
      <c r="O104" s="250"/>
      <c r="P104" s="20"/>
      <c r="Q104" s="20"/>
      <c r="R104" s="20"/>
      <c r="S104" s="250"/>
      <c r="U104" s="20"/>
      <c r="V104" s="11"/>
      <c r="W104" s="20"/>
    </row>
    <row r="105" spans="2:23">
      <c r="B105" s="64"/>
      <c r="C105" s="20"/>
      <c r="D105" s="20"/>
      <c r="E105" s="250"/>
      <c r="F105" s="64"/>
      <c r="G105" s="64"/>
      <c r="H105" s="64"/>
      <c r="I105" s="250"/>
      <c r="J105" s="20"/>
      <c r="K105" s="20"/>
      <c r="L105" s="250"/>
      <c r="M105" s="20"/>
      <c r="N105" s="20"/>
      <c r="O105" s="250"/>
      <c r="P105" s="20"/>
      <c r="Q105" s="20"/>
      <c r="R105" s="20"/>
      <c r="S105" s="250"/>
      <c r="U105" s="20"/>
      <c r="V105" s="11"/>
      <c r="W105" s="20"/>
    </row>
    <row r="106" spans="2:23">
      <c r="B106" s="64"/>
      <c r="C106" s="20"/>
      <c r="D106" s="20"/>
      <c r="E106" s="250"/>
      <c r="F106" s="64"/>
      <c r="G106" s="64"/>
      <c r="H106" s="64"/>
      <c r="I106" s="250"/>
      <c r="J106" s="20"/>
      <c r="K106" s="20"/>
      <c r="L106" s="250"/>
      <c r="M106" s="20"/>
      <c r="N106" s="20"/>
      <c r="O106" s="250"/>
      <c r="P106" s="20"/>
      <c r="Q106" s="20"/>
      <c r="R106" s="20"/>
      <c r="S106" s="250"/>
      <c r="U106" s="20"/>
      <c r="V106" s="11"/>
      <c r="W106" s="20"/>
    </row>
    <row r="107" spans="2:23">
      <c r="B107" s="64"/>
      <c r="C107" s="20"/>
      <c r="D107" s="20"/>
      <c r="E107" s="250"/>
      <c r="F107" s="64"/>
      <c r="G107" s="64"/>
      <c r="H107" s="64"/>
      <c r="I107" s="250"/>
      <c r="J107" s="20"/>
      <c r="K107" s="20"/>
      <c r="L107" s="250"/>
      <c r="M107" s="20"/>
      <c r="N107" s="20"/>
      <c r="O107" s="250"/>
      <c r="P107" s="20"/>
      <c r="Q107" s="20"/>
      <c r="R107" s="20"/>
      <c r="S107" s="250"/>
      <c r="U107" s="20"/>
      <c r="V107" s="11"/>
      <c r="W107" s="20"/>
    </row>
    <row r="108" spans="2:23">
      <c r="B108" s="64"/>
      <c r="C108" s="20"/>
      <c r="D108" s="20"/>
      <c r="E108" s="250"/>
      <c r="F108" s="64"/>
      <c r="G108" s="64"/>
      <c r="H108" s="64"/>
      <c r="I108" s="250"/>
      <c r="J108" s="20"/>
      <c r="K108" s="20"/>
      <c r="L108" s="250"/>
      <c r="M108" s="20"/>
      <c r="N108" s="20"/>
      <c r="O108" s="250"/>
      <c r="P108" s="20"/>
      <c r="Q108" s="20"/>
      <c r="R108" s="20"/>
      <c r="S108" s="250"/>
      <c r="U108" s="20"/>
      <c r="V108" s="11"/>
      <c r="W108" s="20"/>
    </row>
    <row r="109" spans="2:23">
      <c r="B109" s="64"/>
      <c r="C109" s="20"/>
      <c r="D109" s="20"/>
      <c r="E109" s="250"/>
      <c r="F109" s="64"/>
      <c r="G109" s="64"/>
      <c r="H109" s="64"/>
      <c r="I109" s="250"/>
      <c r="J109" s="20"/>
      <c r="K109" s="20"/>
      <c r="L109" s="250"/>
      <c r="M109" s="20"/>
      <c r="N109" s="20"/>
      <c r="O109" s="250"/>
      <c r="P109" s="20"/>
      <c r="Q109" s="20"/>
      <c r="R109" s="20"/>
      <c r="S109" s="250"/>
      <c r="U109" s="20"/>
      <c r="V109" s="11"/>
      <c r="W109" s="20"/>
    </row>
    <row r="110" spans="2:23">
      <c r="B110" s="64"/>
      <c r="C110" s="20"/>
      <c r="D110" s="20"/>
      <c r="E110" s="250"/>
      <c r="F110" s="64"/>
      <c r="G110" s="64"/>
      <c r="H110" s="64"/>
      <c r="I110" s="250"/>
      <c r="J110" s="20"/>
      <c r="K110" s="20"/>
      <c r="L110" s="250"/>
      <c r="M110" s="20"/>
      <c r="N110" s="20"/>
      <c r="O110" s="250"/>
      <c r="P110" s="20"/>
      <c r="Q110" s="20"/>
      <c r="R110" s="20"/>
      <c r="S110" s="250"/>
      <c r="U110" s="20"/>
      <c r="V110" s="11"/>
      <c r="W110" s="20"/>
    </row>
    <row r="111" spans="2:23">
      <c r="B111" s="64"/>
      <c r="C111" s="20"/>
      <c r="D111" s="20"/>
      <c r="E111" s="250"/>
      <c r="F111" s="64"/>
      <c r="G111" s="64"/>
      <c r="H111" s="64"/>
      <c r="I111" s="250"/>
      <c r="J111" s="20"/>
      <c r="K111" s="20"/>
      <c r="L111" s="250"/>
      <c r="M111" s="20"/>
      <c r="N111" s="20"/>
      <c r="O111" s="250"/>
      <c r="P111" s="20"/>
      <c r="Q111" s="20"/>
      <c r="R111" s="20"/>
      <c r="S111" s="250"/>
      <c r="U111" s="20"/>
      <c r="V111" s="11"/>
      <c r="W111" s="20"/>
    </row>
    <row r="112" spans="2:23">
      <c r="B112" s="64"/>
      <c r="C112" s="20"/>
      <c r="D112" s="20"/>
      <c r="E112" s="250"/>
      <c r="F112" s="64"/>
      <c r="G112" s="64"/>
      <c r="H112" s="64"/>
      <c r="I112" s="250"/>
      <c r="J112" s="20"/>
      <c r="K112" s="20"/>
      <c r="L112" s="250"/>
      <c r="M112" s="20"/>
      <c r="N112" s="20"/>
      <c r="O112" s="250"/>
      <c r="P112" s="20"/>
      <c r="Q112" s="20"/>
      <c r="R112" s="20"/>
      <c r="S112" s="250"/>
      <c r="U112" s="20"/>
      <c r="V112" s="11"/>
      <c r="W112" s="20"/>
    </row>
    <row r="113" spans="1:23">
      <c r="B113" s="64"/>
      <c r="C113" s="20"/>
      <c r="D113" s="20"/>
      <c r="E113" s="250"/>
      <c r="F113" s="64"/>
      <c r="G113" s="64"/>
      <c r="H113" s="64"/>
      <c r="I113" s="250"/>
      <c r="J113" s="20"/>
      <c r="K113" s="20"/>
      <c r="L113" s="250"/>
      <c r="M113" s="20"/>
      <c r="N113" s="20"/>
      <c r="O113" s="250"/>
      <c r="P113" s="20"/>
      <c r="Q113" s="20"/>
      <c r="R113" s="20"/>
      <c r="S113" s="250"/>
      <c r="U113" s="20"/>
      <c r="V113" s="11"/>
      <c r="W113" s="20"/>
    </row>
    <row r="114" spans="1:23">
      <c r="B114" s="64"/>
      <c r="C114" s="20"/>
      <c r="D114" s="20"/>
      <c r="E114" s="250"/>
      <c r="F114" s="64"/>
      <c r="G114" s="64"/>
      <c r="H114" s="64"/>
      <c r="I114" s="250"/>
      <c r="J114" s="20"/>
      <c r="K114" s="20"/>
      <c r="L114" s="250"/>
      <c r="M114" s="20"/>
      <c r="N114" s="20"/>
      <c r="O114" s="250"/>
      <c r="P114" s="20"/>
      <c r="Q114" s="20"/>
      <c r="R114" s="20"/>
      <c r="S114" s="250"/>
      <c r="U114" s="20"/>
      <c r="V114" s="11"/>
      <c r="W114" s="20"/>
    </row>
    <row r="115" spans="1:23">
      <c r="B115" s="64"/>
      <c r="C115" s="20"/>
      <c r="D115" s="20"/>
      <c r="E115" s="250"/>
      <c r="F115" s="64"/>
      <c r="G115" s="64"/>
      <c r="H115" s="64"/>
      <c r="I115" s="250"/>
      <c r="J115" s="20"/>
      <c r="K115" s="20"/>
      <c r="L115" s="250"/>
      <c r="M115" s="20"/>
      <c r="N115" s="20"/>
      <c r="O115" s="250"/>
      <c r="P115" s="20"/>
      <c r="Q115" s="20"/>
      <c r="R115" s="20"/>
      <c r="S115" s="250"/>
      <c r="U115" s="20"/>
      <c r="V115" s="11"/>
      <c r="W115" s="20"/>
    </row>
    <row r="116" spans="1:23">
      <c r="B116" s="64"/>
      <c r="C116" s="20"/>
      <c r="D116" s="20"/>
      <c r="E116" s="250"/>
      <c r="F116" s="64"/>
      <c r="G116" s="64"/>
      <c r="H116" s="64"/>
      <c r="I116" s="250"/>
      <c r="J116" s="20"/>
      <c r="K116" s="20"/>
      <c r="L116" s="250"/>
      <c r="M116" s="20"/>
      <c r="N116" s="20"/>
      <c r="O116" s="250"/>
      <c r="P116" s="20"/>
      <c r="Q116" s="20"/>
      <c r="R116" s="20"/>
      <c r="S116" s="250"/>
      <c r="U116" s="20"/>
      <c r="V116" s="11"/>
      <c r="W116" s="20"/>
    </row>
    <row r="117" spans="1:23">
      <c r="B117" s="64"/>
      <c r="C117" s="20"/>
      <c r="D117" s="20"/>
      <c r="E117" s="250"/>
      <c r="F117" s="64"/>
      <c r="G117" s="64"/>
      <c r="H117" s="64"/>
      <c r="I117" s="250"/>
      <c r="J117" s="20"/>
      <c r="K117" s="20"/>
      <c r="L117" s="250"/>
      <c r="M117" s="20"/>
      <c r="N117" s="20"/>
      <c r="O117" s="250"/>
      <c r="P117" s="20"/>
      <c r="Q117" s="20"/>
      <c r="R117" s="20"/>
      <c r="S117" s="250"/>
      <c r="U117" s="20"/>
      <c r="V117" s="11"/>
      <c r="W117" s="20"/>
    </row>
    <row r="118" spans="1:23">
      <c r="B118" s="64"/>
      <c r="C118" s="20"/>
      <c r="D118" s="20"/>
      <c r="E118" s="250"/>
      <c r="F118" s="64"/>
      <c r="G118" s="64"/>
      <c r="H118" s="64"/>
      <c r="I118" s="250"/>
      <c r="J118" s="20"/>
      <c r="K118" s="20"/>
      <c r="L118" s="250"/>
      <c r="M118" s="20"/>
      <c r="N118" s="20"/>
      <c r="O118" s="250"/>
      <c r="P118" s="20"/>
      <c r="Q118" s="20"/>
      <c r="R118" s="20"/>
      <c r="S118" s="250"/>
      <c r="U118" s="20"/>
      <c r="V118" s="11"/>
      <c r="W118" s="20"/>
    </row>
    <row r="119" spans="1:23">
      <c r="B119" s="64"/>
      <c r="C119" s="20"/>
      <c r="D119" s="20"/>
      <c r="E119" s="250"/>
      <c r="F119" s="64"/>
      <c r="G119" s="64"/>
      <c r="H119" s="64"/>
      <c r="I119" s="250"/>
      <c r="J119" s="20"/>
      <c r="K119" s="20"/>
      <c r="L119" s="250"/>
      <c r="M119" s="20"/>
      <c r="N119" s="20"/>
      <c r="O119" s="250"/>
      <c r="P119" s="20"/>
      <c r="Q119" s="20"/>
      <c r="R119" s="20"/>
      <c r="S119" s="250"/>
      <c r="U119" s="20"/>
      <c r="V119" s="11"/>
      <c r="W119" s="20"/>
    </row>
    <row r="120" spans="1:23">
      <c r="B120" s="64"/>
      <c r="C120" s="20"/>
      <c r="D120" s="20"/>
      <c r="E120" s="250"/>
      <c r="F120" s="64"/>
      <c r="G120" s="64"/>
      <c r="H120" s="64"/>
      <c r="I120" s="250"/>
      <c r="J120" s="20"/>
      <c r="K120" s="20"/>
      <c r="L120" s="250"/>
      <c r="M120" s="20"/>
      <c r="N120" s="20"/>
      <c r="O120" s="250"/>
      <c r="P120" s="20"/>
      <c r="Q120" s="20"/>
      <c r="R120" s="20"/>
      <c r="S120" s="250"/>
      <c r="U120" s="20"/>
      <c r="V120" s="11"/>
      <c r="W120" s="20"/>
    </row>
    <row r="121" spans="1:23">
      <c r="B121" s="64"/>
      <c r="C121" s="20"/>
      <c r="D121" s="20"/>
      <c r="E121" s="250"/>
      <c r="F121" s="64"/>
      <c r="G121" s="64"/>
      <c r="H121" s="64"/>
      <c r="I121" s="250"/>
      <c r="J121" s="20"/>
      <c r="K121" s="20"/>
      <c r="L121" s="250"/>
      <c r="M121" s="20"/>
      <c r="N121" s="20"/>
      <c r="O121" s="250"/>
      <c r="P121" s="20"/>
      <c r="Q121" s="20"/>
      <c r="R121" s="20"/>
      <c r="S121" s="250"/>
      <c r="U121" s="20"/>
      <c r="V121" s="11"/>
      <c r="W121" s="20"/>
    </row>
    <row r="122" spans="1:23">
      <c r="B122" s="64"/>
      <c r="C122" s="20"/>
      <c r="D122" s="20"/>
      <c r="E122" s="250"/>
      <c r="F122" s="64"/>
      <c r="G122" s="64"/>
      <c r="H122" s="64"/>
      <c r="I122" s="250"/>
      <c r="J122" s="20"/>
      <c r="K122" s="20"/>
      <c r="L122" s="250"/>
      <c r="M122" s="20"/>
      <c r="N122" s="20"/>
      <c r="O122" s="250"/>
      <c r="P122" s="20"/>
      <c r="Q122" s="20"/>
      <c r="R122" s="20"/>
      <c r="S122" s="250"/>
      <c r="U122" s="20"/>
      <c r="V122" s="11"/>
      <c r="W122" s="20"/>
    </row>
    <row r="123" spans="1:23">
      <c r="B123" s="64"/>
      <c r="C123" s="20"/>
      <c r="D123" s="20"/>
      <c r="E123" s="250"/>
      <c r="F123" s="64"/>
      <c r="G123" s="64"/>
      <c r="H123" s="64"/>
      <c r="I123" s="250"/>
      <c r="J123" s="20"/>
      <c r="K123" s="20"/>
      <c r="L123" s="250"/>
      <c r="M123" s="20"/>
      <c r="N123" s="20"/>
      <c r="O123" s="250"/>
      <c r="P123" s="20"/>
      <c r="Q123" s="20"/>
      <c r="R123" s="20"/>
      <c r="S123" s="250"/>
      <c r="U123" s="20"/>
      <c r="V123" s="11"/>
      <c r="W123" s="20"/>
    </row>
    <row r="124" spans="1:23">
      <c r="A124" s="20"/>
      <c r="B124" s="64"/>
      <c r="C124" s="20"/>
      <c r="D124" s="20"/>
      <c r="E124" s="250"/>
      <c r="F124" s="64"/>
      <c r="G124" s="64"/>
      <c r="H124" s="64"/>
      <c r="I124" s="250"/>
      <c r="J124" s="20"/>
      <c r="K124" s="20"/>
      <c r="L124" s="250"/>
      <c r="M124" s="20"/>
      <c r="N124" s="20"/>
      <c r="O124" s="250"/>
      <c r="P124" s="20"/>
      <c r="Q124" s="20"/>
      <c r="R124" s="20"/>
      <c r="S124" s="250"/>
      <c r="U124" s="20"/>
      <c r="V124" s="11"/>
      <c r="W124" s="20"/>
    </row>
    <row r="125" spans="1:23">
      <c r="A125" s="20"/>
      <c r="B125" s="64"/>
      <c r="C125" s="20"/>
      <c r="D125" s="20"/>
      <c r="E125" s="250"/>
      <c r="F125" s="64"/>
      <c r="G125" s="64"/>
      <c r="H125" s="64"/>
      <c r="I125" s="250"/>
      <c r="J125" s="20"/>
      <c r="K125" s="20"/>
      <c r="L125" s="250"/>
      <c r="M125" s="20"/>
      <c r="N125" s="20"/>
      <c r="O125" s="250"/>
      <c r="P125" s="20"/>
      <c r="Q125" s="20"/>
      <c r="R125" s="20"/>
      <c r="S125" s="250"/>
      <c r="U125" s="20"/>
      <c r="V125" s="11"/>
      <c r="W125" s="20"/>
    </row>
    <row r="126" spans="1:23">
      <c r="A126" s="20"/>
      <c r="B126" s="64"/>
      <c r="C126" s="20"/>
      <c r="D126" s="20"/>
      <c r="E126" s="250"/>
      <c r="F126" s="64"/>
      <c r="G126" s="64"/>
      <c r="H126" s="64"/>
      <c r="I126" s="250"/>
      <c r="J126" s="20"/>
      <c r="K126" s="20"/>
      <c r="L126" s="250"/>
      <c r="M126" s="20"/>
      <c r="N126" s="20"/>
      <c r="O126" s="250"/>
      <c r="P126" s="20"/>
      <c r="Q126" s="20"/>
      <c r="R126" s="20"/>
      <c r="S126" s="250"/>
      <c r="U126" s="20"/>
      <c r="V126" s="11"/>
      <c r="W126" s="20"/>
    </row>
    <row r="127" spans="1:23">
      <c r="A127" s="20"/>
      <c r="B127" s="64"/>
      <c r="C127" s="20"/>
      <c r="D127" s="20"/>
      <c r="E127" s="250"/>
      <c r="F127" s="64"/>
      <c r="G127" s="64"/>
      <c r="H127" s="64"/>
      <c r="I127" s="250"/>
      <c r="J127" s="20"/>
      <c r="K127" s="20"/>
      <c r="L127" s="250"/>
      <c r="M127" s="20"/>
      <c r="N127" s="20"/>
      <c r="O127" s="250"/>
      <c r="P127" s="20"/>
      <c r="Q127" s="20"/>
      <c r="R127" s="20"/>
      <c r="S127" s="250"/>
      <c r="U127" s="20"/>
      <c r="V127" s="11"/>
      <c r="W127" s="20"/>
    </row>
    <row r="128" spans="1:23">
      <c r="A128" s="20"/>
      <c r="B128" s="64"/>
      <c r="C128" s="20"/>
      <c r="D128" s="20"/>
      <c r="E128" s="250"/>
      <c r="F128" s="64"/>
      <c r="G128" s="64"/>
      <c r="H128" s="64"/>
      <c r="I128" s="250"/>
      <c r="J128" s="20"/>
      <c r="K128" s="20"/>
      <c r="L128" s="250"/>
      <c r="M128" s="20"/>
      <c r="N128" s="20"/>
      <c r="O128" s="250"/>
      <c r="P128" s="20"/>
      <c r="Q128" s="20"/>
      <c r="R128" s="20"/>
      <c r="S128" s="250"/>
      <c r="U128" s="20"/>
      <c r="V128" s="11"/>
      <c r="W128" s="20"/>
    </row>
    <row r="129" spans="1:23">
      <c r="A129" s="20"/>
      <c r="B129" s="64"/>
      <c r="C129" s="20"/>
      <c r="D129" s="20"/>
      <c r="E129" s="250"/>
      <c r="F129" s="64"/>
      <c r="G129" s="64"/>
      <c r="H129" s="64"/>
      <c r="I129" s="250"/>
      <c r="J129" s="20"/>
      <c r="K129" s="20"/>
      <c r="L129" s="250"/>
      <c r="M129" s="20"/>
      <c r="N129" s="20"/>
      <c r="O129" s="250"/>
      <c r="P129" s="20"/>
      <c r="Q129" s="20"/>
      <c r="R129" s="20"/>
      <c r="S129" s="250"/>
      <c r="U129" s="20"/>
      <c r="V129" s="11"/>
      <c r="W129" s="20"/>
    </row>
    <row r="130" spans="1:23">
      <c r="A130" s="20"/>
      <c r="B130" s="64"/>
      <c r="C130" s="20"/>
      <c r="D130" s="20"/>
      <c r="E130" s="250"/>
      <c r="F130" s="64"/>
      <c r="G130" s="64"/>
      <c r="H130" s="64"/>
      <c r="I130" s="250"/>
      <c r="J130" s="20"/>
      <c r="K130" s="20"/>
      <c r="L130" s="250"/>
      <c r="M130" s="20"/>
      <c r="N130" s="20"/>
      <c r="O130" s="250"/>
      <c r="P130" s="20"/>
      <c r="Q130" s="20"/>
      <c r="R130" s="20"/>
      <c r="S130" s="250"/>
      <c r="U130" s="20"/>
      <c r="V130" s="11"/>
      <c r="W130" s="20"/>
    </row>
    <row r="131" spans="1:23">
      <c r="A131" s="20"/>
      <c r="B131" s="64"/>
      <c r="C131" s="20"/>
      <c r="D131" s="20"/>
      <c r="E131" s="250"/>
      <c r="F131" s="64"/>
      <c r="G131" s="64"/>
      <c r="H131" s="64"/>
      <c r="I131" s="250"/>
      <c r="J131" s="20"/>
      <c r="K131" s="20"/>
      <c r="L131" s="250"/>
      <c r="M131" s="20"/>
      <c r="N131" s="20"/>
      <c r="O131" s="250"/>
      <c r="P131" s="20"/>
      <c r="Q131" s="20"/>
      <c r="R131" s="20"/>
      <c r="S131" s="250"/>
      <c r="U131" s="20"/>
      <c r="V131" s="11"/>
      <c r="W131" s="20"/>
    </row>
    <row r="132" spans="1:23">
      <c r="A132" s="20"/>
      <c r="B132" s="64"/>
      <c r="C132" s="20"/>
      <c r="D132" s="20"/>
      <c r="E132" s="250"/>
      <c r="F132" s="64"/>
      <c r="G132" s="64"/>
      <c r="H132" s="64"/>
      <c r="I132" s="250"/>
      <c r="J132" s="20"/>
      <c r="K132" s="20"/>
      <c r="L132" s="250"/>
      <c r="M132" s="20"/>
      <c r="N132" s="20"/>
      <c r="O132" s="250"/>
      <c r="P132" s="20"/>
      <c r="Q132" s="20"/>
      <c r="R132" s="20"/>
      <c r="S132" s="250"/>
      <c r="U132" s="20"/>
      <c r="V132" s="11"/>
      <c r="W132" s="20"/>
    </row>
    <row r="133" spans="1:23">
      <c r="A133" s="20"/>
      <c r="B133" s="64"/>
      <c r="C133" s="20"/>
      <c r="D133" s="20"/>
      <c r="E133" s="250"/>
      <c r="F133" s="64"/>
      <c r="G133" s="64"/>
      <c r="H133" s="64"/>
      <c r="I133" s="250"/>
      <c r="J133" s="20"/>
      <c r="K133" s="20"/>
      <c r="L133" s="250"/>
      <c r="M133" s="20"/>
      <c r="N133" s="20"/>
      <c r="O133" s="250"/>
      <c r="P133" s="20"/>
      <c r="Q133" s="20"/>
      <c r="R133" s="20"/>
      <c r="S133" s="250"/>
      <c r="U133" s="20"/>
      <c r="V133" s="11"/>
      <c r="W133" s="20"/>
    </row>
    <row r="134" spans="1:23">
      <c r="A134" s="20"/>
      <c r="B134" s="64"/>
      <c r="C134" s="20"/>
      <c r="D134" s="20"/>
      <c r="E134" s="250"/>
      <c r="F134" s="64"/>
      <c r="G134" s="64"/>
      <c r="H134" s="64"/>
      <c r="I134" s="250"/>
      <c r="J134" s="20"/>
      <c r="K134" s="20"/>
      <c r="L134" s="250"/>
      <c r="M134" s="20"/>
      <c r="N134" s="20"/>
      <c r="O134" s="250"/>
      <c r="P134" s="20"/>
      <c r="Q134" s="20"/>
      <c r="R134" s="20"/>
      <c r="S134" s="250"/>
      <c r="U134" s="20"/>
      <c r="V134" s="11"/>
      <c r="W134" s="20"/>
    </row>
    <row r="135" spans="1:23">
      <c r="A135" s="20"/>
      <c r="B135" s="64"/>
      <c r="C135" s="20"/>
      <c r="D135" s="20"/>
      <c r="E135" s="250"/>
      <c r="F135" s="64"/>
      <c r="G135" s="64"/>
      <c r="H135" s="64"/>
      <c r="I135" s="250"/>
      <c r="J135" s="20"/>
      <c r="K135" s="20"/>
      <c r="L135" s="250"/>
      <c r="M135" s="20"/>
      <c r="N135" s="20"/>
      <c r="O135" s="250"/>
      <c r="P135" s="20"/>
      <c r="Q135" s="20"/>
      <c r="R135" s="20"/>
      <c r="S135" s="250"/>
      <c r="U135" s="20"/>
      <c r="V135" s="11"/>
      <c r="W135" s="20"/>
    </row>
    <row r="136" spans="1:23">
      <c r="A136" s="20"/>
      <c r="B136" s="64"/>
      <c r="C136" s="20"/>
      <c r="D136" s="20"/>
      <c r="E136" s="250"/>
      <c r="F136" s="64"/>
      <c r="G136" s="64"/>
      <c r="H136" s="64"/>
      <c r="I136" s="250"/>
      <c r="J136" s="20"/>
      <c r="K136" s="20"/>
      <c r="L136" s="250"/>
      <c r="M136" s="20"/>
      <c r="N136" s="20"/>
      <c r="O136" s="250"/>
      <c r="P136" s="20"/>
      <c r="Q136" s="20"/>
      <c r="R136" s="20"/>
      <c r="S136" s="250"/>
      <c r="U136" s="20"/>
      <c r="V136" s="11"/>
      <c r="W136" s="20"/>
    </row>
    <row r="137" spans="1:23">
      <c r="A137" s="20"/>
      <c r="B137" s="64"/>
      <c r="C137" s="20"/>
      <c r="D137" s="20"/>
      <c r="E137" s="250"/>
      <c r="F137" s="64"/>
      <c r="G137" s="64"/>
      <c r="H137" s="64"/>
      <c r="I137" s="250"/>
      <c r="J137" s="20"/>
      <c r="K137" s="20"/>
      <c r="L137" s="250"/>
      <c r="M137" s="20"/>
      <c r="N137" s="20"/>
      <c r="O137" s="250"/>
      <c r="P137" s="20"/>
      <c r="Q137" s="20"/>
      <c r="R137" s="20"/>
      <c r="S137" s="250"/>
      <c r="U137" s="20"/>
      <c r="V137" s="11"/>
      <c r="W137" s="20"/>
    </row>
    <row r="138" spans="1:23">
      <c r="A138" s="20"/>
      <c r="B138" s="64"/>
      <c r="C138" s="20"/>
      <c r="D138" s="20"/>
      <c r="E138" s="250"/>
      <c r="F138" s="64"/>
      <c r="G138" s="64"/>
      <c r="H138" s="64"/>
      <c r="I138" s="250"/>
      <c r="J138" s="20"/>
      <c r="K138" s="20"/>
      <c r="L138" s="250"/>
      <c r="M138" s="20"/>
      <c r="N138" s="20"/>
      <c r="O138" s="250"/>
      <c r="P138" s="20"/>
      <c r="Q138" s="20"/>
      <c r="R138" s="20"/>
      <c r="S138" s="250"/>
      <c r="U138" s="20"/>
      <c r="V138" s="11"/>
      <c r="W138" s="20"/>
    </row>
    <row r="139" spans="1:23">
      <c r="A139" s="20"/>
      <c r="B139" s="64"/>
      <c r="C139" s="20"/>
      <c r="D139" s="20"/>
      <c r="E139" s="250"/>
      <c r="F139" s="64"/>
      <c r="G139" s="64"/>
      <c r="H139" s="64"/>
      <c r="I139" s="250"/>
      <c r="J139" s="20"/>
      <c r="K139" s="20"/>
      <c r="L139" s="250"/>
      <c r="M139" s="20"/>
      <c r="N139" s="20"/>
      <c r="O139" s="250"/>
      <c r="P139" s="20"/>
      <c r="Q139" s="20"/>
      <c r="R139" s="20"/>
      <c r="S139" s="250"/>
      <c r="U139" s="20"/>
      <c r="V139" s="11"/>
      <c r="W139" s="20"/>
    </row>
    <row r="140" spans="1:23">
      <c r="A140" s="20"/>
      <c r="B140" s="64"/>
      <c r="C140" s="20"/>
      <c r="D140" s="20"/>
      <c r="E140" s="250"/>
      <c r="F140" s="64"/>
      <c r="G140" s="64"/>
      <c r="H140" s="64"/>
      <c r="I140" s="250"/>
      <c r="J140" s="20"/>
      <c r="K140" s="20"/>
      <c r="L140" s="250"/>
      <c r="M140" s="20"/>
      <c r="N140" s="20"/>
      <c r="O140" s="250"/>
      <c r="P140" s="20"/>
      <c r="Q140" s="20"/>
      <c r="R140" s="20"/>
      <c r="S140" s="250"/>
      <c r="U140" s="20"/>
      <c r="V140" s="11"/>
      <c r="W140" s="20"/>
    </row>
    <row r="141" spans="1:23">
      <c r="A141" s="20"/>
      <c r="B141" s="64"/>
      <c r="C141" s="20"/>
      <c r="D141" s="20"/>
      <c r="E141" s="250"/>
      <c r="F141" s="64"/>
      <c r="G141" s="64"/>
      <c r="H141" s="64"/>
      <c r="I141" s="250"/>
      <c r="J141" s="20"/>
      <c r="K141" s="20"/>
      <c r="L141" s="250"/>
      <c r="M141" s="20"/>
      <c r="N141" s="20"/>
      <c r="O141" s="250"/>
      <c r="P141" s="20"/>
      <c r="Q141" s="20"/>
      <c r="R141" s="20"/>
      <c r="S141" s="250"/>
      <c r="U141" s="20"/>
      <c r="V141" s="11"/>
      <c r="W141" s="20"/>
    </row>
    <row r="142" spans="1:23">
      <c r="A142" s="20"/>
      <c r="B142" s="64"/>
      <c r="C142" s="20"/>
      <c r="D142" s="20"/>
      <c r="E142" s="250"/>
      <c r="F142" s="64"/>
      <c r="G142" s="64"/>
      <c r="H142" s="64"/>
      <c r="I142" s="250"/>
      <c r="J142" s="20"/>
      <c r="K142" s="20"/>
      <c r="L142" s="250"/>
      <c r="M142" s="20"/>
      <c r="N142" s="20"/>
      <c r="O142" s="250"/>
      <c r="P142" s="20"/>
      <c r="Q142" s="20"/>
      <c r="R142" s="20"/>
      <c r="S142" s="250"/>
      <c r="U142" s="20"/>
      <c r="V142" s="11"/>
      <c r="W142" s="20"/>
    </row>
    <row r="143" spans="1:23">
      <c r="A143" s="20"/>
      <c r="B143" s="64"/>
      <c r="C143" s="20"/>
      <c r="D143" s="20"/>
      <c r="E143" s="250"/>
      <c r="F143" s="64"/>
      <c r="G143" s="64"/>
      <c r="H143" s="64"/>
      <c r="I143" s="250"/>
      <c r="J143" s="20"/>
      <c r="K143" s="20"/>
      <c r="L143" s="250"/>
      <c r="M143" s="20"/>
      <c r="N143" s="20"/>
      <c r="O143" s="250"/>
      <c r="P143" s="20"/>
      <c r="Q143" s="20"/>
      <c r="R143" s="20"/>
      <c r="S143" s="250"/>
      <c r="U143" s="20"/>
      <c r="V143" s="11"/>
      <c r="W143" s="20"/>
    </row>
    <row r="144" spans="1:23">
      <c r="A144" s="20"/>
      <c r="B144" s="64"/>
      <c r="C144" s="20"/>
      <c r="D144" s="20"/>
      <c r="E144" s="250"/>
      <c r="F144" s="64"/>
      <c r="G144" s="64"/>
      <c r="H144" s="64"/>
      <c r="I144" s="250"/>
      <c r="J144" s="20"/>
      <c r="K144" s="20"/>
      <c r="L144" s="250"/>
      <c r="M144" s="20"/>
      <c r="N144" s="20"/>
      <c r="O144" s="250"/>
      <c r="P144" s="20"/>
      <c r="Q144" s="20"/>
      <c r="R144" s="20"/>
      <c r="S144" s="250"/>
      <c r="U144" s="20"/>
      <c r="V144" s="11"/>
      <c r="W144" s="20"/>
    </row>
    <row r="145" spans="1:23">
      <c r="A145" s="20"/>
      <c r="B145" s="64"/>
      <c r="C145" s="20"/>
      <c r="D145" s="20"/>
      <c r="E145" s="250"/>
      <c r="F145" s="64"/>
      <c r="G145" s="64"/>
      <c r="H145" s="64"/>
      <c r="I145" s="250"/>
      <c r="J145" s="20"/>
      <c r="K145" s="20"/>
      <c r="L145" s="250"/>
      <c r="M145" s="20"/>
      <c r="N145" s="20"/>
      <c r="O145" s="250"/>
      <c r="P145" s="20"/>
      <c r="Q145" s="20"/>
      <c r="R145" s="20"/>
      <c r="S145" s="250"/>
      <c r="U145" s="20"/>
      <c r="V145" s="11"/>
      <c r="W145" s="20"/>
    </row>
    <row r="146" spans="1:23">
      <c r="A146" s="20"/>
      <c r="B146" s="64"/>
      <c r="C146" s="20"/>
      <c r="D146" s="20"/>
      <c r="E146" s="250"/>
      <c r="F146" s="64"/>
      <c r="G146" s="64"/>
      <c r="H146" s="64"/>
      <c r="I146" s="250"/>
      <c r="J146" s="20"/>
      <c r="K146" s="20"/>
      <c r="L146" s="250"/>
      <c r="M146" s="20"/>
      <c r="N146" s="20"/>
      <c r="O146" s="250"/>
      <c r="P146" s="20"/>
      <c r="Q146" s="20"/>
      <c r="R146" s="20"/>
      <c r="S146" s="250"/>
      <c r="U146" s="20"/>
      <c r="V146" s="11"/>
      <c r="W146" s="20"/>
    </row>
    <row r="147" spans="1:23">
      <c r="A147" s="20"/>
      <c r="B147" s="64"/>
      <c r="C147" s="20"/>
      <c r="D147" s="20"/>
      <c r="E147" s="250"/>
      <c r="F147" s="64"/>
      <c r="G147" s="64"/>
      <c r="H147" s="64"/>
      <c r="I147" s="250"/>
      <c r="J147" s="20"/>
      <c r="K147" s="20"/>
      <c r="L147" s="250"/>
      <c r="M147" s="20"/>
      <c r="N147" s="20"/>
      <c r="O147" s="250"/>
      <c r="P147" s="20"/>
      <c r="Q147" s="20"/>
      <c r="R147" s="20"/>
      <c r="S147" s="250"/>
      <c r="U147" s="20"/>
      <c r="V147" s="11"/>
      <c r="W147" s="20"/>
    </row>
    <row r="148" spans="1:23">
      <c r="A148" s="20"/>
      <c r="B148" s="64"/>
      <c r="C148" s="20"/>
      <c r="D148" s="20"/>
      <c r="E148" s="250"/>
      <c r="F148" s="64"/>
      <c r="G148" s="64"/>
      <c r="H148" s="64"/>
      <c r="I148" s="250"/>
      <c r="J148" s="20"/>
      <c r="K148" s="20"/>
      <c r="L148" s="250"/>
      <c r="M148" s="20"/>
      <c r="N148" s="20"/>
      <c r="O148" s="250"/>
      <c r="P148" s="20"/>
      <c r="Q148" s="20"/>
      <c r="R148" s="20"/>
      <c r="S148" s="250"/>
      <c r="U148" s="20"/>
      <c r="V148" s="11"/>
      <c r="W148" s="20"/>
    </row>
    <row r="149" spans="1:23">
      <c r="A149" s="20"/>
      <c r="B149" s="64"/>
      <c r="C149" s="20"/>
      <c r="D149" s="20"/>
      <c r="E149" s="250"/>
      <c r="F149" s="64"/>
      <c r="G149" s="64"/>
      <c r="H149" s="64"/>
      <c r="I149" s="250"/>
      <c r="J149" s="20"/>
      <c r="K149" s="20"/>
      <c r="L149" s="250"/>
      <c r="M149" s="20"/>
      <c r="N149" s="20"/>
      <c r="O149" s="250"/>
      <c r="P149" s="20"/>
      <c r="Q149" s="20"/>
      <c r="R149" s="20"/>
      <c r="S149" s="250"/>
      <c r="U149" s="20"/>
      <c r="V149" s="11"/>
      <c r="W149" s="20"/>
    </row>
    <row r="150" spans="1:23">
      <c r="A150" s="20"/>
      <c r="B150" s="64"/>
      <c r="C150" s="20"/>
      <c r="D150" s="20"/>
      <c r="E150" s="250"/>
      <c r="F150" s="64"/>
      <c r="G150" s="64"/>
      <c r="H150" s="64"/>
      <c r="I150" s="250"/>
      <c r="J150" s="20"/>
      <c r="K150" s="20"/>
      <c r="L150" s="250"/>
      <c r="M150" s="20"/>
      <c r="N150" s="20"/>
      <c r="O150" s="250"/>
      <c r="P150" s="20"/>
      <c r="Q150" s="20"/>
      <c r="R150" s="20"/>
      <c r="S150" s="250"/>
      <c r="U150" s="20"/>
      <c r="V150" s="11"/>
      <c r="W150" s="20"/>
    </row>
    <row r="151" spans="1:23">
      <c r="A151" s="20"/>
      <c r="B151" s="64"/>
      <c r="C151" s="20"/>
      <c r="D151" s="20"/>
      <c r="E151" s="250"/>
      <c r="F151" s="64"/>
      <c r="G151" s="64"/>
      <c r="H151" s="64"/>
      <c r="I151" s="250"/>
      <c r="J151" s="20"/>
      <c r="K151" s="20"/>
      <c r="L151" s="250"/>
      <c r="M151" s="20"/>
      <c r="N151" s="20"/>
      <c r="O151" s="250"/>
      <c r="P151" s="20"/>
      <c r="Q151" s="20"/>
      <c r="R151" s="20"/>
      <c r="S151" s="250"/>
      <c r="U151" s="20"/>
      <c r="V151" s="11"/>
      <c r="W151" s="20"/>
    </row>
    <row r="152" spans="1:23">
      <c r="A152" s="20"/>
      <c r="B152" s="64"/>
      <c r="C152" s="20"/>
      <c r="D152" s="20"/>
      <c r="E152" s="250"/>
      <c r="F152" s="64"/>
      <c r="G152" s="64"/>
      <c r="H152" s="64"/>
      <c r="I152" s="250"/>
      <c r="J152" s="20"/>
      <c r="K152" s="20"/>
      <c r="L152" s="250"/>
      <c r="M152" s="20"/>
      <c r="N152" s="20"/>
      <c r="O152" s="250"/>
      <c r="P152" s="20"/>
      <c r="Q152" s="20"/>
      <c r="R152" s="20"/>
      <c r="S152" s="250"/>
      <c r="U152" s="20"/>
      <c r="V152" s="11"/>
      <c r="W152" s="20"/>
    </row>
    <row r="153" spans="1:23">
      <c r="A153" s="20"/>
      <c r="B153" s="64"/>
      <c r="C153" s="20"/>
      <c r="D153" s="20"/>
      <c r="E153" s="250"/>
      <c r="F153" s="64"/>
      <c r="G153" s="64"/>
      <c r="H153" s="64"/>
      <c r="I153" s="250"/>
      <c r="J153" s="20"/>
      <c r="K153" s="20"/>
      <c r="L153" s="250"/>
      <c r="M153" s="20"/>
      <c r="N153" s="20"/>
      <c r="O153" s="250"/>
      <c r="P153" s="20"/>
      <c r="Q153" s="20"/>
      <c r="R153" s="20"/>
      <c r="S153" s="250"/>
      <c r="U153" s="20"/>
      <c r="V153" s="11"/>
      <c r="W153" s="20"/>
    </row>
    <row r="154" spans="1:23">
      <c r="A154" s="20"/>
      <c r="B154" s="64"/>
      <c r="C154" s="20"/>
      <c r="D154" s="20"/>
      <c r="E154" s="250"/>
      <c r="F154" s="64"/>
      <c r="G154" s="64"/>
      <c r="H154" s="64"/>
      <c r="I154" s="250"/>
      <c r="J154" s="20"/>
      <c r="K154" s="20"/>
      <c r="L154" s="250"/>
      <c r="M154" s="20"/>
      <c r="N154" s="20"/>
      <c r="O154" s="250"/>
      <c r="P154" s="20"/>
      <c r="Q154" s="20"/>
      <c r="R154" s="20"/>
      <c r="S154" s="250"/>
      <c r="U154" s="20"/>
      <c r="V154" s="11"/>
      <c r="W154" s="20"/>
    </row>
    <row r="155" spans="1:23">
      <c r="A155" s="20"/>
      <c r="B155" s="64"/>
      <c r="C155" s="20"/>
      <c r="D155" s="20"/>
      <c r="E155" s="250"/>
      <c r="F155" s="64"/>
      <c r="G155" s="64"/>
      <c r="H155" s="64"/>
      <c r="I155" s="250"/>
      <c r="J155" s="20"/>
      <c r="K155" s="20"/>
      <c r="L155" s="250"/>
      <c r="M155" s="20"/>
      <c r="N155" s="20"/>
      <c r="O155" s="250"/>
      <c r="P155" s="20"/>
      <c r="Q155" s="20"/>
      <c r="R155" s="20"/>
      <c r="S155" s="250"/>
      <c r="U155" s="20"/>
      <c r="V155" s="11"/>
      <c r="W155" s="20"/>
    </row>
    <row r="156" spans="1:23">
      <c r="A156" s="20"/>
      <c r="B156" s="64"/>
      <c r="C156" s="20"/>
      <c r="D156" s="20"/>
      <c r="E156" s="250"/>
      <c r="F156" s="64"/>
      <c r="G156" s="64"/>
      <c r="H156" s="64"/>
      <c r="I156" s="250"/>
      <c r="J156" s="20"/>
      <c r="K156" s="20"/>
      <c r="L156" s="250"/>
      <c r="M156" s="20"/>
      <c r="N156" s="20"/>
      <c r="O156" s="250"/>
      <c r="P156" s="20"/>
      <c r="Q156" s="20"/>
      <c r="R156" s="20"/>
      <c r="S156" s="250"/>
      <c r="U156" s="20"/>
      <c r="V156" s="11"/>
      <c r="W156" s="20"/>
    </row>
    <row r="157" spans="1:23">
      <c r="A157" s="20"/>
      <c r="B157" s="64"/>
      <c r="C157" s="20"/>
      <c r="D157" s="20"/>
      <c r="E157" s="250"/>
      <c r="F157" s="64"/>
      <c r="G157" s="64"/>
      <c r="H157" s="64"/>
      <c r="I157" s="250"/>
      <c r="J157" s="20"/>
      <c r="K157" s="20"/>
      <c r="L157" s="250"/>
      <c r="M157" s="20"/>
      <c r="N157" s="20"/>
      <c r="O157" s="250"/>
      <c r="P157" s="20"/>
      <c r="Q157" s="20"/>
      <c r="R157" s="20"/>
      <c r="S157" s="250"/>
      <c r="U157" s="20"/>
      <c r="V157" s="11"/>
      <c r="W157" s="20"/>
    </row>
    <row r="158" spans="1:23">
      <c r="A158" s="20"/>
      <c r="B158" s="64"/>
      <c r="C158" s="20"/>
      <c r="D158" s="20"/>
      <c r="E158" s="250"/>
      <c r="F158" s="64"/>
      <c r="G158" s="64"/>
      <c r="H158" s="64"/>
      <c r="I158" s="250"/>
      <c r="J158" s="20"/>
      <c r="K158" s="20"/>
      <c r="L158" s="250"/>
      <c r="M158" s="20"/>
      <c r="N158" s="20"/>
      <c r="O158" s="250"/>
      <c r="P158" s="20"/>
      <c r="Q158" s="20"/>
      <c r="R158" s="20"/>
      <c r="S158" s="250"/>
      <c r="U158" s="20"/>
      <c r="V158" s="11"/>
      <c r="W158" s="20"/>
    </row>
    <row r="159" spans="1:23">
      <c r="A159" s="20"/>
      <c r="B159" s="64"/>
      <c r="C159" s="20"/>
      <c r="D159" s="20"/>
      <c r="E159" s="250"/>
      <c r="F159" s="64"/>
      <c r="G159" s="64"/>
      <c r="H159" s="64"/>
      <c r="I159" s="250"/>
      <c r="J159" s="20"/>
      <c r="K159" s="20"/>
      <c r="L159" s="250"/>
      <c r="M159" s="20"/>
      <c r="N159" s="20"/>
      <c r="O159" s="250"/>
      <c r="P159" s="20"/>
      <c r="Q159" s="20"/>
      <c r="R159" s="20"/>
      <c r="S159" s="250"/>
      <c r="U159" s="20"/>
      <c r="V159" s="11"/>
      <c r="W159" s="20"/>
    </row>
    <row r="160" spans="1:23">
      <c r="A160" s="20"/>
      <c r="B160" s="64"/>
      <c r="C160" s="20"/>
      <c r="D160" s="20"/>
      <c r="E160" s="250"/>
      <c r="F160" s="64"/>
      <c r="G160" s="64"/>
      <c r="H160" s="64"/>
      <c r="I160" s="250"/>
      <c r="J160" s="20"/>
      <c r="K160" s="20"/>
      <c r="L160" s="250"/>
      <c r="M160" s="20"/>
      <c r="N160" s="20"/>
      <c r="O160" s="250"/>
      <c r="P160" s="20"/>
      <c r="Q160" s="20"/>
      <c r="R160" s="20"/>
      <c r="S160" s="250"/>
      <c r="U160" s="20"/>
      <c r="V160" s="11"/>
      <c r="W160" s="20"/>
    </row>
    <row r="161" spans="1:23">
      <c r="A161" s="20"/>
      <c r="B161" s="64"/>
      <c r="C161" s="20"/>
      <c r="D161" s="20"/>
      <c r="E161" s="250"/>
      <c r="F161" s="64"/>
      <c r="G161" s="64"/>
      <c r="H161" s="64"/>
      <c r="I161" s="250"/>
      <c r="J161" s="20"/>
      <c r="K161" s="20"/>
      <c r="L161" s="250"/>
      <c r="M161" s="20"/>
      <c r="N161" s="20"/>
      <c r="O161" s="250"/>
      <c r="P161" s="20"/>
      <c r="Q161" s="20"/>
      <c r="R161" s="20"/>
      <c r="S161" s="250"/>
      <c r="U161" s="20"/>
      <c r="V161" s="11"/>
      <c r="W161" s="20"/>
    </row>
    <row r="162" spans="1:23">
      <c r="A162" s="20"/>
      <c r="B162" s="64"/>
      <c r="C162" s="20"/>
      <c r="D162" s="20"/>
      <c r="E162" s="250"/>
      <c r="F162" s="64"/>
      <c r="G162" s="64"/>
      <c r="H162" s="64"/>
      <c r="I162" s="250"/>
      <c r="J162" s="20"/>
      <c r="K162" s="20"/>
      <c r="L162" s="250"/>
      <c r="M162" s="20"/>
      <c r="N162" s="20"/>
      <c r="O162" s="250"/>
      <c r="P162" s="20"/>
      <c r="Q162" s="20"/>
      <c r="R162" s="20"/>
      <c r="S162" s="250"/>
      <c r="U162" s="20"/>
      <c r="V162" s="11"/>
      <c r="W162" s="20"/>
    </row>
    <row r="163" spans="1:23">
      <c r="A163" s="20"/>
      <c r="B163" s="64"/>
      <c r="C163" s="20"/>
      <c r="D163" s="20"/>
      <c r="E163" s="250"/>
      <c r="F163" s="64"/>
      <c r="G163" s="64"/>
      <c r="H163" s="64"/>
      <c r="I163" s="250"/>
      <c r="J163" s="20"/>
      <c r="K163" s="20"/>
      <c r="L163" s="250"/>
      <c r="M163" s="20"/>
      <c r="N163" s="20"/>
      <c r="O163" s="250"/>
      <c r="P163" s="20"/>
      <c r="Q163" s="20"/>
      <c r="R163" s="20"/>
      <c r="S163" s="250"/>
      <c r="U163" s="20"/>
      <c r="V163" s="11"/>
      <c r="W163" s="20"/>
    </row>
    <row r="164" spans="1:23">
      <c r="A164" s="20"/>
      <c r="B164" s="64"/>
      <c r="C164" s="20"/>
      <c r="D164" s="20"/>
      <c r="E164" s="250"/>
      <c r="F164" s="64"/>
      <c r="G164" s="64"/>
      <c r="H164" s="64"/>
      <c r="I164" s="250"/>
      <c r="J164" s="20"/>
      <c r="K164" s="20"/>
      <c r="L164" s="250"/>
      <c r="M164" s="20"/>
      <c r="N164" s="20"/>
      <c r="O164" s="250"/>
      <c r="P164" s="20"/>
      <c r="Q164" s="20"/>
      <c r="R164" s="20"/>
      <c r="S164" s="250"/>
      <c r="U164" s="20"/>
      <c r="V164" s="11"/>
      <c r="W164" s="20"/>
    </row>
    <row r="165" spans="1:23">
      <c r="A165" s="20"/>
      <c r="B165" s="64"/>
      <c r="C165" s="20"/>
      <c r="D165" s="20"/>
      <c r="E165" s="250"/>
      <c r="F165" s="64"/>
      <c r="G165" s="64"/>
      <c r="H165" s="64"/>
      <c r="I165" s="250"/>
      <c r="J165" s="20"/>
      <c r="K165" s="20"/>
      <c r="L165" s="250"/>
      <c r="M165" s="20"/>
      <c r="N165" s="20"/>
      <c r="O165" s="250"/>
      <c r="P165" s="20"/>
      <c r="Q165" s="20"/>
      <c r="R165" s="20"/>
      <c r="S165" s="250"/>
      <c r="U165" s="20"/>
      <c r="V165" s="11"/>
      <c r="W165" s="20"/>
    </row>
    <row r="166" spans="1:23">
      <c r="A166" s="20"/>
      <c r="B166" s="64"/>
      <c r="C166" s="20"/>
      <c r="D166" s="20"/>
      <c r="E166" s="250"/>
      <c r="F166" s="64"/>
      <c r="G166" s="64"/>
      <c r="H166" s="64"/>
      <c r="I166" s="250"/>
      <c r="J166" s="20"/>
      <c r="K166" s="20"/>
      <c r="L166" s="250"/>
      <c r="M166" s="20"/>
      <c r="N166" s="20"/>
      <c r="O166" s="250"/>
      <c r="P166" s="20"/>
      <c r="Q166" s="20"/>
      <c r="R166" s="20"/>
      <c r="S166" s="250"/>
      <c r="U166" s="20"/>
      <c r="V166" s="11"/>
      <c r="W166" s="20"/>
    </row>
    <row r="167" spans="1:23">
      <c r="A167" s="20"/>
      <c r="B167" s="64"/>
      <c r="C167" s="20"/>
      <c r="D167" s="20"/>
      <c r="E167" s="250"/>
      <c r="F167" s="64"/>
      <c r="G167" s="64"/>
      <c r="H167" s="64"/>
      <c r="I167" s="250"/>
      <c r="J167" s="20"/>
      <c r="K167" s="20"/>
      <c r="L167" s="250"/>
      <c r="M167" s="20"/>
      <c r="N167" s="20"/>
      <c r="O167" s="250"/>
      <c r="P167" s="20"/>
      <c r="Q167" s="20"/>
      <c r="R167" s="20"/>
      <c r="S167" s="250"/>
      <c r="U167" s="20"/>
      <c r="V167" s="11"/>
      <c r="W167" s="20"/>
    </row>
    <row r="168" spans="1:23">
      <c r="A168" s="20"/>
      <c r="B168" s="64"/>
      <c r="C168" s="20"/>
      <c r="D168" s="20"/>
      <c r="E168" s="250"/>
      <c r="F168" s="64"/>
      <c r="G168" s="64"/>
      <c r="H168" s="64"/>
      <c r="I168" s="250"/>
      <c r="J168" s="20"/>
      <c r="K168" s="20"/>
      <c r="L168" s="250"/>
      <c r="M168" s="20"/>
      <c r="N168" s="20"/>
      <c r="O168" s="250"/>
      <c r="P168" s="20"/>
      <c r="Q168" s="20"/>
      <c r="R168" s="20"/>
      <c r="S168" s="250"/>
      <c r="U168" s="20"/>
      <c r="V168" s="11"/>
      <c r="W168" s="20"/>
    </row>
    <row r="169" spans="1:23">
      <c r="A169" s="20"/>
      <c r="B169" s="64"/>
      <c r="C169" s="20"/>
      <c r="D169" s="20"/>
      <c r="E169" s="250"/>
      <c r="F169" s="64"/>
      <c r="G169" s="64"/>
      <c r="H169" s="64"/>
      <c r="I169" s="250"/>
      <c r="J169" s="20"/>
      <c r="K169" s="20"/>
      <c r="L169" s="250"/>
      <c r="M169" s="20"/>
      <c r="N169" s="20"/>
      <c r="O169" s="250"/>
      <c r="P169" s="20"/>
      <c r="Q169" s="20"/>
      <c r="R169" s="20"/>
      <c r="S169" s="250"/>
      <c r="U169" s="20"/>
      <c r="V169" s="11"/>
      <c r="W169" s="20"/>
    </row>
    <row r="170" spans="1:23">
      <c r="A170" s="20"/>
      <c r="B170" s="64"/>
      <c r="C170" s="20"/>
      <c r="D170" s="20"/>
      <c r="E170" s="250"/>
      <c r="F170" s="64"/>
      <c r="G170" s="64"/>
      <c r="H170" s="64"/>
      <c r="I170" s="250"/>
      <c r="J170" s="20"/>
      <c r="K170" s="20"/>
      <c r="L170" s="250"/>
      <c r="M170" s="20"/>
      <c r="N170" s="20"/>
      <c r="O170" s="250"/>
      <c r="P170" s="20"/>
      <c r="Q170" s="20"/>
      <c r="R170" s="20"/>
      <c r="S170" s="250"/>
      <c r="U170" s="20"/>
      <c r="V170" s="11"/>
      <c r="W170" s="20"/>
    </row>
    <row r="171" spans="1:23">
      <c r="A171" s="20"/>
      <c r="B171" s="64"/>
      <c r="C171" s="20"/>
      <c r="D171" s="20"/>
      <c r="E171" s="250"/>
      <c r="F171" s="64"/>
      <c r="G171" s="64"/>
      <c r="H171" s="64"/>
      <c r="I171" s="250"/>
      <c r="J171" s="20"/>
      <c r="K171" s="20"/>
      <c r="L171" s="250"/>
      <c r="M171" s="20"/>
      <c r="N171" s="20"/>
      <c r="O171" s="250"/>
      <c r="P171" s="20"/>
      <c r="Q171" s="20"/>
      <c r="R171" s="20"/>
      <c r="S171" s="250"/>
      <c r="U171" s="20"/>
      <c r="V171" s="11"/>
      <c r="W171" s="20"/>
    </row>
    <row r="172" spans="1:23">
      <c r="A172" s="20"/>
      <c r="B172" s="64"/>
      <c r="C172" s="20"/>
      <c r="D172" s="20"/>
      <c r="E172" s="250"/>
      <c r="F172" s="64"/>
      <c r="G172" s="64"/>
      <c r="H172" s="64"/>
      <c r="I172" s="250"/>
      <c r="J172" s="20"/>
      <c r="K172" s="20"/>
      <c r="L172" s="250"/>
      <c r="M172" s="20"/>
      <c r="N172" s="20"/>
      <c r="O172" s="250"/>
      <c r="P172" s="20"/>
      <c r="Q172" s="20"/>
      <c r="R172" s="20"/>
      <c r="S172" s="250"/>
      <c r="U172" s="20"/>
      <c r="V172" s="11"/>
      <c r="W172" s="20"/>
    </row>
    <row r="173" spans="1:23">
      <c r="A173" s="20"/>
      <c r="B173" s="64"/>
      <c r="C173" s="20"/>
      <c r="D173" s="20"/>
      <c r="E173" s="250"/>
      <c r="F173" s="64"/>
      <c r="G173" s="64"/>
      <c r="H173" s="64"/>
      <c r="I173" s="250"/>
      <c r="J173" s="20"/>
      <c r="K173" s="20"/>
      <c r="L173" s="250"/>
      <c r="M173" s="20"/>
      <c r="N173" s="20"/>
      <c r="O173" s="250"/>
      <c r="P173" s="20"/>
      <c r="Q173" s="20"/>
      <c r="R173" s="20"/>
      <c r="S173" s="250"/>
      <c r="U173" s="20"/>
      <c r="V173" s="11"/>
      <c r="W173" s="20"/>
    </row>
    <row r="174" spans="1:23">
      <c r="A174" s="20"/>
      <c r="B174" s="64"/>
      <c r="C174" s="20"/>
      <c r="D174" s="20"/>
      <c r="E174" s="250"/>
      <c r="F174" s="64"/>
      <c r="G174" s="64"/>
      <c r="H174" s="64"/>
      <c r="I174" s="250"/>
      <c r="J174" s="20"/>
      <c r="K174" s="20"/>
      <c r="L174" s="250"/>
      <c r="M174" s="20"/>
      <c r="N174" s="20"/>
      <c r="O174" s="250"/>
      <c r="P174" s="20"/>
      <c r="Q174" s="20"/>
      <c r="R174" s="20"/>
      <c r="S174" s="250"/>
      <c r="U174" s="20"/>
      <c r="V174" s="11"/>
      <c r="W174" s="20"/>
    </row>
    <row r="175" spans="1:23">
      <c r="A175" s="20"/>
      <c r="B175" s="64"/>
      <c r="C175" s="20"/>
      <c r="D175" s="20"/>
      <c r="E175" s="250"/>
      <c r="F175" s="64"/>
      <c r="G175" s="64"/>
      <c r="H175" s="64"/>
      <c r="I175" s="250"/>
      <c r="J175" s="20"/>
      <c r="K175" s="20"/>
      <c r="L175" s="250"/>
      <c r="M175" s="20"/>
      <c r="N175" s="20"/>
      <c r="O175" s="250"/>
      <c r="P175" s="20"/>
      <c r="Q175" s="20"/>
      <c r="R175" s="20"/>
      <c r="S175" s="250"/>
      <c r="U175" s="20"/>
      <c r="V175" s="11"/>
      <c r="W175" s="20"/>
    </row>
    <row r="176" spans="1:23">
      <c r="A176" s="20"/>
      <c r="B176" s="64"/>
      <c r="C176" s="20"/>
      <c r="D176" s="20"/>
      <c r="E176" s="250"/>
      <c r="F176" s="64"/>
      <c r="G176" s="64"/>
      <c r="H176" s="64"/>
      <c r="I176" s="250"/>
      <c r="J176" s="20"/>
      <c r="K176" s="20"/>
      <c r="L176" s="250"/>
      <c r="M176" s="20"/>
      <c r="N176" s="20"/>
      <c r="O176" s="250"/>
      <c r="P176" s="20"/>
      <c r="Q176" s="20"/>
      <c r="R176" s="20"/>
      <c r="S176" s="250"/>
      <c r="U176" s="20"/>
      <c r="V176" s="11"/>
      <c r="W176" s="20"/>
    </row>
    <row r="177" spans="1:23">
      <c r="A177" s="20"/>
      <c r="B177" s="64"/>
      <c r="C177" s="20"/>
      <c r="D177" s="20"/>
      <c r="E177" s="250"/>
      <c r="F177" s="64"/>
      <c r="G177" s="64"/>
      <c r="H177" s="64"/>
      <c r="I177" s="250"/>
      <c r="J177" s="20"/>
      <c r="K177" s="20"/>
      <c r="L177" s="250"/>
      <c r="M177" s="20"/>
      <c r="N177" s="20"/>
      <c r="O177" s="250"/>
      <c r="P177" s="20"/>
      <c r="Q177" s="20"/>
      <c r="R177" s="20"/>
      <c r="S177" s="250"/>
      <c r="U177" s="20"/>
      <c r="V177" s="11"/>
      <c r="W177" s="20"/>
    </row>
    <row r="178" spans="1:23">
      <c r="A178" s="20"/>
      <c r="B178" s="64"/>
      <c r="C178" s="20"/>
      <c r="D178" s="20"/>
      <c r="E178" s="250"/>
      <c r="F178" s="64"/>
      <c r="G178" s="64"/>
      <c r="H178" s="64"/>
      <c r="I178" s="250"/>
      <c r="J178" s="20"/>
      <c r="K178" s="20"/>
      <c r="L178" s="250"/>
      <c r="M178" s="20"/>
      <c r="N178" s="20"/>
      <c r="O178" s="250"/>
      <c r="P178" s="20"/>
      <c r="Q178" s="20"/>
      <c r="R178" s="20"/>
      <c r="S178" s="250"/>
      <c r="U178" s="20"/>
      <c r="V178" s="11"/>
      <c r="W178" s="20"/>
    </row>
    <row r="179" spans="1:23">
      <c r="A179" s="20"/>
      <c r="B179" s="64"/>
      <c r="C179" s="20"/>
      <c r="D179" s="20"/>
      <c r="E179" s="250"/>
      <c r="F179" s="64"/>
      <c r="G179" s="64"/>
      <c r="H179" s="64"/>
      <c r="I179" s="250"/>
      <c r="J179" s="20"/>
      <c r="K179" s="20"/>
      <c r="L179" s="250"/>
      <c r="M179" s="20"/>
      <c r="N179" s="20"/>
      <c r="O179" s="250"/>
      <c r="P179" s="20"/>
      <c r="Q179" s="20"/>
      <c r="R179" s="20"/>
      <c r="S179" s="250"/>
      <c r="U179" s="20"/>
      <c r="V179" s="11"/>
      <c r="W179" s="20"/>
    </row>
  </sheetData>
  <dataConsolidate/>
  <mergeCells count="25">
    <mergeCell ref="M1:U1"/>
    <mergeCell ref="A28:A32"/>
    <mergeCell ref="A49:A50"/>
    <mergeCell ref="A51:A52"/>
    <mergeCell ref="A53:A54"/>
    <mergeCell ref="A33:A35"/>
    <mergeCell ref="A45:A48"/>
    <mergeCell ref="C1:K1"/>
    <mergeCell ref="A15:A20"/>
    <mergeCell ref="A21:A24"/>
    <mergeCell ref="A26:A27"/>
    <mergeCell ref="A4:A5"/>
    <mergeCell ref="A6:A8"/>
    <mergeCell ref="A9:A13"/>
    <mergeCell ref="AN19:AO19"/>
    <mergeCell ref="AD20:AF20"/>
    <mergeCell ref="AG21:AH21"/>
    <mergeCell ref="A55:A56"/>
    <mergeCell ref="A36:A37"/>
    <mergeCell ref="A39:A40"/>
    <mergeCell ref="A41:A43"/>
    <mergeCell ref="AK19:AL19"/>
    <mergeCell ref="Y34:AD34"/>
    <mergeCell ref="Y54:AD54"/>
    <mergeCell ref="AG47:AL47"/>
  </mergeCells>
  <conditionalFormatting sqref="T3:T56">
    <cfRule type="cellIs" dxfId="65" priority="7" operator="lessThan">
      <formula>0</formula>
    </cfRule>
  </conditionalFormatting>
  <conditionalFormatting sqref="U3:U56">
    <cfRule type="containsText" dxfId="64" priority="6" operator="containsText" text="Yes">
      <formula>NOT(ISERROR(SEARCH("Yes",U3)))</formula>
    </cfRule>
  </conditionalFormatting>
  <conditionalFormatting sqref="Z36:AE47">
    <cfRule type="cellIs" dxfId="63" priority="4" operator="greaterThan">
      <formula>0</formula>
    </cfRule>
  </conditionalFormatting>
  <conditionalFormatting sqref="AA56:AE67">
    <cfRule type="cellIs" dxfId="62" priority="3" operator="greaterThan">
      <formula>0</formula>
    </cfRule>
  </conditionalFormatting>
  <conditionalFormatting sqref="Z56:Z67">
    <cfRule type="cellIs" dxfId="61" priority="2" operator="greaterThan">
      <formula>0</formula>
    </cfRule>
  </conditionalFormatting>
  <conditionalFormatting sqref="AH49:AM60">
    <cfRule type="cellIs" dxfId="60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179"/>
  <sheetViews>
    <sheetView topLeftCell="W48" zoomScale="90" zoomScaleNormal="90" workbookViewId="0">
      <selection activeCell="AG73" sqref="AG73"/>
    </sheetView>
  </sheetViews>
  <sheetFormatPr defaultColWidth="9" defaultRowHeight="12.75"/>
  <cols>
    <col min="1" max="1" width="13.42578125" style="5" customWidth="1"/>
    <col min="2" max="2" width="22.7109375" style="63" customWidth="1"/>
    <col min="3" max="3" width="26.7109375" style="59" customWidth="1"/>
    <col min="4" max="4" width="16.85546875" style="59" customWidth="1"/>
    <col min="5" max="5" width="26.5703125" style="59" customWidth="1"/>
    <col min="6" max="10" width="23.7109375" style="61" customWidth="1"/>
    <col min="11" max="12" width="16.140625" style="59" customWidth="1"/>
    <col min="13" max="13" width="28.85546875" style="59" customWidth="1"/>
    <col min="14" max="17" width="17.7109375" style="59" customWidth="1"/>
    <col min="18" max="19" width="21.28515625" style="59" customWidth="1"/>
    <col min="20" max="20" width="23.28515625" style="59" customWidth="1"/>
    <col min="21" max="21" width="17.5703125" style="62" customWidth="1"/>
    <col min="22" max="22" width="33.85546875" style="10" customWidth="1"/>
    <col min="23" max="23" width="35.140625" style="59" customWidth="1"/>
    <col min="24" max="24" width="23" style="58" customWidth="1"/>
    <col min="25" max="25" width="22.85546875" style="5" customWidth="1"/>
    <col min="26" max="26" width="13.5703125" style="5" customWidth="1"/>
    <col min="27" max="27" width="21.5703125" style="5" customWidth="1"/>
    <col min="28" max="16384" width="9" style="5"/>
  </cols>
  <sheetData>
    <row r="1" spans="1:24" ht="14.25" customHeight="1">
      <c r="A1" s="184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223"/>
      <c r="M1" s="501" t="s">
        <v>450</v>
      </c>
      <c r="N1" s="502"/>
      <c r="O1" s="502"/>
      <c r="P1" s="502"/>
      <c r="Q1" s="502"/>
      <c r="R1" s="502"/>
      <c r="S1" s="502"/>
      <c r="T1" s="502"/>
      <c r="U1" s="503"/>
      <c r="V1" s="7"/>
      <c r="W1" s="7"/>
    </row>
    <row r="2" spans="1:24" ht="13.5" thickBot="1">
      <c r="A2" s="184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11"/>
      <c r="W2" s="20"/>
    </row>
    <row r="3" spans="1:24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 t="str">
        <f t="shared" ref="U3:U9" si="5">IF(T3&gt;=0,"No","Yes")</f>
        <v>No</v>
      </c>
      <c r="V3" s="11"/>
      <c r="W3" s="11"/>
    </row>
    <row r="4" spans="1:24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168" t="str">
        <f t="shared" si="5"/>
        <v>No</v>
      </c>
      <c r="V4" s="11"/>
      <c r="W4" s="11"/>
    </row>
    <row r="5" spans="1:24" ht="14.25" customHeight="1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168" t="str">
        <f t="shared" si="5"/>
        <v>No</v>
      </c>
      <c r="V5" s="16" t="s">
        <v>439</v>
      </c>
      <c r="W5" s="16" t="s">
        <v>454</v>
      </c>
    </row>
    <row r="6" spans="1:24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168" t="str">
        <f t="shared" si="5"/>
        <v>No</v>
      </c>
      <c r="V6" s="198"/>
      <c r="W6" s="197"/>
    </row>
    <row r="7" spans="1:24" ht="14.25" customHeight="1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42" t="str">
        <f t="shared" si="5"/>
        <v>No</v>
      </c>
      <c r="V7" s="221" t="s">
        <v>351</v>
      </c>
      <c r="W7" s="209" t="s">
        <v>351</v>
      </c>
    </row>
    <row r="8" spans="1:24" ht="14.25" customHeight="1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168" t="str">
        <f t="shared" si="5"/>
        <v>No</v>
      </c>
      <c r="V8" s="220"/>
      <c r="W8" s="209"/>
    </row>
    <row r="9" spans="1:24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167" t="str">
        <f t="shared" si="5"/>
        <v>No</v>
      </c>
      <c r="V9" s="207"/>
      <c r="W9" s="207"/>
      <c r="X9" s="213"/>
    </row>
    <row r="10" spans="1:24" ht="14.25" customHeight="1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19" t="s">
        <v>462</v>
      </c>
      <c r="V10" s="11"/>
      <c r="W10" s="11"/>
      <c r="X10" s="213"/>
    </row>
    <row r="11" spans="1:24" ht="14.25" customHeight="1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167" t="str">
        <f>IF(T11&gt;=0,"No","Yes")</f>
        <v>No</v>
      </c>
      <c r="V11" s="11"/>
      <c r="W11" s="11"/>
      <c r="X11" s="213"/>
    </row>
    <row r="12" spans="1:24" ht="14.25" customHeight="1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167" t="str">
        <f>IF(T12&gt;=0,"No","Yes")</f>
        <v>No</v>
      </c>
      <c r="V12" s="11"/>
      <c r="W12" s="11"/>
      <c r="X12" s="213"/>
    </row>
    <row r="13" spans="1:24" ht="14.25" customHeight="1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167" t="str">
        <f>IF(T13&gt;=0,"No","Yes")</f>
        <v>No</v>
      </c>
      <c r="V13" s="11"/>
      <c r="W13" s="11"/>
      <c r="X13" s="213"/>
    </row>
    <row r="14" spans="1:24" ht="13.5" thickBot="1">
      <c r="A14" s="107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0"/>
      <c r="V14" s="11"/>
      <c r="W14" s="11"/>
      <c r="X14" s="213"/>
    </row>
    <row r="15" spans="1:24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80" t="str">
        <f t="shared" ref="U15:U24" si="16">IF(T15&gt;=0,"No","Yes")</f>
        <v>No</v>
      </c>
      <c r="V15" s="11"/>
      <c r="W15" s="11"/>
      <c r="X15" s="213"/>
    </row>
    <row r="16" spans="1:24" ht="14.25" customHeight="1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80" t="str">
        <f t="shared" si="16"/>
        <v>No</v>
      </c>
      <c r="V16" s="11"/>
      <c r="W16" s="11"/>
      <c r="X16" s="213"/>
    </row>
    <row r="17" spans="1:29" ht="14.25" customHeight="1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80" t="str">
        <f t="shared" si="16"/>
        <v>No</v>
      </c>
      <c r="V17" s="11"/>
      <c r="W17" s="11"/>
      <c r="X17" s="213"/>
    </row>
    <row r="18" spans="1:29" ht="14.25" customHeight="1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80" t="str">
        <f t="shared" si="16"/>
        <v>No</v>
      </c>
      <c r="V18" s="11"/>
      <c r="W18" s="11"/>
      <c r="X18" s="213"/>
    </row>
    <row r="19" spans="1:29" ht="14.25" customHeight="1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80" t="str">
        <f t="shared" si="16"/>
        <v>No</v>
      </c>
      <c r="V19" s="11"/>
      <c r="W19" s="11"/>
      <c r="X19" s="213"/>
    </row>
    <row r="20" spans="1:29" ht="14.25" customHeight="1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80" t="str">
        <f t="shared" si="16"/>
        <v>No</v>
      </c>
      <c r="V20" s="11"/>
      <c r="W20" s="11"/>
      <c r="X20" s="213"/>
    </row>
    <row r="21" spans="1:29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187" t="str">
        <f t="shared" si="16"/>
        <v>Yes</v>
      </c>
      <c r="V21" s="11"/>
      <c r="W21" s="11"/>
      <c r="X21" s="213"/>
    </row>
    <row r="22" spans="1:29" ht="14.25" customHeight="1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0" t="str">
        <f t="shared" si="16"/>
        <v>No</v>
      </c>
      <c r="V22" s="11"/>
      <c r="W22" s="11"/>
      <c r="X22" s="213"/>
    </row>
    <row r="23" spans="1:29" ht="14.25" customHeight="1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0" t="str">
        <f t="shared" si="16"/>
        <v>No</v>
      </c>
      <c r="V23" s="11"/>
      <c r="W23" s="11"/>
      <c r="X23" s="213"/>
      <c r="Y23" s="20"/>
      <c r="Z23" s="58"/>
    </row>
    <row r="24" spans="1:29" ht="14.25" customHeight="1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0" t="str">
        <f t="shared" si="16"/>
        <v>No</v>
      </c>
      <c r="V24" s="11"/>
      <c r="W24" s="11"/>
      <c r="Y24" s="533" t="s">
        <v>453</v>
      </c>
      <c r="Z24" s="534"/>
      <c r="AA24" s="234"/>
    </row>
    <row r="25" spans="1:29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80"/>
      <c r="V25" s="233" t="s">
        <v>439</v>
      </c>
      <c r="W25" s="233" t="s">
        <v>454</v>
      </c>
      <c r="Y25" s="88"/>
      <c r="Z25" s="20"/>
      <c r="AA25" s="97"/>
    </row>
    <row r="26" spans="1:29" ht="15" customHeight="1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199" t="str">
        <f t="shared" ref="U26:U56" si="21">IF(T26&gt;=0,"No","Yes")</f>
        <v>Yes</v>
      </c>
      <c r="V26" s="530"/>
      <c r="W26" s="528"/>
      <c r="Y26" s="243" t="s">
        <v>389</v>
      </c>
      <c r="Z26" s="184" t="s">
        <v>388</v>
      </c>
      <c r="AA26" s="244" t="s">
        <v>387</v>
      </c>
    </row>
    <row r="27" spans="1:29" ht="14.25" customHeight="1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187" t="str">
        <f t="shared" si="21"/>
        <v>No</v>
      </c>
      <c r="V27" s="531"/>
      <c r="W27" s="529"/>
      <c r="Y27" s="126"/>
      <c r="Z27" s="125">
        <v>0</v>
      </c>
      <c r="AA27" s="97">
        <f>(Z27/200)*100</f>
        <v>0</v>
      </c>
    </row>
    <row r="28" spans="1:29" ht="15" customHeight="1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187" t="str">
        <f t="shared" si="21"/>
        <v>Yes</v>
      </c>
      <c r="V28" s="530"/>
      <c r="W28" s="535"/>
      <c r="Y28" s="126"/>
      <c r="Z28" s="125">
        <v>0</v>
      </c>
      <c r="AA28" s="97">
        <f>(Z28/150)*100</f>
        <v>0</v>
      </c>
    </row>
    <row r="29" spans="1:29" ht="14.25" customHeight="1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187" t="str">
        <f t="shared" si="21"/>
        <v>No</v>
      </c>
      <c r="V29" s="532"/>
      <c r="W29" s="536"/>
      <c r="Y29" s="126"/>
      <c r="Z29" s="125">
        <v>0</v>
      </c>
      <c r="AA29" s="97"/>
    </row>
    <row r="30" spans="1:29" ht="14.25" customHeight="1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199" t="str">
        <f t="shared" si="21"/>
        <v>No</v>
      </c>
      <c r="V30" s="532"/>
      <c r="W30" s="536"/>
      <c r="Z30" s="5">
        <v>0</v>
      </c>
    </row>
    <row r="31" spans="1:29" ht="14.25" customHeight="1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199" t="str">
        <f t="shared" si="21"/>
        <v>No</v>
      </c>
      <c r="V31" s="532"/>
      <c r="W31" s="536"/>
      <c r="Z31" s="5">
        <v>0</v>
      </c>
      <c r="AB31" s="20"/>
      <c r="AC31" s="17"/>
    </row>
    <row r="32" spans="1:29" ht="14.25" customHeight="1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187" t="str">
        <f t="shared" si="21"/>
        <v>Yes</v>
      </c>
      <c r="V32" s="531"/>
      <c r="W32" s="537"/>
      <c r="Z32" s="5">
        <v>0</v>
      </c>
      <c r="AA32" s="20"/>
      <c r="AB32" s="20"/>
    </row>
    <row r="33" spans="1:28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187" t="str">
        <f t="shared" si="21"/>
        <v>No</v>
      </c>
      <c r="V33" s="207"/>
      <c r="W33" s="207"/>
      <c r="X33" s="213"/>
      <c r="Y33" s="154" t="s">
        <v>369</v>
      </c>
      <c r="Z33" s="218">
        <f>SUM(Z27:Z32)</f>
        <v>0</v>
      </c>
      <c r="AA33" s="20"/>
    </row>
    <row r="34" spans="1:28" ht="14.25" customHeight="1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187" t="str">
        <f t="shared" si="21"/>
        <v>No</v>
      </c>
      <c r="V34" s="11"/>
      <c r="W34" s="11"/>
      <c r="X34" s="213"/>
      <c r="Y34" s="217" t="s">
        <v>365</v>
      </c>
      <c r="Z34" s="216"/>
    </row>
    <row r="35" spans="1:28" ht="14.25" customHeight="1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187" t="str">
        <f t="shared" si="21"/>
        <v>No</v>
      </c>
      <c r="V35" s="11"/>
      <c r="W35" s="11"/>
      <c r="X35" s="213"/>
      <c r="AB35" s="20"/>
    </row>
    <row r="36" spans="1:28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187" t="str">
        <f t="shared" si="21"/>
        <v>No</v>
      </c>
      <c r="V36" s="11"/>
      <c r="W36" s="11"/>
      <c r="X36" s="213"/>
    </row>
    <row r="37" spans="1:28" ht="14.25" customHeight="1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187" t="str">
        <f t="shared" si="21"/>
        <v>No</v>
      </c>
      <c r="V37" s="215"/>
      <c r="W37" s="215"/>
      <c r="X37" s="213"/>
    </row>
    <row r="38" spans="1:28" ht="13.5" thickBot="1">
      <c r="A38" s="107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199" t="str">
        <f t="shared" si="21"/>
        <v>Yes</v>
      </c>
      <c r="V38" s="201" t="s">
        <v>351</v>
      </c>
      <c r="W38" s="200" t="s">
        <v>351</v>
      </c>
    </row>
    <row r="39" spans="1:28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199" t="str">
        <f t="shared" si="21"/>
        <v>Yes</v>
      </c>
      <c r="V39" s="198" t="s">
        <v>351</v>
      </c>
      <c r="W39" s="197" t="s">
        <v>351</v>
      </c>
    </row>
    <row r="40" spans="1:28" ht="14.25" customHeight="1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187" t="str">
        <f t="shared" si="21"/>
        <v>No</v>
      </c>
      <c r="V40" s="196"/>
      <c r="W40" s="195"/>
    </row>
    <row r="41" spans="1:28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187" t="str">
        <f t="shared" si="21"/>
        <v>No</v>
      </c>
      <c r="V41" s="207"/>
      <c r="W41" s="207"/>
    </row>
    <row r="42" spans="1:28" ht="14.25" customHeight="1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187" t="str">
        <f t="shared" si="21"/>
        <v>No</v>
      </c>
      <c r="V42" s="11"/>
      <c r="W42" s="11"/>
      <c r="X42" s="213"/>
    </row>
    <row r="43" spans="1:28" ht="14.25" customHeight="1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187" t="str">
        <f t="shared" si="21"/>
        <v>No</v>
      </c>
      <c r="V43" s="11"/>
      <c r="W43" s="11"/>
      <c r="X43" s="213"/>
    </row>
    <row r="44" spans="1:28" ht="13.5" thickBot="1">
      <c r="A44" s="107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187" t="str">
        <f t="shared" si="21"/>
        <v>No</v>
      </c>
      <c r="V44" s="11"/>
      <c r="W44" s="11"/>
      <c r="X44" s="213"/>
    </row>
    <row r="45" spans="1:28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187" t="str">
        <f t="shared" si="21"/>
        <v>No</v>
      </c>
      <c r="V45" s="11"/>
      <c r="W45" s="11"/>
      <c r="X45" s="213"/>
    </row>
    <row r="46" spans="1:28" ht="14.25" customHeight="1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187" t="str">
        <f t="shared" si="21"/>
        <v>No</v>
      </c>
      <c r="V46" s="11"/>
      <c r="W46" s="11"/>
      <c r="X46" s="213"/>
    </row>
    <row r="47" spans="1:28" ht="14.25" customHeight="1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187" t="str">
        <f t="shared" si="21"/>
        <v>No</v>
      </c>
      <c r="V47" s="11"/>
      <c r="W47" s="11"/>
      <c r="X47" s="213"/>
    </row>
    <row r="48" spans="1:28" ht="14.25" customHeight="1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187" t="str">
        <f t="shared" si="21"/>
        <v>No</v>
      </c>
      <c r="V48" s="11"/>
      <c r="W48" s="11"/>
      <c r="X48" s="213"/>
    </row>
    <row r="49" spans="1:35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187" t="str">
        <f t="shared" si="21"/>
        <v>No</v>
      </c>
      <c r="V49" s="11"/>
      <c r="W49" s="11"/>
      <c r="X49" s="213"/>
    </row>
    <row r="50" spans="1:35" ht="14.25" customHeight="1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187" t="str">
        <f t="shared" si="21"/>
        <v>No</v>
      </c>
      <c r="V50" s="11"/>
      <c r="W50" s="11"/>
      <c r="X50" s="213"/>
    </row>
    <row r="51" spans="1:35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187" t="str">
        <f t="shared" si="21"/>
        <v>No</v>
      </c>
      <c r="V51" s="11"/>
      <c r="W51" s="11"/>
      <c r="X51" s="213"/>
    </row>
    <row r="52" spans="1:35" ht="14.25" customHeight="1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187" t="str">
        <f t="shared" si="21"/>
        <v>No</v>
      </c>
      <c r="V52" s="11"/>
      <c r="W52" s="11"/>
      <c r="X52" s="213"/>
    </row>
    <row r="53" spans="1:35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187" t="str">
        <f t="shared" si="21"/>
        <v>No</v>
      </c>
      <c r="V53" s="11"/>
      <c r="W53" s="11"/>
      <c r="X53" s="213"/>
    </row>
    <row r="54" spans="1:35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187" t="str">
        <f t="shared" si="21"/>
        <v>No</v>
      </c>
      <c r="V54" s="11"/>
      <c r="W54" s="11"/>
      <c r="X54" s="213"/>
    </row>
    <row r="55" spans="1:35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187" t="str">
        <f t="shared" si="21"/>
        <v>No</v>
      </c>
      <c r="V55" s="11"/>
      <c r="W55" s="11"/>
      <c r="X55" s="213"/>
    </row>
    <row r="56" spans="1:35" ht="14.25" customHeight="1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214" t="str">
        <f t="shared" si="21"/>
        <v>No</v>
      </c>
      <c r="V56" s="11"/>
      <c r="W56" s="11"/>
      <c r="X56" s="213"/>
    </row>
    <row r="57" spans="1:35">
      <c r="A57" s="20"/>
      <c r="B57" s="64"/>
      <c r="C57" s="20"/>
      <c r="D57" s="20" t="s">
        <v>369</v>
      </c>
      <c r="E57" s="250"/>
      <c r="F57" s="64"/>
      <c r="G57" s="64"/>
      <c r="H57" s="64"/>
      <c r="I57" s="64"/>
      <c r="J57" s="64"/>
      <c r="K57" s="20"/>
      <c r="L57" s="20"/>
      <c r="M57" s="20"/>
      <c r="N57" s="20"/>
      <c r="O57" s="250"/>
      <c r="P57" s="20"/>
      <c r="Q57" s="20"/>
      <c r="R57" s="20"/>
      <c r="S57" s="250"/>
      <c r="T57" s="20"/>
      <c r="U57" s="20"/>
      <c r="V57" s="11"/>
      <c r="W57" s="11"/>
    </row>
    <row r="58" spans="1:35">
      <c r="A58" s="20"/>
      <c r="B58" s="64"/>
      <c r="C58" s="20"/>
      <c r="D58" s="20"/>
      <c r="E58" s="250"/>
      <c r="F58" s="64"/>
      <c r="G58" s="64"/>
      <c r="H58" s="64"/>
      <c r="I58" s="64"/>
      <c r="J58" s="64"/>
      <c r="K58" s="20"/>
      <c r="L58" s="20"/>
      <c r="M58" s="20"/>
      <c r="N58" s="20"/>
      <c r="O58" s="250"/>
      <c r="P58" s="20"/>
      <c r="Q58" s="20"/>
      <c r="R58" s="20"/>
      <c r="S58" s="250"/>
      <c r="T58" s="20"/>
      <c r="U58" s="20"/>
      <c r="V58" s="11"/>
      <c r="W58" s="11"/>
    </row>
    <row r="59" spans="1:35">
      <c r="A59" s="20"/>
      <c r="B59" s="64"/>
      <c r="C59" s="20"/>
      <c r="D59" s="20"/>
      <c r="E59" s="250"/>
      <c r="F59" s="64"/>
      <c r="G59" s="64"/>
      <c r="H59" s="64"/>
      <c r="I59" s="64"/>
      <c r="J59" s="64"/>
      <c r="K59" s="20"/>
      <c r="L59" s="20"/>
      <c r="M59" s="20"/>
      <c r="N59" s="20"/>
      <c r="O59" s="250"/>
      <c r="P59" s="20"/>
      <c r="Q59" s="20"/>
      <c r="R59" s="20"/>
      <c r="S59" s="250"/>
      <c r="T59" s="20"/>
      <c r="U59" s="20"/>
      <c r="V59" s="11"/>
      <c r="W59" s="20"/>
      <c r="Y59" s="497" t="s">
        <v>552</v>
      </c>
      <c r="Z59" s="498"/>
      <c r="AA59" s="498"/>
      <c r="AB59" s="498"/>
      <c r="AC59" s="498"/>
      <c r="AD59" s="499"/>
      <c r="AE59" s="155"/>
    </row>
    <row r="60" spans="1:35">
      <c r="A60" s="20"/>
      <c r="B60" s="64"/>
      <c r="C60" s="20"/>
      <c r="D60" s="20"/>
      <c r="E60" s="250"/>
      <c r="F60" s="64"/>
      <c r="G60" s="64"/>
      <c r="H60" s="64"/>
      <c r="I60" s="64"/>
      <c r="J60" s="64"/>
      <c r="K60" s="20"/>
      <c r="L60" s="20"/>
      <c r="M60" s="20"/>
      <c r="N60" s="20"/>
      <c r="O60" s="250"/>
      <c r="P60" s="20"/>
      <c r="Q60" s="20"/>
      <c r="R60" s="20"/>
      <c r="S60" s="250"/>
      <c r="T60" s="20"/>
      <c r="U60" s="20"/>
      <c r="V60" s="11"/>
      <c r="W60" s="20"/>
      <c r="Y60" s="355" t="s">
        <v>484</v>
      </c>
      <c r="Z60" s="357" t="s">
        <v>485</v>
      </c>
      <c r="AA60" s="357" t="s">
        <v>486</v>
      </c>
      <c r="AB60" s="357" t="s">
        <v>487</v>
      </c>
      <c r="AC60" s="357" t="s">
        <v>488</v>
      </c>
      <c r="AD60" s="358" t="s">
        <v>489</v>
      </c>
      <c r="AE60" s="270" t="s">
        <v>416</v>
      </c>
    </row>
    <row r="61" spans="1:35">
      <c r="A61" s="20"/>
      <c r="B61" s="64"/>
      <c r="C61" s="20"/>
      <c r="D61" s="20"/>
      <c r="E61" s="250"/>
      <c r="F61" s="64"/>
      <c r="G61" s="64"/>
      <c r="H61" s="64"/>
      <c r="I61" s="64"/>
      <c r="J61" s="64"/>
      <c r="K61" s="20"/>
      <c r="L61" s="20"/>
      <c r="M61" s="20"/>
      <c r="N61" s="20"/>
      <c r="O61" s="250"/>
      <c r="P61" s="20"/>
      <c r="Q61" s="20"/>
      <c r="R61" s="20"/>
      <c r="S61" s="250"/>
      <c r="T61" s="20"/>
      <c r="U61" s="20"/>
      <c r="V61" s="11"/>
      <c r="W61" s="20"/>
      <c r="Y61" s="60" t="s">
        <v>84</v>
      </c>
      <c r="Z61" s="359">
        <v>0</v>
      </c>
      <c r="AA61" s="359">
        <v>0</v>
      </c>
      <c r="AB61" s="360">
        <v>0</v>
      </c>
      <c r="AC61" s="360">
        <v>0</v>
      </c>
      <c r="AD61" s="292">
        <v>0</v>
      </c>
      <c r="AE61" s="361">
        <f>SUM(Z61:AD61)</f>
        <v>0</v>
      </c>
    </row>
    <row r="62" spans="1:35">
      <c r="A62" s="20"/>
      <c r="B62" s="65"/>
      <c r="C62" s="20"/>
      <c r="D62" s="20"/>
      <c r="E62" s="250"/>
      <c r="F62" s="64"/>
      <c r="G62" s="64"/>
      <c r="H62" s="64"/>
      <c r="I62" s="64"/>
      <c r="J62" s="64"/>
      <c r="K62" s="20"/>
      <c r="L62" s="20"/>
      <c r="M62" s="20"/>
      <c r="N62" s="20"/>
      <c r="O62" s="250"/>
      <c r="P62" s="20"/>
      <c r="Q62" s="20"/>
      <c r="R62" s="20"/>
      <c r="S62" s="250"/>
      <c r="T62" s="20"/>
      <c r="U62" s="20"/>
      <c r="V62" s="11"/>
      <c r="W62" s="20"/>
      <c r="Y62" s="60" t="s">
        <v>85</v>
      </c>
      <c r="Z62" s="359">
        <v>0</v>
      </c>
      <c r="AA62" s="359">
        <v>0</v>
      </c>
      <c r="AB62" s="359">
        <v>0</v>
      </c>
      <c r="AC62" s="359">
        <v>0</v>
      </c>
      <c r="AD62" s="292">
        <v>0</v>
      </c>
      <c r="AE62" s="60">
        <f t="shared" ref="AE62:AE72" si="22">SUM(Z62:AD62)</f>
        <v>0</v>
      </c>
    </row>
    <row r="63" spans="1:35">
      <c r="A63" s="20"/>
      <c r="B63" s="65"/>
      <c r="C63" s="20"/>
      <c r="D63" s="20"/>
      <c r="E63" s="250"/>
      <c r="F63" s="64"/>
      <c r="G63" s="64"/>
      <c r="H63" s="64"/>
      <c r="I63" s="64"/>
      <c r="J63" s="64"/>
      <c r="K63" s="20"/>
      <c r="L63" s="20"/>
      <c r="M63" s="20"/>
      <c r="N63" s="20"/>
      <c r="O63" s="250"/>
      <c r="P63" s="20"/>
      <c r="Q63" s="20"/>
      <c r="R63" s="20"/>
      <c r="S63" s="250"/>
      <c r="T63" s="20"/>
      <c r="U63" s="20"/>
      <c r="V63" s="11"/>
      <c r="W63" s="20"/>
      <c r="Y63" s="60" t="s">
        <v>86</v>
      </c>
      <c r="Z63" s="359">
        <v>0</v>
      </c>
      <c r="AA63" s="359">
        <v>0</v>
      </c>
      <c r="AB63" s="359">
        <v>0</v>
      </c>
      <c r="AC63" s="359">
        <v>0</v>
      </c>
      <c r="AD63" s="292">
        <v>0</v>
      </c>
      <c r="AE63" s="60">
        <f t="shared" si="22"/>
        <v>0</v>
      </c>
      <c r="AG63" s="471" t="s">
        <v>490</v>
      </c>
      <c r="AH63" s="471" t="s">
        <v>491</v>
      </c>
      <c r="AI63" s="363" t="s">
        <v>492</v>
      </c>
    </row>
    <row r="64" spans="1:35">
      <c r="A64" s="20"/>
      <c r="B64" s="65"/>
      <c r="C64" s="20"/>
      <c r="D64" s="20"/>
      <c r="E64" s="250"/>
      <c r="F64" s="64"/>
      <c r="G64" s="64"/>
      <c r="H64" s="64"/>
      <c r="I64" s="64"/>
      <c r="J64" s="64"/>
      <c r="K64" s="20"/>
      <c r="L64" s="20"/>
      <c r="M64" s="20"/>
      <c r="N64" s="20"/>
      <c r="O64" s="250"/>
      <c r="P64" s="20"/>
      <c r="Q64" s="20"/>
      <c r="R64" s="20"/>
      <c r="S64" s="250"/>
      <c r="T64" s="20"/>
      <c r="U64" s="20"/>
      <c r="V64" s="11"/>
      <c r="W64" s="20"/>
      <c r="Y64" s="60" t="s">
        <v>87</v>
      </c>
      <c r="Z64" s="359">
        <v>0</v>
      </c>
      <c r="AA64" s="359">
        <v>0</v>
      </c>
      <c r="AB64" s="359">
        <v>0</v>
      </c>
      <c r="AC64" s="359">
        <v>0</v>
      </c>
      <c r="AD64" s="292">
        <v>0</v>
      </c>
      <c r="AE64" s="60">
        <f t="shared" si="22"/>
        <v>0</v>
      </c>
      <c r="AG64" s="61" t="s">
        <v>485</v>
      </c>
      <c r="AH64" s="61">
        <v>100</v>
      </c>
      <c r="AI64" s="420">
        <v>15</v>
      </c>
    </row>
    <row r="65" spans="1:39">
      <c r="A65" s="20"/>
      <c r="B65" s="64"/>
      <c r="C65" s="20"/>
      <c r="D65" s="20"/>
      <c r="E65" s="250"/>
      <c r="O65" s="250"/>
      <c r="P65" s="20"/>
      <c r="Q65" s="20"/>
      <c r="R65" s="20"/>
      <c r="S65" s="250"/>
      <c r="U65" s="20"/>
      <c r="V65" s="11"/>
      <c r="W65" s="20"/>
      <c r="Y65" s="60" t="s">
        <v>88</v>
      </c>
      <c r="Z65" s="359">
        <v>0</v>
      </c>
      <c r="AA65" s="359">
        <v>0</v>
      </c>
      <c r="AB65" s="359">
        <v>0</v>
      </c>
      <c r="AC65" s="359">
        <v>0</v>
      </c>
      <c r="AD65" s="292">
        <v>0</v>
      </c>
      <c r="AE65" s="60">
        <f t="shared" si="22"/>
        <v>0</v>
      </c>
      <c r="AF65" s="351"/>
      <c r="AG65" s="364" t="s">
        <v>486</v>
      </c>
      <c r="AH65" s="364">
        <v>150</v>
      </c>
      <c r="AI65" s="421">
        <v>16.3689</v>
      </c>
    </row>
    <row r="66" spans="1:39">
      <c r="A66" s="20"/>
      <c r="B66" s="64"/>
      <c r="C66" s="20"/>
      <c r="D66" s="20"/>
      <c r="E66" s="250"/>
      <c r="O66" s="250"/>
      <c r="P66" s="20"/>
      <c r="Q66" s="20"/>
      <c r="R66" s="20"/>
      <c r="S66" s="250"/>
      <c r="U66" s="20"/>
      <c r="V66" s="11"/>
      <c r="W66" s="20"/>
      <c r="Y66" s="60" t="s">
        <v>89</v>
      </c>
      <c r="Z66" s="359">
        <v>0</v>
      </c>
      <c r="AA66" s="359">
        <v>0</v>
      </c>
      <c r="AB66" s="359">
        <v>0</v>
      </c>
      <c r="AC66" s="359">
        <v>0</v>
      </c>
      <c r="AD66" s="292">
        <v>0</v>
      </c>
      <c r="AE66" s="60">
        <f t="shared" si="22"/>
        <v>0</v>
      </c>
      <c r="AF66" s="352"/>
      <c r="AG66" s="364" t="s">
        <v>487</v>
      </c>
      <c r="AH66" s="364">
        <v>200</v>
      </c>
      <c r="AI66" s="421">
        <v>16.746700000000001</v>
      </c>
    </row>
    <row r="67" spans="1:39">
      <c r="A67" s="20"/>
      <c r="B67" s="64"/>
      <c r="C67" s="20"/>
      <c r="D67" s="20"/>
      <c r="E67" s="250"/>
      <c r="O67" s="250"/>
      <c r="P67" s="20"/>
      <c r="Q67" s="20"/>
      <c r="R67" s="20"/>
      <c r="S67" s="250"/>
      <c r="U67" s="20"/>
      <c r="V67" s="11"/>
      <c r="W67" s="20"/>
      <c r="Y67" s="60" t="s">
        <v>90</v>
      </c>
      <c r="Z67" s="359">
        <v>0</v>
      </c>
      <c r="AA67" s="359">
        <v>0</v>
      </c>
      <c r="AB67" s="359">
        <v>0</v>
      </c>
      <c r="AC67" s="359">
        <v>0</v>
      </c>
      <c r="AD67" s="292">
        <v>0</v>
      </c>
      <c r="AE67" s="60">
        <f t="shared" si="22"/>
        <v>0</v>
      </c>
      <c r="AF67" s="352"/>
      <c r="AG67" s="364" t="s">
        <v>488</v>
      </c>
      <c r="AH67" s="364">
        <v>250</v>
      </c>
      <c r="AI67" s="421">
        <v>16.886600000000001</v>
      </c>
    </row>
    <row r="68" spans="1:39">
      <c r="A68" s="20"/>
      <c r="B68" s="64"/>
      <c r="C68" s="20"/>
      <c r="D68" s="20"/>
      <c r="E68" s="250"/>
      <c r="F68" s="64"/>
      <c r="G68" s="64"/>
      <c r="H68" s="64"/>
      <c r="I68" s="64"/>
      <c r="J68" s="64"/>
      <c r="K68" s="20"/>
      <c r="L68" s="20"/>
      <c r="M68" s="20"/>
      <c r="N68" s="20"/>
      <c r="O68" s="250"/>
      <c r="P68" s="20"/>
      <c r="Q68" s="20"/>
      <c r="R68" s="20"/>
      <c r="S68" s="250"/>
      <c r="T68" s="20"/>
      <c r="U68" s="20"/>
      <c r="V68" s="11"/>
      <c r="W68" s="20"/>
      <c r="Y68" s="60" t="s">
        <v>91</v>
      </c>
      <c r="Z68" s="359">
        <v>0</v>
      </c>
      <c r="AA68" s="359">
        <v>0</v>
      </c>
      <c r="AB68" s="292">
        <v>0</v>
      </c>
      <c r="AC68" s="292">
        <v>0</v>
      </c>
      <c r="AD68" s="292">
        <v>0</v>
      </c>
      <c r="AE68" s="60">
        <f t="shared" si="22"/>
        <v>0</v>
      </c>
      <c r="AF68" s="351"/>
      <c r="AG68" s="365" t="s">
        <v>525</v>
      </c>
      <c r="AH68" s="365">
        <v>300</v>
      </c>
      <c r="AI68" s="422">
        <v>17</v>
      </c>
    </row>
    <row r="69" spans="1:39">
      <c r="B69" s="64"/>
      <c r="C69" s="20"/>
      <c r="D69" s="20"/>
      <c r="E69" s="250"/>
      <c r="F69" s="64"/>
      <c r="G69" s="64"/>
      <c r="H69" s="64"/>
      <c r="I69" s="64"/>
      <c r="J69" s="64"/>
      <c r="K69" s="20"/>
      <c r="L69" s="20"/>
      <c r="M69" s="20"/>
      <c r="N69" s="20"/>
      <c r="O69" s="250"/>
      <c r="P69" s="20"/>
      <c r="Q69" s="20"/>
      <c r="R69" s="20"/>
      <c r="S69" s="250"/>
      <c r="T69" s="20"/>
      <c r="U69" s="20"/>
      <c r="V69" s="11"/>
      <c r="W69" s="20"/>
      <c r="Y69" s="60" t="s">
        <v>92</v>
      </c>
      <c r="Z69" s="292">
        <v>0</v>
      </c>
      <c r="AA69" s="292">
        <v>0</v>
      </c>
      <c r="AB69" s="292">
        <v>0</v>
      </c>
      <c r="AC69" s="292">
        <v>0</v>
      </c>
      <c r="AD69" s="292">
        <v>0</v>
      </c>
      <c r="AE69" s="60">
        <f t="shared" si="22"/>
        <v>0</v>
      </c>
      <c r="AF69" s="351"/>
      <c r="AG69" s="351"/>
      <c r="AH69" s="351"/>
    </row>
    <row r="70" spans="1:39">
      <c r="B70" s="64"/>
      <c r="C70" s="20"/>
      <c r="D70" s="20"/>
      <c r="E70" s="250"/>
      <c r="F70" s="64"/>
      <c r="G70" s="64"/>
      <c r="H70" s="64"/>
      <c r="I70" s="64"/>
      <c r="J70" s="64"/>
      <c r="K70" s="20"/>
      <c r="L70" s="20"/>
      <c r="M70" s="20"/>
      <c r="N70" s="20"/>
      <c r="O70" s="250"/>
      <c r="P70" s="20"/>
      <c r="Q70" s="20"/>
      <c r="R70" s="20"/>
      <c r="S70" s="250"/>
      <c r="T70" s="20"/>
      <c r="U70" s="20"/>
      <c r="V70" s="11"/>
      <c r="W70" s="20"/>
      <c r="Y70" s="60" t="s">
        <v>93</v>
      </c>
      <c r="Z70" s="292">
        <v>0</v>
      </c>
      <c r="AA70" s="359">
        <v>0</v>
      </c>
      <c r="AB70" s="292">
        <v>0</v>
      </c>
      <c r="AC70" s="292">
        <v>0</v>
      </c>
      <c r="AD70" s="292">
        <v>0</v>
      </c>
      <c r="AE70" s="60">
        <f t="shared" si="22"/>
        <v>0</v>
      </c>
      <c r="AF70" s="351"/>
      <c r="AG70" s="351"/>
      <c r="AH70" s="351"/>
    </row>
    <row r="71" spans="1:39">
      <c r="B71" s="64"/>
      <c r="C71" s="20"/>
      <c r="D71" s="20"/>
      <c r="E71" s="250"/>
      <c r="F71" s="64"/>
      <c r="G71" s="64"/>
      <c r="H71" s="64"/>
      <c r="I71" s="64"/>
      <c r="J71" s="64"/>
      <c r="K71" s="20"/>
      <c r="L71" s="20"/>
      <c r="M71" s="20"/>
      <c r="N71" s="20"/>
      <c r="O71" s="250"/>
      <c r="P71" s="20"/>
      <c r="Q71" s="20"/>
      <c r="R71" s="20"/>
      <c r="S71" s="250"/>
      <c r="T71" s="20"/>
      <c r="U71" s="20"/>
      <c r="V71" s="11"/>
      <c r="W71" s="20"/>
      <c r="Y71" s="60" t="s">
        <v>94</v>
      </c>
      <c r="Z71" s="292">
        <v>0</v>
      </c>
      <c r="AA71" s="359">
        <v>0</v>
      </c>
      <c r="AB71" s="292">
        <v>0</v>
      </c>
      <c r="AC71" s="292">
        <v>0</v>
      </c>
      <c r="AD71" s="292">
        <v>0</v>
      </c>
      <c r="AE71" s="60">
        <f t="shared" si="22"/>
        <v>0</v>
      </c>
      <c r="AF71" s="18"/>
      <c r="AG71" s="18"/>
      <c r="AH71" s="351"/>
    </row>
    <row r="72" spans="1:39">
      <c r="B72" s="64"/>
      <c r="C72" s="20"/>
      <c r="D72" s="20"/>
      <c r="E72" s="250"/>
      <c r="F72" s="64"/>
      <c r="G72" s="64"/>
      <c r="H72" s="64"/>
      <c r="I72" s="64"/>
      <c r="J72" s="64"/>
      <c r="K72" s="20"/>
      <c r="L72" s="20"/>
      <c r="M72" s="20"/>
      <c r="N72" s="20"/>
      <c r="O72" s="250"/>
      <c r="P72" s="20"/>
      <c r="Q72" s="20"/>
      <c r="R72" s="20"/>
      <c r="S72" s="250"/>
      <c r="T72" s="20"/>
      <c r="U72" s="20"/>
      <c r="V72" s="11"/>
      <c r="W72" s="20"/>
      <c r="Y72" s="366" t="s">
        <v>482</v>
      </c>
      <c r="Z72" s="367">
        <v>0</v>
      </c>
      <c r="AA72" s="367">
        <v>0</v>
      </c>
      <c r="AB72" s="367">
        <v>0</v>
      </c>
      <c r="AC72" s="367">
        <v>0</v>
      </c>
      <c r="AD72" s="367">
        <v>0</v>
      </c>
      <c r="AE72" s="366">
        <f t="shared" si="22"/>
        <v>0</v>
      </c>
      <c r="AF72" s="351"/>
      <c r="AG72" s="497" t="s">
        <v>557</v>
      </c>
      <c r="AH72" s="498"/>
      <c r="AI72" s="498"/>
      <c r="AJ72" s="498"/>
      <c r="AK72" s="498"/>
      <c r="AL72" s="499"/>
      <c r="AM72" s="155"/>
    </row>
    <row r="73" spans="1:39">
      <c r="B73" s="64"/>
      <c r="C73" s="20"/>
      <c r="D73" s="20"/>
      <c r="E73" s="250"/>
      <c r="F73" s="64"/>
      <c r="G73" s="64"/>
      <c r="H73" s="64"/>
      <c r="I73" s="64"/>
      <c r="J73" s="64"/>
      <c r="K73" s="20"/>
      <c r="L73" s="20"/>
      <c r="M73" s="20"/>
      <c r="N73" s="20"/>
      <c r="O73" s="250"/>
      <c r="P73" s="20"/>
      <c r="Q73" s="20"/>
      <c r="R73" s="20"/>
      <c r="S73" s="250"/>
      <c r="T73" s="20"/>
      <c r="U73" s="20"/>
      <c r="V73" s="11"/>
      <c r="W73" s="20"/>
      <c r="Y73" s="270" t="s">
        <v>493</v>
      </c>
      <c r="Z73" s="368">
        <f t="shared" ref="Z73:AE73" si="23">SUM(Z61:Z72)</f>
        <v>0</v>
      </c>
      <c r="AA73" s="368">
        <f t="shared" si="23"/>
        <v>0</v>
      </c>
      <c r="AB73" s="368">
        <f t="shared" si="23"/>
        <v>0</v>
      </c>
      <c r="AC73" s="368">
        <f t="shared" si="23"/>
        <v>0</v>
      </c>
      <c r="AD73" s="368">
        <f t="shared" si="23"/>
        <v>0</v>
      </c>
      <c r="AE73" s="369">
        <f t="shared" si="23"/>
        <v>0</v>
      </c>
      <c r="AF73" s="351"/>
      <c r="AG73" s="355" t="s">
        <v>484</v>
      </c>
      <c r="AH73" s="357" t="s">
        <v>485</v>
      </c>
      <c r="AI73" s="357" t="s">
        <v>486</v>
      </c>
      <c r="AJ73" s="357" t="s">
        <v>487</v>
      </c>
      <c r="AK73" s="357" t="s">
        <v>488</v>
      </c>
      <c r="AL73" s="358" t="s">
        <v>525</v>
      </c>
      <c r="AM73" s="270" t="s">
        <v>416</v>
      </c>
    </row>
    <row r="74" spans="1:39">
      <c r="B74" s="64"/>
      <c r="C74" s="20"/>
      <c r="D74" s="20"/>
      <c r="E74" s="250"/>
      <c r="F74" s="64"/>
      <c r="G74" s="64"/>
      <c r="H74" s="64"/>
      <c r="I74" s="64"/>
      <c r="J74" s="64"/>
      <c r="K74" s="20"/>
      <c r="L74" s="20"/>
      <c r="M74" s="20"/>
      <c r="N74" s="20"/>
      <c r="O74" s="250"/>
      <c r="P74" s="20"/>
      <c r="Q74" s="20"/>
      <c r="R74" s="20"/>
      <c r="S74" s="250"/>
      <c r="T74" s="20"/>
      <c r="U74" s="20"/>
      <c r="V74" s="11"/>
      <c r="W74" s="20"/>
      <c r="Y74" s="270" t="s">
        <v>492</v>
      </c>
      <c r="Z74" s="370">
        <f>PRODUCT(Z73*AI64)</f>
        <v>0</v>
      </c>
      <c r="AA74" s="370">
        <f>PRODUCT(AA73*AI65)</f>
        <v>0</v>
      </c>
      <c r="AB74" s="370">
        <f>PRODUCT(AB73*AI66)</f>
        <v>0</v>
      </c>
      <c r="AC74" s="370">
        <f>PRODUCT(AC73*AI67)</f>
        <v>0</v>
      </c>
      <c r="AD74" s="370">
        <f>PRODUCT(AD73*AI68)</f>
        <v>0</v>
      </c>
      <c r="AE74" s="270">
        <f>SUM(Z74:AD74)</f>
        <v>0</v>
      </c>
      <c r="AF74" s="351"/>
      <c r="AG74" s="60" t="s">
        <v>84</v>
      </c>
      <c r="AH74" s="470">
        <f>Z61+Z81</f>
        <v>0</v>
      </c>
      <c r="AI74" s="470">
        <f t="shared" ref="AI74:AL85" si="24">AA61+AA81</f>
        <v>4</v>
      </c>
      <c r="AJ74" s="470">
        <f t="shared" si="24"/>
        <v>2</v>
      </c>
      <c r="AK74" s="470">
        <f t="shared" si="24"/>
        <v>1</v>
      </c>
      <c r="AL74" s="470">
        <f t="shared" si="24"/>
        <v>0</v>
      </c>
      <c r="AM74" s="361">
        <f>SUM(AH74:AL74)</f>
        <v>7</v>
      </c>
    </row>
    <row r="75" spans="1:39">
      <c r="B75" s="64"/>
      <c r="C75" s="20"/>
      <c r="D75" s="20"/>
      <c r="E75" s="250"/>
      <c r="F75" s="64"/>
      <c r="G75" s="64"/>
      <c r="H75" s="64"/>
      <c r="I75" s="64"/>
      <c r="J75" s="64"/>
      <c r="K75" s="20"/>
      <c r="L75" s="20"/>
      <c r="M75" s="20"/>
      <c r="N75" s="20"/>
      <c r="O75" s="250"/>
      <c r="P75" s="20"/>
      <c r="Q75" s="20"/>
      <c r="R75" s="20"/>
      <c r="S75" s="250"/>
      <c r="T75" s="20"/>
      <c r="U75" s="20"/>
      <c r="V75" s="11"/>
      <c r="W75" s="20"/>
      <c r="Y75" s="270" t="s">
        <v>491</v>
      </c>
      <c r="Z75" s="370">
        <f>Z73*AH64</f>
        <v>0</v>
      </c>
      <c r="AA75" s="370">
        <f>AA73*AH65</f>
        <v>0</v>
      </c>
      <c r="AB75" s="370">
        <f>AB73*AH66</f>
        <v>0</v>
      </c>
      <c r="AC75" s="370">
        <f>AC73*AH67</f>
        <v>0</v>
      </c>
      <c r="AD75" s="370">
        <f>AD73*AH68</f>
        <v>0</v>
      </c>
      <c r="AE75" s="270">
        <f>SUM(Z75:AD75)</f>
        <v>0</v>
      </c>
      <c r="AF75" s="351"/>
      <c r="AG75" s="60" t="s">
        <v>85</v>
      </c>
      <c r="AH75" s="470">
        <f t="shared" ref="AH75:AH85" si="25">Z62+Z82</f>
        <v>0</v>
      </c>
      <c r="AI75" s="470">
        <f t="shared" si="24"/>
        <v>7</v>
      </c>
      <c r="AJ75" s="470">
        <f t="shared" si="24"/>
        <v>3</v>
      </c>
      <c r="AK75" s="470">
        <f t="shared" si="24"/>
        <v>0</v>
      </c>
      <c r="AL75" s="470">
        <f t="shared" si="24"/>
        <v>2</v>
      </c>
      <c r="AM75" s="60">
        <f t="shared" ref="AM75:AM85" si="26">SUM(AH75:AL75)</f>
        <v>12</v>
      </c>
    </row>
    <row r="76" spans="1:39">
      <c r="B76" s="64"/>
      <c r="C76" s="20"/>
      <c r="D76" s="20"/>
      <c r="E76" s="250"/>
      <c r="F76" s="64"/>
      <c r="G76" s="64"/>
      <c r="H76" s="64"/>
      <c r="I76" s="64"/>
      <c r="J76" s="64"/>
      <c r="K76" s="20"/>
      <c r="L76" s="20"/>
      <c r="M76" s="20"/>
      <c r="N76" s="20"/>
      <c r="O76" s="250"/>
      <c r="P76" s="20"/>
      <c r="Q76" s="20"/>
      <c r="R76" s="20"/>
      <c r="S76" s="250"/>
      <c r="T76" s="20"/>
      <c r="U76" s="20"/>
      <c r="V76" s="11"/>
      <c r="W76" s="20"/>
      <c r="AG76" s="60" t="s">
        <v>86</v>
      </c>
      <c r="AH76" s="470">
        <f t="shared" si="25"/>
        <v>0</v>
      </c>
      <c r="AI76" s="470">
        <f t="shared" si="24"/>
        <v>0</v>
      </c>
      <c r="AJ76" s="470">
        <f t="shared" si="24"/>
        <v>3</v>
      </c>
      <c r="AK76" s="470">
        <f t="shared" si="24"/>
        <v>0</v>
      </c>
      <c r="AL76" s="470">
        <f t="shared" si="24"/>
        <v>1</v>
      </c>
      <c r="AM76" s="60">
        <f t="shared" si="26"/>
        <v>4</v>
      </c>
    </row>
    <row r="77" spans="1:39">
      <c r="B77" s="64"/>
      <c r="C77" s="20"/>
      <c r="D77" s="20"/>
      <c r="E77" s="250"/>
      <c r="F77" s="64"/>
      <c r="G77" s="64"/>
      <c r="H77" s="64"/>
      <c r="I77" s="64"/>
      <c r="J77" s="64"/>
      <c r="K77" s="20"/>
      <c r="L77" s="20"/>
      <c r="M77" s="20"/>
      <c r="N77" s="20"/>
      <c r="O77" s="250"/>
      <c r="P77" s="20"/>
      <c r="Q77" s="20"/>
      <c r="R77" s="20"/>
      <c r="S77" s="250"/>
      <c r="T77" s="20"/>
      <c r="U77" s="20"/>
      <c r="V77" s="11"/>
      <c r="W77" s="20"/>
      <c r="AG77" s="60" t="s">
        <v>87</v>
      </c>
      <c r="AH77" s="470">
        <f t="shared" si="25"/>
        <v>0</v>
      </c>
      <c r="AI77" s="470">
        <f t="shared" si="24"/>
        <v>10</v>
      </c>
      <c r="AJ77" s="470">
        <f t="shared" si="24"/>
        <v>15</v>
      </c>
      <c r="AK77" s="470">
        <f t="shared" si="24"/>
        <v>8</v>
      </c>
      <c r="AL77" s="470">
        <f t="shared" si="24"/>
        <v>0</v>
      </c>
      <c r="AM77" s="60">
        <f t="shared" si="26"/>
        <v>33</v>
      </c>
    </row>
    <row r="78" spans="1:39">
      <c r="B78" s="64"/>
      <c r="C78" s="20"/>
      <c r="D78" s="20"/>
      <c r="E78" s="250"/>
      <c r="F78" s="64"/>
      <c r="G78" s="64"/>
      <c r="H78" s="64"/>
      <c r="I78" s="64"/>
      <c r="J78" s="64"/>
      <c r="K78" s="20"/>
      <c r="L78" s="20"/>
      <c r="M78" s="20"/>
      <c r="N78" s="20"/>
      <c r="O78" s="250"/>
      <c r="P78" s="20"/>
      <c r="Q78" s="20"/>
      <c r="R78" s="20"/>
      <c r="S78" s="250"/>
      <c r="T78" s="20"/>
      <c r="U78" s="20"/>
      <c r="V78" s="11"/>
      <c r="W78" s="20"/>
      <c r="AG78" s="60" t="s">
        <v>88</v>
      </c>
      <c r="AH78" s="470">
        <f t="shared" si="25"/>
        <v>0</v>
      </c>
      <c r="AI78" s="470">
        <f t="shared" si="24"/>
        <v>0</v>
      </c>
      <c r="AJ78" s="470">
        <f t="shared" si="24"/>
        <v>8</v>
      </c>
      <c r="AK78" s="470">
        <f t="shared" si="24"/>
        <v>1</v>
      </c>
      <c r="AL78" s="470">
        <f t="shared" si="24"/>
        <v>0</v>
      </c>
      <c r="AM78" s="60">
        <f t="shared" si="26"/>
        <v>9</v>
      </c>
    </row>
    <row r="79" spans="1:39">
      <c r="B79" s="64"/>
      <c r="C79" s="20"/>
      <c r="D79" s="20"/>
      <c r="E79" s="250"/>
      <c r="F79" s="64"/>
      <c r="G79" s="64"/>
      <c r="H79" s="64"/>
      <c r="I79" s="64"/>
      <c r="J79" s="64"/>
      <c r="K79" s="20"/>
      <c r="L79" s="20"/>
      <c r="M79" s="20"/>
      <c r="N79" s="20"/>
      <c r="O79" s="250"/>
      <c r="P79" s="20"/>
      <c r="Q79" s="20"/>
      <c r="R79" s="20"/>
      <c r="S79" s="250"/>
      <c r="T79" s="20"/>
      <c r="U79" s="20"/>
      <c r="V79" s="11"/>
      <c r="W79" s="20"/>
      <c r="Y79" s="497" t="s">
        <v>556</v>
      </c>
      <c r="Z79" s="498"/>
      <c r="AA79" s="498"/>
      <c r="AB79" s="498"/>
      <c r="AC79" s="498"/>
      <c r="AD79" s="499"/>
      <c r="AE79" s="155"/>
      <c r="AG79" s="60" t="s">
        <v>89</v>
      </c>
      <c r="AH79" s="470">
        <f t="shared" si="25"/>
        <v>0</v>
      </c>
      <c r="AI79" s="470">
        <f t="shared" si="24"/>
        <v>7</v>
      </c>
      <c r="AJ79" s="470">
        <f t="shared" si="24"/>
        <v>1</v>
      </c>
      <c r="AK79" s="470">
        <f t="shared" si="24"/>
        <v>1</v>
      </c>
      <c r="AL79" s="470">
        <f t="shared" si="24"/>
        <v>0</v>
      </c>
      <c r="AM79" s="60">
        <f t="shared" si="26"/>
        <v>9</v>
      </c>
    </row>
    <row r="80" spans="1:39">
      <c r="B80" s="64"/>
      <c r="C80" s="20"/>
      <c r="D80" s="20"/>
      <c r="E80" s="250"/>
      <c r="F80" s="64"/>
      <c r="G80" s="64"/>
      <c r="H80" s="64"/>
      <c r="I80" s="64"/>
      <c r="J80" s="64"/>
      <c r="K80" s="20"/>
      <c r="L80" s="20"/>
      <c r="M80" s="20"/>
      <c r="N80" s="20"/>
      <c r="O80" s="250"/>
      <c r="P80" s="20"/>
      <c r="Q80" s="20"/>
      <c r="R80" s="20"/>
      <c r="S80" s="250"/>
      <c r="T80" s="20"/>
      <c r="U80" s="20"/>
      <c r="V80" s="11"/>
      <c r="W80" s="20"/>
      <c r="Y80" s="355" t="s">
        <v>484</v>
      </c>
      <c r="Z80" s="357" t="s">
        <v>485</v>
      </c>
      <c r="AA80" s="357" t="s">
        <v>486</v>
      </c>
      <c r="AB80" s="357" t="s">
        <v>487</v>
      </c>
      <c r="AC80" s="357" t="s">
        <v>488</v>
      </c>
      <c r="AD80" s="358" t="s">
        <v>525</v>
      </c>
      <c r="AE80" s="270" t="s">
        <v>416</v>
      </c>
      <c r="AG80" s="60" t="s">
        <v>90</v>
      </c>
      <c r="AH80" s="470">
        <f t="shared" si="25"/>
        <v>0</v>
      </c>
      <c r="AI80" s="470">
        <f t="shared" si="24"/>
        <v>0</v>
      </c>
      <c r="AJ80" s="470">
        <f t="shared" si="24"/>
        <v>1</v>
      </c>
      <c r="AK80" s="470">
        <f t="shared" si="24"/>
        <v>1</v>
      </c>
      <c r="AL80" s="470">
        <f t="shared" si="24"/>
        <v>1</v>
      </c>
      <c r="AM80" s="60">
        <f t="shared" si="26"/>
        <v>3</v>
      </c>
    </row>
    <row r="81" spans="2:39">
      <c r="B81" s="64"/>
      <c r="C81" s="20"/>
      <c r="D81" s="20"/>
      <c r="E81" s="250"/>
      <c r="F81" s="64"/>
      <c r="G81" s="64"/>
      <c r="H81" s="64"/>
      <c r="I81" s="64"/>
      <c r="J81" s="64"/>
      <c r="K81" s="20"/>
      <c r="L81" s="20"/>
      <c r="M81" s="20"/>
      <c r="N81" s="20"/>
      <c r="O81" s="250"/>
      <c r="P81" s="20"/>
      <c r="Q81" s="20"/>
      <c r="R81" s="20"/>
      <c r="S81" s="250"/>
      <c r="T81" s="20"/>
      <c r="U81" s="20"/>
      <c r="V81" s="11"/>
      <c r="W81" s="20"/>
      <c r="Y81" s="60" t="s">
        <v>84</v>
      </c>
      <c r="Z81" s="470">
        <v>0</v>
      </c>
      <c r="AA81" s="470">
        <f>4</f>
        <v>4</v>
      </c>
      <c r="AB81" s="416">
        <f>1+1</f>
        <v>2</v>
      </c>
      <c r="AC81" s="416">
        <f>1</f>
        <v>1</v>
      </c>
      <c r="AD81" s="470">
        <v>0</v>
      </c>
      <c r="AE81" s="361">
        <f>SUM(Z81:AD81)</f>
        <v>7</v>
      </c>
      <c r="AG81" s="60" t="s">
        <v>91</v>
      </c>
      <c r="AH81" s="470">
        <f t="shared" si="25"/>
        <v>0</v>
      </c>
      <c r="AI81" s="470">
        <f t="shared" si="24"/>
        <v>10</v>
      </c>
      <c r="AJ81" s="470">
        <f t="shared" si="24"/>
        <v>2</v>
      </c>
      <c r="AK81" s="470">
        <f t="shared" si="24"/>
        <v>1</v>
      </c>
      <c r="AL81" s="470">
        <f t="shared" si="24"/>
        <v>0</v>
      </c>
      <c r="AM81" s="60">
        <f t="shared" si="26"/>
        <v>13</v>
      </c>
    </row>
    <row r="82" spans="2:39">
      <c r="B82" s="64"/>
      <c r="C82" s="20"/>
      <c r="D82" s="20"/>
      <c r="E82" s="250"/>
      <c r="F82" s="64"/>
      <c r="G82" s="64"/>
      <c r="H82" s="64"/>
      <c r="I82" s="64"/>
      <c r="J82" s="64"/>
      <c r="K82" s="20"/>
      <c r="L82" s="20"/>
      <c r="M82" s="20"/>
      <c r="N82" s="20"/>
      <c r="O82" s="250"/>
      <c r="P82" s="20"/>
      <c r="Q82" s="20"/>
      <c r="R82" s="20"/>
      <c r="S82" s="250"/>
      <c r="T82" s="20"/>
      <c r="U82" s="20"/>
      <c r="V82" s="11"/>
      <c r="W82" s="20"/>
      <c r="Y82" s="60" t="s">
        <v>85</v>
      </c>
      <c r="Z82" s="470">
        <v>0</v>
      </c>
      <c r="AA82" s="470">
        <f>3+2+2</f>
        <v>7</v>
      </c>
      <c r="AB82" s="470">
        <f>2+1</f>
        <v>3</v>
      </c>
      <c r="AC82" s="470">
        <v>0</v>
      </c>
      <c r="AD82" s="470">
        <f>1+1</f>
        <v>2</v>
      </c>
      <c r="AE82" s="60">
        <f t="shared" ref="AE82:AE92" si="27">SUM(Z82:AD82)</f>
        <v>12</v>
      </c>
      <c r="AG82" s="60" t="s">
        <v>92</v>
      </c>
      <c r="AH82" s="470">
        <f t="shared" si="25"/>
        <v>0</v>
      </c>
      <c r="AI82" s="470">
        <f t="shared" si="24"/>
        <v>4</v>
      </c>
      <c r="AJ82" s="470">
        <f t="shared" si="24"/>
        <v>7</v>
      </c>
      <c r="AK82" s="470">
        <f t="shared" si="24"/>
        <v>0</v>
      </c>
      <c r="AL82" s="470">
        <f t="shared" si="24"/>
        <v>0</v>
      </c>
      <c r="AM82" s="60">
        <f t="shared" si="26"/>
        <v>11</v>
      </c>
    </row>
    <row r="83" spans="2:39">
      <c r="B83" s="64"/>
      <c r="C83" s="20"/>
      <c r="D83" s="20"/>
      <c r="E83" s="250"/>
      <c r="F83" s="64"/>
      <c r="G83" s="64"/>
      <c r="H83" s="64"/>
      <c r="I83" s="64"/>
      <c r="J83" s="64"/>
      <c r="K83" s="20"/>
      <c r="L83" s="20"/>
      <c r="M83" s="20"/>
      <c r="N83" s="20"/>
      <c r="O83" s="250"/>
      <c r="P83" s="20"/>
      <c r="Q83" s="20"/>
      <c r="R83" s="20"/>
      <c r="S83" s="250"/>
      <c r="T83" s="20"/>
      <c r="U83" s="20"/>
      <c r="V83" s="11"/>
      <c r="W83" s="20"/>
      <c r="Y83" s="60" t="s">
        <v>86</v>
      </c>
      <c r="Z83" s="470">
        <v>0</v>
      </c>
      <c r="AA83" s="470">
        <v>0</v>
      </c>
      <c r="AB83" s="359">
        <f>2+1</f>
        <v>3</v>
      </c>
      <c r="AC83" s="470">
        <v>0</v>
      </c>
      <c r="AD83" s="470">
        <f>1</f>
        <v>1</v>
      </c>
      <c r="AE83" s="60">
        <f t="shared" si="27"/>
        <v>4</v>
      </c>
      <c r="AG83" s="60" t="s">
        <v>93</v>
      </c>
      <c r="AH83" s="470">
        <f t="shared" si="25"/>
        <v>0</v>
      </c>
      <c r="AI83" s="470">
        <f t="shared" si="24"/>
        <v>0</v>
      </c>
      <c r="AJ83" s="470">
        <f t="shared" si="24"/>
        <v>2</v>
      </c>
      <c r="AK83" s="470">
        <f t="shared" si="24"/>
        <v>3</v>
      </c>
      <c r="AL83" s="470">
        <f t="shared" si="24"/>
        <v>0</v>
      </c>
      <c r="AM83" s="60">
        <f t="shared" si="26"/>
        <v>5</v>
      </c>
    </row>
    <row r="84" spans="2:39">
      <c r="B84" s="64"/>
      <c r="C84" s="20"/>
      <c r="D84" s="20"/>
      <c r="E84" s="250"/>
      <c r="F84" s="64"/>
      <c r="G84" s="64"/>
      <c r="H84" s="64"/>
      <c r="I84" s="64"/>
      <c r="J84" s="64"/>
      <c r="K84" s="20"/>
      <c r="L84" s="20"/>
      <c r="M84" s="20"/>
      <c r="N84" s="20"/>
      <c r="O84" s="250"/>
      <c r="P84" s="20"/>
      <c r="Q84" s="20"/>
      <c r="R84" s="20"/>
      <c r="S84" s="250"/>
      <c r="T84" s="20"/>
      <c r="U84" s="20"/>
      <c r="V84" s="11"/>
      <c r="W84" s="20"/>
      <c r="Y84" s="60" t="s">
        <v>87</v>
      </c>
      <c r="Z84" s="470">
        <v>0</v>
      </c>
      <c r="AA84" s="417">
        <f>4+3+3</f>
        <v>10</v>
      </c>
      <c r="AB84" s="470">
        <f>2+2+3+6+2</f>
        <v>15</v>
      </c>
      <c r="AC84" s="470">
        <f>1+3+4</f>
        <v>8</v>
      </c>
      <c r="AD84" s="470">
        <v>0</v>
      </c>
      <c r="AE84" s="60">
        <f t="shared" si="27"/>
        <v>33</v>
      </c>
      <c r="AG84" s="60" t="s">
        <v>94</v>
      </c>
      <c r="AH84" s="470">
        <f t="shared" si="25"/>
        <v>0</v>
      </c>
      <c r="AI84" s="470">
        <f t="shared" si="24"/>
        <v>1</v>
      </c>
      <c r="AJ84" s="470">
        <f t="shared" si="24"/>
        <v>2</v>
      </c>
      <c r="AK84" s="470">
        <f t="shared" si="24"/>
        <v>4</v>
      </c>
      <c r="AL84" s="470">
        <f t="shared" si="24"/>
        <v>0</v>
      </c>
      <c r="AM84" s="60">
        <f t="shared" si="26"/>
        <v>7</v>
      </c>
    </row>
    <row r="85" spans="2:39">
      <c r="B85" s="64"/>
      <c r="C85" s="20"/>
      <c r="D85" s="20"/>
      <c r="E85" s="250"/>
      <c r="F85" s="64"/>
      <c r="G85" s="64"/>
      <c r="H85" s="64"/>
      <c r="I85" s="64"/>
      <c r="J85" s="64"/>
      <c r="K85" s="20"/>
      <c r="L85" s="20"/>
      <c r="M85" s="20"/>
      <c r="N85" s="20"/>
      <c r="O85" s="250"/>
      <c r="P85" s="20"/>
      <c r="Q85" s="20"/>
      <c r="R85" s="20"/>
      <c r="S85" s="250"/>
      <c r="T85" s="20"/>
      <c r="U85" s="20"/>
      <c r="V85" s="11"/>
      <c r="W85" s="20"/>
      <c r="Y85" s="60" t="s">
        <v>88</v>
      </c>
      <c r="Z85" s="470">
        <v>0</v>
      </c>
      <c r="AA85" s="470">
        <v>0</v>
      </c>
      <c r="AB85" s="470">
        <f>1+1+1+3+1+1</f>
        <v>8</v>
      </c>
      <c r="AC85" s="470">
        <f>1</f>
        <v>1</v>
      </c>
      <c r="AD85" s="470">
        <v>0</v>
      </c>
      <c r="AE85" s="60">
        <f t="shared" si="27"/>
        <v>9</v>
      </c>
      <c r="AG85" s="366" t="s">
        <v>482</v>
      </c>
      <c r="AH85" s="470">
        <f t="shared" si="25"/>
        <v>0</v>
      </c>
      <c r="AI85" s="470">
        <f t="shared" si="24"/>
        <v>1</v>
      </c>
      <c r="AJ85" s="470">
        <f t="shared" si="24"/>
        <v>2</v>
      </c>
      <c r="AK85" s="470">
        <f t="shared" si="24"/>
        <v>0</v>
      </c>
      <c r="AL85" s="470">
        <f t="shared" si="24"/>
        <v>0</v>
      </c>
      <c r="AM85" s="366">
        <f t="shared" si="26"/>
        <v>3</v>
      </c>
    </row>
    <row r="86" spans="2:39">
      <c r="B86" s="64"/>
      <c r="C86" s="20"/>
      <c r="D86" s="20"/>
      <c r="E86" s="250"/>
      <c r="F86" s="64"/>
      <c r="G86" s="64"/>
      <c r="H86" s="64"/>
      <c r="I86" s="64"/>
      <c r="J86" s="64"/>
      <c r="K86" s="20"/>
      <c r="L86" s="20"/>
      <c r="M86" s="20"/>
      <c r="N86" s="20"/>
      <c r="O86" s="250"/>
      <c r="P86" s="20"/>
      <c r="Q86" s="20"/>
      <c r="R86" s="20"/>
      <c r="S86" s="250"/>
      <c r="T86" s="20"/>
      <c r="U86" s="20"/>
      <c r="V86" s="11"/>
      <c r="W86" s="20"/>
      <c r="Y86" s="60" t="s">
        <v>89</v>
      </c>
      <c r="Z86" s="470">
        <v>0</v>
      </c>
      <c r="AA86" s="470">
        <f>3+3+1</f>
        <v>7</v>
      </c>
      <c r="AB86" s="470">
        <f>1</f>
        <v>1</v>
      </c>
      <c r="AC86" s="470">
        <f>1</f>
        <v>1</v>
      </c>
      <c r="AD86" s="470">
        <v>0</v>
      </c>
      <c r="AE86" s="60">
        <f t="shared" si="27"/>
        <v>9</v>
      </c>
      <c r="AG86" s="270" t="s">
        <v>493</v>
      </c>
      <c r="AH86" s="368">
        <f t="shared" ref="AH86:AM86" si="28">SUM(AH74:AH85)</f>
        <v>0</v>
      </c>
      <c r="AI86" s="368">
        <f t="shared" si="28"/>
        <v>44</v>
      </c>
      <c r="AJ86" s="368">
        <f t="shared" si="28"/>
        <v>48</v>
      </c>
      <c r="AK86" s="368">
        <f t="shared" si="28"/>
        <v>20</v>
      </c>
      <c r="AL86" s="368">
        <f t="shared" si="28"/>
        <v>4</v>
      </c>
      <c r="AM86" s="369">
        <f t="shared" si="28"/>
        <v>116</v>
      </c>
    </row>
    <row r="87" spans="2:39">
      <c r="B87" s="64"/>
      <c r="C87" s="20"/>
      <c r="D87" s="20"/>
      <c r="E87" s="250"/>
      <c r="F87" s="64"/>
      <c r="G87" s="64"/>
      <c r="H87" s="64"/>
      <c r="I87" s="64"/>
      <c r="J87" s="64"/>
      <c r="K87" s="20"/>
      <c r="L87" s="20"/>
      <c r="M87" s="20"/>
      <c r="N87" s="20"/>
      <c r="O87" s="250"/>
      <c r="P87" s="20"/>
      <c r="Q87" s="20"/>
      <c r="R87" s="20"/>
      <c r="S87" s="250"/>
      <c r="T87" s="20"/>
      <c r="U87" s="20"/>
      <c r="V87" s="11"/>
      <c r="W87" s="20"/>
      <c r="Y87" s="60" t="s">
        <v>90</v>
      </c>
      <c r="Z87" s="470">
        <v>0</v>
      </c>
      <c r="AA87" s="359">
        <v>0</v>
      </c>
      <c r="AB87" s="359">
        <f>1</f>
        <v>1</v>
      </c>
      <c r="AC87" s="470">
        <f>1</f>
        <v>1</v>
      </c>
      <c r="AD87" s="470">
        <f>1</f>
        <v>1</v>
      </c>
      <c r="AE87" s="60">
        <f t="shared" si="27"/>
        <v>3</v>
      </c>
      <c r="AG87" s="270" t="s">
        <v>492</v>
      </c>
      <c r="AH87" s="370">
        <f>PRODUCT(AH86*AI64)</f>
        <v>0</v>
      </c>
      <c r="AI87" s="418">
        <f>PRODUCT(AI86*AI65)</f>
        <v>720.23159999999996</v>
      </c>
      <c r="AJ87" s="418">
        <f>PRODUCT(AJ86*AI66)</f>
        <v>803.84159999999997</v>
      </c>
      <c r="AK87" s="418">
        <f>PRODUCT(AK86*AI67)</f>
        <v>337.73200000000003</v>
      </c>
      <c r="AL87" s="418">
        <f>PRODUCT(AL86*AI68)</f>
        <v>68</v>
      </c>
      <c r="AM87" s="419">
        <f>SUM(AH87:AL87)</f>
        <v>1929.8051999999998</v>
      </c>
    </row>
    <row r="88" spans="2:39">
      <c r="B88" s="64"/>
      <c r="C88" s="20"/>
      <c r="D88" s="20"/>
      <c r="E88" s="250"/>
      <c r="F88" s="64"/>
      <c r="G88" s="64"/>
      <c r="H88" s="64"/>
      <c r="I88" s="64"/>
      <c r="J88" s="64"/>
      <c r="K88" s="20"/>
      <c r="L88" s="20"/>
      <c r="M88" s="20"/>
      <c r="N88" s="20"/>
      <c r="O88" s="250"/>
      <c r="P88" s="20"/>
      <c r="Q88" s="20"/>
      <c r="R88" s="20"/>
      <c r="S88" s="250"/>
      <c r="T88" s="20"/>
      <c r="U88" s="20"/>
      <c r="V88" s="11"/>
      <c r="W88" s="20"/>
      <c r="Y88" s="60" t="s">
        <v>91</v>
      </c>
      <c r="Z88" s="470">
        <v>0</v>
      </c>
      <c r="AA88" s="359">
        <f>2+3+1+2+1+1</f>
        <v>10</v>
      </c>
      <c r="AB88" s="470">
        <f>1+1</f>
        <v>2</v>
      </c>
      <c r="AC88" s="470">
        <f>1</f>
        <v>1</v>
      </c>
      <c r="AD88" s="470">
        <v>0</v>
      </c>
      <c r="AE88" s="60">
        <f t="shared" si="27"/>
        <v>13</v>
      </c>
      <c r="AG88" s="270" t="s">
        <v>526</v>
      </c>
      <c r="AH88" s="370">
        <f>AH86*AH64</f>
        <v>0</v>
      </c>
      <c r="AI88" s="370">
        <f>AI86*AH65</f>
        <v>6600</v>
      </c>
      <c r="AJ88" s="370">
        <f>AJ86*AH66</f>
        <v>9600</v>
      </c>
      <c r="AK88" s="370">
        <f>AK86*AH67</f>
        <v>5000</v>
      </c>
      <c r="AL88" s="370">
        <f>AL86*AH68</f>
        <v>1200</v>
      </c>
      <c r="AM88" s="270">
        <f>SUM(AH88:AL88)</f>
        <v>22400</v>
      </c>
    </row>
    <row r="89" spans="2:39">
      <c r="B89" s="64"/>
      <c r="C89" s="20"/>
      <c r="D89" s="20"/>
      <c r="E89" s="250"/>
      <c r="F89" s="64"/>
      <c r="G89" s="64"/>
      <c r="H89" s="64"/>
      <c r="I89" s="64"/>
      <c r="J89" s="64"/>
      <c r="K89" s="20"/>
      <c r="L89" s="20"/>
      <c r="M89" s="20"/>
      <c r="N89" s="20"/>
      <c r="O89" s="250"/>
      <c r="P89" s="20"/>
      <c r="Q89" s="20"/>
      <c r="R89" s="20"/>
      <c r="S89" s="250"/>
      <c r="T89" s="20"/>
      <c r="U89" s="20"/>
      <c r="V89" s="11"/>
      <c r="W89" s="20"/>
      <c r="Y89" s="60" t="s">
        <v>92</v>
      </c>
      <c r="Z89" s="470">
        <v>0</v>
      </c>
      <c r="AA89" s="359">
        <f>2+2</f>
        <v>4</v>
      </c>
      <c r="AB89" s="470">
        <f>6+1</f>
        <v>7</v>
      </c>
      <c r="AC89" s="470">
        <v>0</v>
      </c>
      <c r="AD89" s="470">
        <v>0</v>
      </c>
      <c r="AE89" s="60">
        <f t="shared" si="27"/>
        <v>11</v>
      </c>
    </row>
    <row r="90" spans="2:39">
      <c r="B90" s="64"/>
      <c r="C90" s="20"/>
      <c r="D90" s="20"/>
      <c r="E90" s="250"/>
      <c r="F90" s="64"/>
      <c r="G90" s="64"/>
      <c r="H90" s="64"/>
      <c r="I90" s="64"/>
      <c r="J90" s="64"/>
      <c r="K90" s="20"/>
      <c r="L90" s="20"/>
      <c r="M90" s="20"/>
      <c r="N90" s="20"/>
      <c r="O90" s="250"/>
      <c r="P90" s="20"/>
      <c r="Q90" s="20"/>
      <c r="R90" s="20"/>
      <c r="S90" s="250"/>
      <c r="T90" s="20"/>
      <c r="U90" s="20"/>
      <c r="V90" s="11"/>
      <c r="W90" s="20"/>
      <c r="Y90" s="60" t="s">
        <v>93</v>
      </c>
      <c r="Z90" s="470">
        <v>0</v>
      </c>
      <c r="AA90" s="359">
        <v>0</v>
      </c>
      <c r="AB90" s="470">
        <f>1+1</f>
        <v>2</v>
      </c>
      <c r="AC90" s="470">
        <f>3</f>
        <v>3</v>
      </c>
      <c r="AD90" s="470">
        <v>0</v>
      </c>
      <c r="AE90" s="60">
        <f t="shared" si="27"/>
        <v>5</v>
      </c>
    </row>
    <row r="91" spans="2:39">
      <c r="B91" s="64"/>
      <c r="C91" s="20"/>
      <c r="D91" s="20"/>
      <c r="E91" s="250"/>
      <c r="F91" s="64"/>
      <c r="G91" s="64"/>
      <c r="H91" s="64"/>
      <c r="I91" s="64"/>
      <c r="J91" s="64"/>
      <c r="K91" s="20"/>
      <c r="L91" s="20"/>
      <c r="M91" s="20"/>
      <c r="N91" s="20"/>
      <c r="O91" s="250"/>
      <c r="P91" s="20"/>
      <c r="Q91" s="20"/>
      <c r="R91" s="20"/>
      <c r="S91" s="250"/>
      <c r="T91" s="20"/>
      <c r="U91" s="20"/>
      <c r="V91" s="11"/>
      <c r="W91" s="20"/>
      <c r="Y91" s="60" t="s">
        <v>94</v>
      </c>
      <c r="Z91" s="470">
        <v>0</v>
      </c>
      <c r="AA91" s="417">
        <f>1</f>
        <v>1</v>
      </c>
      <c r="AB91" s="470">
        <f>1+1</f>
        <v>2</v>
      </c>
      <c r="AC91" s="470">
        <f>4</f>
        <v>4</v>
      </c>
      <c r="AD91" s="470">
        <v>0</v>
      </c>
      <c r="AE91" s="60">
        <f t="shared" si="27"/>
        <v>7</v>
      </c>
    </row>
    <row r="92" spans="2:39">
      <c r="B92" s="64"/>
      <c r="C92" s="20"/>
      <c r="D92" s="20"/>
      <c r="E92" s="250"/>
      <c r="F92" s="64"/>
      <c r="G92" s="64"/>
      <c r="H92" s="64"/>
      <c r="I92" s="64"/>
      <c r="J92" s="64"/>
      <c r="K92" s="20"/>
      <c r="L92" s="20"/>
      <c r="M92" s="20"/>
      <c r="N92" s="20"/>
      <c r="O92" s="250"/>
      <c r="P92" s="20"/>
      <c r="Q92" s="20"/>
      <c r="R92" s="20"/>
      <c r="S92" s="250"/>
      <c r="T92" s="20"/>
      <c r="U92" s="20"/>
      <c r="V92" s="11"/>
      <c r="W92" s="20"/>
      <c r="Y92" s="366" t="s">
        <v>482</v>
      </c>
      <c r="Z92" s="367">
        <v>0</v>
      </c>
      <c r="AA92" s="367">
        <f>1</f>
        <v>1</v>
      </c>
      <c r="AB92" s="367">
        <f>2</f>
        <v>2</v>
      </c>
      <c r="AC92" s="367">
        <v>0</v>
      </c>
      <c r="AD92" s="367">
        <v>0</v>
      </c>
      <c r="AE92" s="366">
        <f t="shared" si="27"/>
        <v>3</v>
      </c>
    </row>
    <row r="93" spans="2:39">
      <c r="B93" s="64"/>
      <c r="C93" s="20"/>
      <c r="D93" s="20"/>
      <c r="E93" s="250"/>
      <c r="F93" s="64"/>
      <c r="G93" s="64"/>
      <c r="H93" s="64"/>
      <c r="I93" s="64"/>
      <c r="J93" s="64"/>
      <c r="K93" s="20"/>
      <c r="L93" s="20"/>
      <c r="M93" s="20"/>
      <c r="N93" s="20"/>
      <c r="O93" s="250"/>
      <c r="P93" s="20"/>
      <c r="Q93" s="20"/>
      <c r="R93" s="20"/>
      <c r="S93" s="250"/>
      <c r="T93" s="20"/>
      <c r="U93" s="20"/>
      <c r="V93" s="11"/>
      <c r="W93" s="20"/>
      <c r="Y93" s="270" t="s">
        <v>493</v>
      </c>
      <c r="Z93" s="368">
        <f t="shared" ref="Z93:AE93" si="29">SUM(Z81:Z92)</f>
        <v>0</v>
      </c>
      <c r="AA93" s="368">
        <f t="shared" si="29"/>
        <v>44</v>
      </c>
      <c r="AB93" s="368">
        <f t="shared" si="29"/>
        <v>48</v>
      </c>
      <c r="AC93" s="368">
        <f t="shared" si="29"/>
        <v>20</v>
      </c>
      <c r="AD93" s="368">
        <f t="shared" si="29"/>
        <v>4</v>
      </c>
      <c r="AE93" s="369">
        <f t="shared" si="29"/>
        <v>116</v>
      </c>
    </row>
    <row r="94" spans="2:39">
      <c r="B94" s="64"/>
      <c r="C94" s="20"/>
      <c r="D94" s="20"/>
      <c r="E94" s="250"/>
      <c r="F94" s="64"/>
      <c r="G94" s="64"/>
      <c r="H94" s="64"/>
      <c r="I94" s="64"/>
      <c r="J94" s="64"/>
      <c r="K94" s="20"/>
      <c r="L94" s="20"/>
      <c r="M94" s="20"/>
      <c r="N94" s="20"/>
      <c r="O94" s="250"/>
      <c r="P94" s="20"/>
      <c r="Q94" s="20"/>
      <c r="R94" s="20"/>
      <c r="S94" s="250"/>
      <c r="T94" s="20"/>
      <c r="U94" s="20"/>
      <c r="V94" s="11"/>
      <c r="W94" s="20"/>
      <c r="Y94" s="270" t="s">
        <v>492</v>
      </c>
      <c r="Z94" s="418">
        <f>PRODUCT(Z93*AI64)</f>
        <v>0</v>
      </c>
      <c r="AA94" s="418">
        <f>PRODUCT(AA93*AI65)</f>
        <v>720.23159999999996</v>
      </c>
      <c r="AB94" s="418">
        <f>PRODUCT(AB93*AI66)</f>
        <v>803.84159999999997</v>
      </c>
      <c r="AC94" s="418">
        <f>PRODUCT(AC93*AI67)</f>
        <v>337.73200000000003</v>
      </c>
      <c r="AD94" s="418">
        <f>PRODUCT(AD93*AI68)</f>
        <v>68</v>
      </c>
      <c r="AE94" s="419">
        <f>SUM(Z94:AD94)</f>
        <v>1929.8051999999998</v>
      </c>
    </row>
    <row r="95" spans="2:39">
      <c r="B95" s="64"/>
      <c r="C95" s="20"/>
      <c r="D95" s="20"/>
      <c r="E95" s="250"/>
      <c r="F95" s="64"/>
      <c r="G95" s="64"/>
      <c r="H95" s="64"/>
      <c r="I95" s="64"/>
      <c r="J95" s="64"/>
      <c r="K95" s="20"/>
      <c r="L95" s="20"/>
      <c r="M95" s="20"/>
      <c r="N95" s="20"/>
      <c r="O95" s="250"/>
      <c r="P95" s="20"/>
      <c r="Q95" s="20"/>
      <c r="R95" s="20"/>
      <c r="S95" s="250"/>
      <c r="T95" s="20"/>
      <c r="U95" s="20"/>
      <c r="V95" s="11"/>
      <c r="W95" s="20"/>
      <c r="Y95" s="270" t="s">
        <v>526</v>
      </c>
      <c r="Z95" s="370">
        <f>Z93*AH64</f>
        <v>0</v>
      </c>
      <c r="AA95" s="370">
        <f>AA93*AH65</f>
        <v>6600</v>
      </c>
      <c r="AB95" s="370">
        <f>AB93*AH66</f>
        <v>9600</v>
      </c>
      <c r="AC95" s="370">
        <f>AC93*AH67</f>
        <v>5000</v>
      </c>
      <c r="AD95" s="370">
        <f>AD93*AH68</f>
        <v>1200</v>
      </c>
      <c r="AE95" s="270">
        <f>SUM(Z95:AD95)</f>
        <v>22400</v>
      </c>
    </row>
    <row r="96" spans="2:39">
      <c r="B96" s="64"/>
      <c r="C96" s="20"/>
      <c r="D96" s="20"/>
      <c r="E96" s="250"/>
      <c r="F96" s="64"/>
      <c r="G96" s="64"/>
      <c r="H96" s="64"/>
      <c r="I96" s="64"/>
      <c r="J96" s="64"/>
      <c r="K96" s="20"/>
      <c r="L96" s="20"/>
      <c r="M96" s="20"/>
      <c r="N96" s="20"/>
      <c r="O96" s="250"/>
      <c r="P96" s="20"/>
      <c r="Q96" s="20"/>
      <c r="R96" s="20"/>
      <c r="S96" s="250"/>
      <c r="T96" s="20"/>
      <c r="U96" s="20"/>
      <c r="V96" s="11"/>
      <c r="W96" s="20"/>
    </row>
    <row r="97" spans="2:23">
      <c r="B97" s="64"/>
      <c r="C97" s="20"/>
      <c r="D97" s="20"/>
      <c r="E97" s="250"/>
      <c r="F97" s="64"/>
      <c r="G97" s="64"/>
      <c r="H97" s="64"/>
      <c r="I97" s="64"/>
      <c r="J97" s="64"/>
      <c r="K97" s="20"/>
      <c r="L97" s="20"/>
      <c r="M97" s="20"/>
      <c r="N97" s="20"/>
      <c r="O97" s="250"/>
      <c r="P97" s="20"/>
      <c r="Q97" s="20"/>
      <c r="R97" s="20"/>
      <c r="S97" s="250"/>
      <c r="T97" s="20"/>
      <c r="U97" s="20"/>
      <c r="V97" s="11"/>
      <c r="W97" s="20"/>
    </row>
    <row r="98" spans="2:23">
      <c r="B98" s="64"/>
      <c r="C98" s="20"/>
      <c r="D98" s="20"/>
      <c r="E98" s="250"/>
      <c r="F98" s="64"/>
      <c r="G98" s="64"/>
      <c r="H98" s="64"/>
      <c r="I98" s="64"/>
      <c r="J98" s="64"/>
      <c r="K98" s="20"/>
      <c r="L98" s="20"/>
      <c r="M98" s="20"/>
      <c r="N98" s="20"/>
      <c r="O98" s="250"/>
      <c r="P98" s="20"/>
      <c r="Q98" s="20"/>
      <c r="R98" s="20"/>
      <c r="S98" s="250"/>
      <c r="T98" s="20"/>
      <c r="U98" s="20"/>
      <c r="V98" s="11"/>
      <c r="W98" s="20"/>
    </row>
    <row r="99" spans="2:23">
      <c r="B99" s="64"/>
      <c r="C99" s="20"/>
      <c r="D99" s="20"/>
      <c r="E99" s="250"/>
      <c r="F99" s="64"/>
      <c r="G99" s="64"/>
      <c r="H99" s="64"/>
      <c r="I99" s="64"/>
      <c r="J99" s="64"/>
      <c r="K99" s="20"/>
      <c r="L99" s="20"/>
      <c r="M99" s="20"/>
      <c r="N99" s="20"/>
      <c r="O99" s="250"/>
      <c r="P99" s="20"/>
      <c r="Q99" s="20"/>
      <c r="R99" s="20"/>
      <c r="S99" s="250"/>
      <c r="T99" s="20"/>
      <c r="U99" s="20"/>
      <c r="V99" s="11"/>
      <c r="W99" s="20"/>
    </row>
    <row r="100" spans="2:23">
      <c r="B100" s="64"/>
      <c r="C100" s="20"/>
      <c r="D100" s="20"/>
      <c r="E100" s="250"/>
      <c r="F100" s="64"/>
      <c r="G100" s="64"/>
      <c r="H100" s="64"/>
      <c r="I100" s="64"/>
      <c r="J100" s="64"/>
      <c r="K100" s="20"/>
      <c r="L100" s="20"/>
      <c r="M100" s="20"/>
      <c r="N100" s="20"/>
      <c r="O100" s="250"/>
      <c r="P100" s="20"/>
      <c r="Q100" s="20"/>
      <c r="R100" s="20"/>
      <c r="S100" s="250"/>
      <c r="T100" s="20"/>
      <c r="U100" s="20"/>
      <c r="V100" s="11"/>
      <c r="W100" s="20"/>
    </row>
    <row r="101" spans="2:23">
      <c r="B101" s="64"/>
      <c r="C101" s="20"/>
      <c r="D101" s="20"/>
      <c r="E101" s="250"/>
      <c r="F101" s="64"/>
      <c r="G101" s="64"/>
      <c r="H101" s="64"/>
      <c r="I101" s="64"/>
      <c r="J101" s="64"/>
      <c r="K101" s="20"/>
      <c r="L101" s="20"/>
      <c r="M101" s="20"/>
      <c r="N101" s="20"/>
      <c r="O101" s="250"/>
      <c r="P101" s="20"/>
      <c r="Q101" s="20"/>
      <c r="R101" s="20"/>
      <c r="S101" s="250"/>
      <c r="T101" s="20"/>
      <c r="U101" s="20"/>
      <c r="V101" s="11"/>
      <c r="W101" s="20"/>
    </row>
    <row r="102" spans="2:23">
      <c r="B102" s="64"/>
      <c r="C102" s="20"/>
      <c r="D102" s="20"/>
      <c r="E102" s="250"/>
      <c r="F102" s="64"/>
      <c r="G102" s="64"/>
      <c r="H102" s="64"/>
      <c r="I102" s="64"/>
      <c r="J102" s="64"/>
      <c r="K102" s="20"/>
      <c r="L102" s="20"/>
      <c r="M102" s="20"/>
      <c r="N102" s="20"/>
      <c r="O102" s="250"/>
      <c r="P102" s="20"/>
      <c r="Q102" s="20"/>
      <c r="R102" s="20"/>
      <c r="S102" s="250"/>
      <c r="T102" s="20"/>
      <c r="U102" s="20"/>
      <c r="V102" s="11"/>
      <c r="W102" s="20"/>
    </row>
    <row r="103" spans="2:23">
      <c r="B103" s="64"/>
      <c r="C103" s="20"/>
      <c r="D103" s="20"/>
      <c r="E103" s="250"/>
      <c r="F103" s="64"/>
      <c r="G103" s="64"/>
      <c r="H103" s="64"/>
      <c r="I103" s="64"/>
      <c r="J103" s="64"/>
      <c r="K103" s="20"/>
      <c r="L103" s="20"/>
      <c r="M103" s="20"/>
      <c r="N103" s="20"/>
      <c r="O103" s="250"/>
      <c r="P103" s="20"/>
      <c r="Q103" s="20"/>
      <c r="R103" s="20"/>
      <c r="S103" s="250"/>
      <c r="T103" s="20"/>
      <c r="U103" s="20"/>
      <c r="V103" s="11"/>
      <c r="W103" s="20"/>
    </row>
    <row r="104" spans="2:23">
      <c r="B104" s="64"/>
      <c r="C104" s="20"/>
      <c r="D104" s="20"/>
      <c r="E104" s="250"/>
      <c r="F104" s="64"/>
      <c r="G104" s="64"/>
      <c r="H104" s="64"/>
      <c r="I104" s="64"/>
      <c r="J104" s="64"/>
      <c r="K104" s="20"/>
      <c r="L104" s="20"/>
      <c r="M104" s="20"/>
      <c r="N104" s="20"/>
      <c r="O104" s="250"/>
      <c r="P104" s="20"/>
      <c r="Q104" s="20"/>
      <c r="R104" s="20"/>
      <c r="S104" s="250"/>
      <c r="T104" s="20"/>
      <c r="U104" s="20"/>
      <c r="V104" s="11"/>
      <c r="W104" s="20"/>
    </row>
    <row r="105" spans="2:23">
      <c r="B105" s="64"/>
      <c r="C105" s="20"/>
      <c r="D105" s="20"/>
      <c r="E105" s="250"/>
      <c r="F105" s="64"/>
      <c r="G105" s="64"/>
      <c r="H105" s="64"/>
      <c r="I105" s="64"/>
      <c r="J105" s="64"/>
      <c r="K105" s="20"/>
      <c r="L105" s="20"/>
      <c r="M105" s="20"/>
      <c r="N105" s="20"/>
      <c r="O105" s="250"/>
      <c r="P105" s="20"/>
      <c r="Q105" s="20"/>
      <c r="R105" s="20"/>
      <c r="S105" s="250"/>
      <c r="T105" s="20"/>
      <c r="U105" s="20"/>
      <c r="V105" s="11"/>
      <c r="W105" s="20"/>
    </row>
    <row r="106" spans="2:23">
      <c r="B106" s="64"/>
      <c r="C106" s="20"/>
      <c r="D106" s="20"/>
      <c r="E106" s="250"/>
      <c r="F106" s="64"/>
      <c r="G106" s="64"/>
      <c r="H106" s="64"/>
      <c r="I106" s="64"/>
      <c r="J106" s="64"/>
      <c r="K106" s="20"/>
      <c r="L106" s="20"/>
      <c r="M106" s="20"/>
      <c r="N106" s="20"/>
      <c r="O106" s="250"/>
      <c r="P106" s="20"/>
      <c r="Q106" s="20"/>
      <c r="R106" s="20"/>
      <c r="S106" s="250"/>
      <c r="T106" s="20"/>
      <c r="U106" s="20"/>
      <c r="V106" s="11"/>
      <c r="W106" s="20"/>
    </row>
    <row r="107" spans="2:23">
      <c r="B107" s="64"/>
      <c r="C107" s="20"/>
      <c r="D107" s="20"/>
      <c r="E107" s="250"/>
      <c r="F107" s="64"/>
      <c r="G107" s="64"/>
      <c r="H107" s="64"/>
      <c r="I107" s="64"/>
      <c r="J107" s="64"/>
      <c r="K107" s="20"/>
      <c r="L107" s="20"/>
      <c r="M107" s="20"/>
      <c r="N107" s="20"/>
      <c r="O107" s="250"/>
      <c r="P107" s="20"/>
      <c r="Q107" s="20"/>
      <c r="R107" s="20"/>
      <c r="S107" s="250"/>
      <c r="T107" s="20"/>
      <c r="U107" s="20"/>
      <c r="V107" s="11"/>
      <c r="W107" s="20"/>
    </row>
    <row r="108" spans="2:23">
      <c r="B108" s="64"/>
      <c r="C108" s="20"/>
      <c r="D108" s="20"/>
      <c r="E108" s="250"/>
      <c r="F108" s="64"/>
      <c r="G108" s="64"/>
      <c r="H108" s="64"/>
      <c r="I108" s="64"/>
      <c r="J108" s="64"/>
      <c r="K108" s="20"/>
      <c r="L108" s="20"/>
      <c r="M108" s="20"/>
      <c r="N108" s="20"/>
      <c r="O108" s="250"/>
      <c r="P108" s="20"/>
      <c r="Q108" s="20"/>
      <c r="R108" s="20"/>
      <c r="S108" s="250"/>
      <c r="T108" s="20"/>
      <c r="U108" s="20"/>
      <c r="V108" s="11"/>
      <c r="W108" s="20"/>
    </row>
    <row r="109" spans="2:23">
      <c r="B109" s="64"/>
      <c r="C109" s="20"/>
      <c r="D109" s="20"/>
      <c r="E109" s="250"/>
      <c r="F109" s="64"/>
      <c r="G109" s="64"/>
      <c r="H109" s="64"/>
      <c r="I109" s="64"/>
      <c r="J109" s="64"/>
      <c r="K109" s="20"/>
      <c r="L109" s="20"/>
      <c r="M109" s="20"/>
      <c r="N109" s="20"/>
      <c r="O109" s="250"/>
      <c r="P109" s="20"/>
      <c r="Q109" s="20"/>
      <c r="R109" s="20"/>
      <c r="S109" s="250"/>
      <c r="T109" s="20"/>
      <c r="U109" s="20"/>
      <c r="V109" s="11"/>
      <c r="W109" s="20"/>
    </row>
    <row r="110" spans="2:23">
      <c r="B110" s="64"/>
      <c r="C110" s="20"/>
      <c r="D110" s="20"/>
      <c r="E110" s="250"/>
      <c r="F110" s="64"/>
      <c r="G110" s="64"/>
      <c r="H110" s="64"/>
      <c r="I110" s="64"/>
      <c r="J110" s="64"/>
      <c r="K110" s="20"/>
      <c r="L110" s="20"/>
      <c r="M110" s="20"/>
      <c r="N110" s="20"/>
      <c r="O110" s="250"/>
      <c r="P110" s="20"/>
      <c r="Q110" s="20"/>
      <c r="R110" s="20"/>
      <c r="S110" s="250"/>
      <c r="T110" s="20"/>
      <c r="U110" s="20"/>
      <c r="V110" s="11"/>
      <c r="W110" s="20"/>
    </row>
    <row r="111" spans="2:23">
      <c r="B111" s="64"/>
      <c r="C111" s="20"/>
      <c r="D111" s="20"/>
      <c r="E111" s="250"/>
      <c r="F111" s="64"/>
      <c r="G111" s="64"/>
      <c r="H111" s="64"/>
      <c r="I111" s="64"/>
      <c r="J111" s="64"/>
      <c r="K111" s="20"/>
      <c r="L111" s="20"/>
      <c r="M111" s="20"/>
      <c r="N111" s="20"/>
      <c r="O111" s="250"/>
      <c r="P111" s="20"/>
      <c r="Q111" s="20"/>
      <c r="R111" s="20"/>
      <c r="S111" s="250"/>
      <c r="T111" s="20"/>
      <c r="U111" s="20"/>
      <c r="V111" s="11"/>
      <c r="W111" s="20"/>
    </row>
    <row r="112" spans="2:23">
      <c r="B112" s="64"/>
      <c r="C112" s="20"/>
      <c r="D112" s="20"/>
      <c r="E112" s="250"/>
      <c r="F112" s="64"/>
      <c r="G112" s="64"/>
      <c r="H112" s="64"/>
      <c r="I112" s="64"/>
      <c r="J112" s="64"/>
      <c r="K112" s="20"/>
      <c r="L112" s="20"/>
      <c r="M112" s="20"/>
      <c r="N112" s="20"/>
      <c r="O112" s="250"/>
      <c r="P112" s="20"/>
      <c r="Q112" s="20"/>
      <c r="R112" s="20"/>
      <c r="S112" s="250"/>
      <c r="T112" s="20"/>
      <c r="U112" s="20"/>
      <c r="V112" s="11"/>
      <c r="W112" s="20"/>
    </row>
    <row r="113" spans="1:23">
      <c r="B113" s="64"/>
      <c r="C113" s="20"/>
      <c r="D113" s="20"/>
      <c r="E113" s="250"/>
      <c r="F113" s="64"/>
      <c r="G113" s="64"/>
      <c r="H113" s="64"/>
      <c r="I113" s="64"/>
      <c r="J113" s="64"/>
      <c r="K113" s="20"/>
      <c r="L113" s="20"/>
      <c r="M113" s="20"/>
      <c r="N113" s="20"/>
      <c r="O113" s="250"/>
      <c r="P113" s="20"/>
      <c r="Q113" s="20"/>
      <c r="R113" s="20"/>
      <c r="S113" s="250"/>
      <c r="T113" s="20"/>
      <c r="U113" s="20"/>
      <c r="V113" s="11"/>
      <c r="W113" s="20"/>
    </row>
    <row r="114" spans="1:23">
      <c r="B114" s="64"/>
      <c r="C114" s="20"/>
      <c r="D114" s="20"/>
      <c r="E114" s="250"/>
      <c r="F114" s="64"/>
      <c r="G114" s="64"/>
      <c r="H114" s="64"/>
      <c r="I114" s="64"/>
      <c r="J114" s="64"/>
      <c r="K114" s="20"/>
      <c r="L114" s="20"/>
      <c r="M114" s="20"/>
      <c r="N114" s="20"/>
      <c r="O114" s="250"/>
      <c r="P114" s="20"/>
      <c r="Q114" s="20"/>
      <c r="R114" s="20"/>
      <c r="S114" s="250"/>
      <c r="T114" s="20"/>
      <c r="U114" s="20"/>
      <c r="V114" s="11"/>
      <c r="W114" s="20"/>
    </row>
    <row r="115" spans="1:23">
      <c r="B115" s="64"/>
      <c r="C115" s="20"/>
      <c r="D115" s="20"/>
      <c r="E115" s="250"/>
      <c r="F115" s="64"/>
      <c r="G115" s="64"/>
      <c r="H115" s="64"/>
      <c r="I115" s="64"/>
      <c r="J115" s="64"/>
      <c r="K115" s="20"/>
      <c r="L115" s="20"/>
      <c r="M115" s="20"/>
      <c r="N115" s="20"/>
      <c r="O115" s="250"/>
      <c r="P115" s="20"/>
      <c r="Q115" s="20"/>
      <c r="R115" s="20"/>
      <c r="S115" s="250"/>
      <c r="T115" s="20"/>
      <c r="U115" s="20"/>
      <c r="V115" s="11"/>
      <c r="W115" s="20"/>
    </row>
    <row r="116" spans="1:23">
      <c r="B116" s="64"/>
      <c r="C116" s="20"/>
      <c r="D116" s="20"/>
      <c r="E116" s="250"/>
      <c r="F116" s="64"/>
      <c r="G116" s="64"/>
      <c r="H116" s="64"/>
      <c r="I116" s="64"/>
      <c r="J116" s="64"/>
      <c r="K116" s="20"/>
      <c r="L116" s="20"/>
      <c r="M116" s="20"/>
      <c r="N116" s="20"/>
      <c r="O116" s="250"/>
      <c r="P116" s="20"/>
      <c r="Q116" s="20"/>
      <c r="R116" s="20"/>
      <c r="S116" s="250"/>
      <c r="T116" s="20"/>
      <c r="U116" s="20"/>
      <c r="V116" s="11"/>
      <c r="W116" s="20"/>
    </row>
    <row r="117" spans="1:23">
      <c r="B117" s="64"/>
      <c r="C117" s="20"/>
      <c r="D117" s="20"/>
      <c r="E117" s="250"/>
      <c r="F117" s="64"/>
      <c r="G117" s="64"/>
      <c r="H117" s="64"/>
      <c r="I117" s="64"/>
      <c r="J117" s="64"/>
      <c r="K117" s="20"/>
      <c r="L117" s="20"/>
      <c r="M117" s="20"/>
      <c r="N117" s="20"/>
      <c r="O117" s="250"/>
      <c r="P117" s="20"/>
      <c r="Q117" s="20"/>
      <c r="R117" s="20"/>
      <c r="S117" s="250"/>
      <c r="T117" s="20"/>
      <c r="U117" s="20"/>
      <c r="V117" s="11"/>
      <c r="W117" s="20"/>
    </row>
    <row r="118" spans="1:23">
      <c r="B118" s="64"/>
      <c r="C118" s="20"/>
      <c r="D118" s="20"/>
      <c r="E118" s="250"/>
      <c r="F118" s="64"/>
      <c r="G118" s="64"/>
      <c r="H118" s="64"/>
      <c r="I118" s="64"/>
      <c r="J118" s="64"/>
      <c r="K118" s="20"/>
      <c r="L118" s="20"/>
      <c r="M118" s="20"/>
      <c r="N118" s="20"/>
      <c r="O118" s="250"/>
      <c r="P118" s="20"/>
      <c r="Q118" s="20"/>
      <c r="R118" s="20"/>
      <c r="S118" s="250"/>
      <c r="T118" s="20"/>
      <c r="U118" s="20"/>
      <c r="V118" s="11"/>
      <c r="W118" s="20"/>
    </row>
    <row r="119" spans="1:23">
      <c r="B119" s="64"/>
      <c r="C119" s="20"/>
      <c r="D119" s="20"/>
      <c r="E119" s="250"/>
      <c r="F119" s="64"/>
      <c r="G119" s="64"/>
      <c r="H119" s="64"/>
      <c r="I119" s="64"/>
      <c r="J119" s="64"/>
      <c r="K119" s="20"/>
      <c r="L119" s="20"/>
      <c r="M119" s="20"/>
      <c r="N119" s="20"/>
      <c r="O119" s="250"/>
      <c r="P119" s="20"/>
      <c r="Q119" s="20"/>
      <c r="R119" s="20"/>
      <c r="S119" s="250"/>
      <c r="T119" s="20"/>
      <c r="U119" s="20"/>
      <c r="V119" s="11"/>
      <c r="W119" s="20"/>
    </row>
    <row r="120" spans="1:23">
      <c r="B120" s="64"/>
      <c r="C120" s="20"/>
      <c r="D120" s="20"/>
      <c r="E120" s="250"/>
      <c r="F120" s="64"/>
      <c r="G120" s="64"/>
      <c r="H120" s="64"/>
      <c r="I120" s="64"/>
      <c r="J120" s="64"/>
      <c r="K120" s="20"/>
      <c r="L120" s="20"/>
      <c r="M120" s="20"/>
      <c r="N120" s="20"/>
      <c r="O120" s="250"/>
      <c r="P120" s="20"/>
      <c r="Q120" s="20"/>
      <c r="R120" s="20"/>
      <c r="S120" s="250"/>
      <c r="T120" s="20"/>
      <c r="U120" s="20"/>
      <c r="V120" s="11"/>
      <c r="W120" s="20"/>
    </row>
    <row r="121" spans="1:23">
      <c r="B121" s="64"/>
      <c r="C121" s="20"/>
      <c r="D121" s="20"/>
      <c r="E121" s="250"/>
      <c r="F121" s="64"/>
      <c r="G121" s="64"/>
      <c r="H121" s="64"/>
      <c r="I121" s="64"/>
      <c r="J121" s="64"/>
      <c r="K121" s="20"/>
      <c r="L121" s="20"/>
      <c r="M121" s="20"/>
      <c r="N121" s="20"/>
      <c r="O121" s="250"/>
      <c r="P121" s="20"/>
      <c r="Q121" s="20"/>
      <c r="R121" s="20"/>
      <c r="S121" s="250"/>
      <c r="T121" s="20"/>
      <c r="U121" s="20"/>
      <c r="V121" s="11"/>
      <c r="W121" s="20"/>
    </row>
    <row r="122" spans="1:23">
      <c r="B122" s="64"/>
      <c r="C122" s="20"/>
      <c r="D122" s="20"/>
      <c r="E122" s="250"/>
      <c r="F122" s="64"/>
      <c r="G122" s="64"/>
      <c r="H122" s="64"/>
      <c r="I122" s="64"/>
      <c r="J122" s="64"/>
      <c r="K122" s="20"/>
      <c r="L122" s="20"/>
      <c r="M122" s="20"/>
      <c r="N122" s="20"/>
      <c r="O122" s="250"/>
      <c r="P122" s="20"/>
      <c r="Q122" s="20"/>
      <c r="R122" s="20"/>
      <c r="S122" s="250"/>
      <c r="T122" s="20"/>
      <c r="U122" s="20"/>
      <c r="V122" s="11"/>
      <c r="W122" s="20"/>
    </row>
    <row r="123" spans="1:23">
      <c r="B123" s="64"/>
      <c r="C123" s="20"/>
      <c r="D123" s="20"/>
      <c r="E123" s="250"/>
      <c r="F123" s="64"/>
      <c r="G123" s="64"/>
      <c r="H123" s="64"/>
      <c r="I123" s="64"/>
      <c r="J123" s="64"/>
      <c r="K123" s="20"/>
      <c r="L123" s="20"/>
      <c r="M123" s="20"/>
      <c r="N123" s="20"/>
      <c r="O123" s="250"/>
      <c r="P123" s="20"/>
      <c r="Q123" s="20"/>
      <c r="R123" s="20"/>
      <c r="S123" s="250"/>
      <c r="T123" s="20"/>
      <c r="U123" s="20"/>
      <c r="V123" s="11"/>
      <c r="W123" s="20"/>
    </row>
    <row r="124" spans="1:23">
      <c r="A124" s="20"/>
      <c r="B124" s="64"/>
      <c r="C124" s="20"/>
      <c r="D124" s="20"/>
      <c r="E124" s="250"/>
      <c r="F124" s="64"/>
      <c r="G124" s="64"/>
      <c r="H124" s="64"/>
      <c r="I124" s="64"/>
      <c r="J124" s="64"/>
      <c r="K124" s="20"/>
      <c r="L124" s="20"/>
      <c r="M124" s="20"/>
      <c r="N124" s="20"/>
      <c r="O124" s="250"/>
      <c r="P124" s="20"/>
      <c r="Q124" s="20"/>
      <c r="R124" s="20"/>
      <c r="S124" s="250"/>
      <c r="T124" s="20"/>
      <c r="U124" s="20"/>
      <c r="V124" s="11"/>
      <c r="W124" s="20"/>
    </row>
    <row r="125" spans="1:23">
      <c r="A125" s="20"/>
      <c r="B125" s="64"/>
      <c r="C125" s="20"/>
      <c r="D125" s="20"/>
      <c r="E125" s="250"/>
      <c r="F125" s="64"/>
      <c r="G125" s="64"/>
      <c r="H125" s="64"/>
      <c r="I125" s="64"/>
      <c r="J125" s="64"/>
      <c r="K125" s="20"/>
      <c r="L125" s="20"/>
      <c r="M125" s="20"/>
      <c r="N125" s="20"/>
      <c r="O125" s="250"/>
      <c r="P125" s="20"/>
      <c r="Q125" s="20"/>
      <c r="R125" s="20"/>
      <c r="S125" s="250"/>
      <c r="T125" s="20"/>
      <c r="U125" s="20"/>
      <c r="V125" s="11"/>
      <c r="W125" s="20"/>
    </row>
    <row r="126" spans="1:23">
      <c r="A126" s="20"/>
      <c r="B126" s="64"/>
      <c r="C126" s="20"/>
      <c r="D126" s="20"/>
      <c r="E126" s="250"/>
      <c r="F126" s="64"/>
      <c r="G126" s="64"/>
      <c r="H126" s="64"/>
      <c r="I126" s="64"/>
      <c r="J126" s="64"/>
      <c r="K126" s="20"/>
      <c r="L126" s="20"/>
      <c r="M126" s="20"/>
      <c r="N126" s="20"/>
      <c r="O126" s="250"/>
      <c r="P126" s="20"/>
      <c r="Q126" s="20"/>
      <c r="R126" s="20"/>
      <c r="S126" s="250"/>
      <c r="T126" s="20"/>
      <c r="U126" s="20"/>
      <c r="V126" s="11"/>
      <c r="W126" s="20"/>
    </row>
    <row r="127" spans="1:23">
      <c r="A127" s="20"/>
      <c r="B127" s="64"/>
      <c r="C127" s="20"/>
      <c r="D127" s="20"/>
      <c r="E127" s="250"/>
      <c r="F127" s="64"/>
      <c r="G127" s="64"/>
      <c r="H127" s="64"/>
      <c r="I127" s="64"/>
      <c r="J127" s="64"/>
      <c r="K127" s="20"/>
      <c r="L127" s="20"/>
      <c r="M127" s="20"/>
      <c r="N127" s="20"/>
      <c r="O127" s="250"/>
      <c r="P127" s="20"/>
      <c r="Q127" s="20"/>
      <c r="R127" s="20"/>
      <c r="S127" s="250"/>
      <c r="T127" s="20"/>
      <c r="U127" s="20"/>
      <c r="V127" s="11"/>
      <c r="W127" s="20"/>
    </row>
    <row r="128" spans="1:23">
      <c r="A128" s="20"/>
      <c r="B128" s="64"/>
      <c r="C128" s="20"/>
      <c r="D128" s="20"/>
      <c r="E128" s="250"/>
      <c r="F128" s="64"/>
      <c r="G128" s="64"/>
      <c r="H128" s="64"/>
      <c r="I128" s="64"/>
      <c r="J128" s="64"/>
      <c r="K128" s="20"/>
      <c r="L128" s="20"/>
      <c r="M128" s="20"/>
      <c r="N128" s="20"/>
      <c r="O128" s="250"/>
      <c r="P128" s="20"/>
      <c r="Q128" s="20"/>
      <c r="R128" s="20"/>
      <c r="S128" s="250"/>
      <c r="T128" s="20"/>
      <c r="U128" s="20"/>
      <c r="V128" s="11"/>
      <c r="W128" s="20"/>
    </row>
    <row r="129" spans="1:23">
      <c r="A129" s="20"/>
      <c r="B129" s="64"/>
      <c r="C129" s="20"/>
      <c r="D129" s="20"/>
      <c r="E129" s="250"/>
      <c r="F129" s="64"/>
      <c r="G129" s="64"/>
      <c r="H129" s="64"/>
      <c r="I129" s="64"/>
      <c r="J129" s="64"/>
      <c r="K129" s="20"/>
      <c r="L129" s="20"/>
      <c r="M129" s="20"/>
      <c r="N129" s="20"/>
      <c r="O129" s="250"/>
      <c r="P129" s="20"/>
      <c r="Q129" s="20"/>
      <c r="R129" s="20"/>
      <c r="S129" s="250"/>
      <c r="T129" s="20"/>
      <c r="U129" s="20"/>
      <c r="V129" s="11"/>
      <c r="W129" s="20"/>
    </row>
    <row r="130" spans="1:23">
      <c r="A130" s="20"/>
      <c r="B130" s="64"/>
      <c r="C130" s="20"/>
      <c r="D130" s="20"/>
      <c r="E130" s="250"/>
      <c r="F130" s="64"/>
      <c r="G130" s="64"/>
      <c r="H130" s="64"/>
      <c r="I130" s="64"/>
      <c r="J130" s="64"/>
      <c r="K130" s="20"/>
      <c r="L130" s="20"/>
      <c r="M130" s="20"/>
      <c r="N130" s="20"/>
      <c r="O130" s="250"/>
      <c r="P130" s="20"/>
      <c r="Q130" s="20"/>
      <c r="R130" s="20"/>
      <c r="S130" s="250"/>
      <c r="T130" s="20"/>
      <c r="U130" s="20"/>
      <c r="V130" s="11"/>
      <c r="W130" s="20"/>
    </row>
    <row r="131" spans="1:23">
      <c r="A131" s="20"/>
      <c r="B131" s="64"/>
      <c r="C131" s="20"/>
      <c r="D131" s="20"/>
      <c r="E131" s="250"/>
      <c r="F131" s="64"/>
      <c r="G131" s="64"/>
      <c r="H131" s="64"/>
      <c r="I131" s="64"/>
      <c r="J131" s="64"/>
      <c r="K131" s="20"/>
      <c r="L131" s="20"/>
      <c r="M131" s="20"/>
      <c r="N131" s="20"/>
      <c r="O131" s="250"/>
      <c r="P131" s="20"/>
      <c r="Q131" s="20"/>
      <c r="R131" s="20"/>
      <c r="S131" s="250"/>
      <c r="T131" s="20"/>
      <c r="U131" s="20"/>
      <c r="V131" s="11"/>
      <c r="W131" s="20"/>
    </row>
    <row r="132" spans="1:23">
      <c r="A132" s="20"/>
      <c r="B132" s="64"/>
      <c r="C132" s="20"/>
      <c r="D132" s="20"/>
      <c r="E132" s="250"/>
      <c r="F132" s="64"/>
      <c r="G132" s="64"/>
      <c r="H132" s="64"/>
      <c r="I132" s="64"/>
      <c r="J132" s="64"/>
      <c r="K132" s="20"/>
      <c r="L132" s="20"/>
      <c r="M132" s="20"/>
      <c r="N132" s="20"/>
      <c r="O132" s="250"/>
      <c r="P132" s="20"/>
      <c r="Q132" s="20"/>
      <c r="R132" s="20"/>
      <c r="S132" s="250"/>
      <c r="T132" s="20"/>
      <c r="U132" s="20"/>
      <c r="V132" s="11"/>
      <c r="W132" s="20"/>
    </row>
    <row r="133" spans="1:23">
      <c r="A133" s="20"/>
      <c r="B133" s="64"/>
      <c r="C133" s="20"/>
      <c r="D133" s="20"/>
      <c r="E133" s="250"/>
      <c r="F133" s="64"/>
      <c r="G133" s="64"/>
      <c r="H133" s="64"/>
      <c r="I133" s="64"/>
      <c r="J133" s="64"/>
      <c r="K133" s="20"/>
      <c r="L133" s="20"/>
      <c r="M133" s="20"/>
      <c r="N133" s="20"/>
      <c r="O133" s="250"/>
      <c r="P133" s="20"/>
      <c r="Q133" s="20"/>
      <c r="R133" s="20"/>
      <c r="S133" s="250"/>
      <c r="T133" s="20"/>
      <c r="U133" s="20"/>
      <c r="V133" s="11"/>
      <c r="W133" s="20"/>
    </row>
    <row r="134" spans="1:23">
      <c r="A134" s="20"/>
      <c r="B134" s="64"/>
      <c r="C134" s="20"/>
      <c r="D134" s="20"/>
      <c r="E134" s="250"/>
      <c r="F134" s="64"/>
      <c r="G134" s="64"/>
      <c r="H134" s="64"/>
      <c r="I134" s="64"/>
      <c r="J134" s="64"/>
      <c r="K134" s="20"/>
      <c r="L134" s="20"/>
      <c r="M134" s="20"/>
      <c r="N134" s="20"/>
      <c r="O134" s="250"/>
      <c r="P134" s="20"/>
      <c r="Q134" s="20"/>
      <c r="R134" s="20"/>
      <c r="S134" s="250"/>
      <c r="T134" s="20"/>
      <c r="U134" s="20"/>
      <c r="V134" s="11"/>
      <c r="W134" s="20"/>
    </row>
    <row r="135" spans="1:23">
      <c r="A135" s="20"/>
      <c r="B135" s="64"/>
      <c r="C135" s="20"/>
      <c r="D135" s="20"/>
      <c r="E135" s="250"/>
      <c r="F135" s="64"/>
      <c r="G135" s="64"/>
      <c r="H135" s="64"/>
      <c r="I135" s="64"/>
      <c r="J135" s="64"/>
      <c r="K135" s="20"/>
      <c r="L135" s="20"/>
      <c r="M135" s="20"/>
      <c r="N135" s="20"/>
      <c r="O135" s="250"/>
      <c r="P135" s="20"/>
      <c r="Q135" s="20"/>
      <c r="R135" s="20"/>
      <c r="S135" s="250"/>
      <c r="T135" s="20"/>
      <c r="U135" s="20"/>
      <c r="V135" s="11"/>
      <c r="W135" s="20"/>
    </row>
    <row r="136" spans="1:23">
      <c r="A136" s="20"/>
      <c r="B136" s="64"/>
      <c r="C136" s="20"/>
      <c r="D136" s="20"/>
      <c r="E136" s="250"/>
      <c r="F136" s="64"/>
      <c r="G136" s="64"/>
      <c r="H136" s="64"/>
      <c r="I136" s="64"/>
      <c r="J136" s="64"/>
      <c r="K136" s="20"/>
      <c r="L136" s="20"/>
      <c r="M136" s="20"/>
      <c r="N136" s="20"/>
      <c r="O136" s="250"/>
      <c r="P136" s="20"/>
      <c r="Q136" s="20"/>
      <c r="R136" s="20"/>
      <c r="S136" s="250"/>
      <c r="T136" s="20"/>
      <c r="U136" s="20"/>
      <c r="V136" s="11"/>
      <c r="W136" s="20"/>
    </row>
    <row r="137" spans="1:23">
      <c r="A137" s="20"/>
      <c r="B137" s="64"/>
      <c r="C137" s="20"/>
      <c r="D137" s="20"/>
      <c r="E137" s="250"/>
      <c r="F137" s="64"/>
      <c r="G137" s="64"/>
      <c r="H137" s="64"/>
      <c r="I137" s="64"/>
      <c r="J137" s="64"/>
      <c r="K137" s="20"/>
      <c r="L137" s="20"/>
      <c r="M137" s="20"/>
      <c r="N137" s="20"/>
      <c r="O137" s="250"/>
      <c r="P137" s="20"/>
      <c r="Q137" s="20"/>
      <c r="R137" s="20"/>
      <c r="S137" s="250"/>
      <c r="T137" s="20"/>
      <c r="U137" s="20"/>
      <c r="V137" s="11"/>
      <c r="W137" s="20"/>
    </row>
    <row r="138" spans="1:23">
      <c r="A138" s="20"/>
      <c r="B138" s="64"/>
      <c r="C138" s="20"/>
      <c r="D138" s="20"/>
      <c r="E138" s="250"/>
      <c r="F138" s="64"/>
      <c r="G138" s="64"/>
      <c r="H138" s="64"/>
      <c r="I138" s="64"/>
      <c r="J138" s="64"/>
      <c r="K138" s="20"/>
      <c r="L138" s="20"/>
      <c r="M138" s="20"/>
      <c r="N138" s="20"/>
      <c r="O138" s="250"/>
      <c r="P138" s="20"/>
      <c r="Q138" s="20"/>
      <c r="R138" s="20"/>
      <c r="S138" s="250"/>
      <c r="T138" s="20"/>
      <c r="U138" s="20"/>
      <c r="V138" s="11"/>
      <c r="W138" s="20"/>
    </row>
    <row r="139" spans="1:23">
      <c r="A139" s="20"/>
      <c r="B139" s="64"/>
      <c r="C139" s="20"/>
      <c r="D139" s="20"/>
      <c r="E139" s="250"/>
      <c r="F139" s="64"/>
      <c r="G139" s="64"/>
      <c r="H139" s="64"/>
      <c r="I139" s="64"/>
      <c r="J139" s="64"/>
      <c r="K139" s="20"/>
      <c r="L139" s="20"/>
      <c r="M139" s="20"/>
      <c r="N139" s="20"/>
      <c r="O139" s="250"/>
      <c r="P139" s="20"/>
      <c r="Q139" s="20"/>
      <c r="R139" s="20"/>
      <c r="S139" s="250"/>
      <c r="T139" s="20"/>
      <c r="U139" s="20"/>
      <c r="V139" s="11"/>
      <c r="W139" s="20"/>
    </row>
    <row r="140" spans="1:23">
      <c r="A140" s="20"/>
      <c r="B140" s="64"/>
      <c r="C140" s="20"/>
      <c r="D140" s="20"/>
      <c r="E140" s="250"/>
      <c r="F140" s="64"/>
      <c r="G140" s="64"/>
      <c r="H140" s="64"/>
      <c r="I140" s="64"/>
      <c r="J140" s="64"/>
      <c r="K140" s="20"/>
      <c r="L140" s="20"/>
      <c r="M140" s="20"/>
      <c r="N140" s="20"/>
      <c r="O140" s="250"/>
      <c r="P140" s="20"/>
      <c r="Q140" s="20"/>
      <c r="R140" s="20"/>
      <c r="S140" s="250"/>
      <c r="T140" s="20"/>
      <c r="U140" s="20"/>
      <c r="V140" s="11"/>
      <c r="W140" s="20"/>
    </row>
    <row r="141" spans="1:23">
      <c r="A141" s="20"/>
      <c r="B141" s="64"/>
      <c r="C141" s="20"/>
      <c r="D141" s="20"/>
      <c r="E141" s="250"/>
      <c r="F141" s="64"/>
      <c r="G141" s="64"/>
      <c r="H141" s="64"/>
      <c r="I141" s="64"/>
      <c r="J141" s="64"/>
      <c r="K141" s="20"/>
      <c r="L141" s="20"/>
      <c r="M141" s="20"/>
      <c r="N141" s="20"/>
      <c r="O141" s="250"/>
      <c r="P141" s="20"/>
      <c r="Q141" s="20"/>
      <c r="R141" s="20"/>
      <c r="S141" s="250"/>
      <c r="T141" s="20"/>
      <c r="U141" s="20"/>
      <c r="V141" s="11"/>
      <c r="W141" s="20"/>
    </row>
    <row r="142" spans="1:23">
      <c r="A142" s="20"/>
      <c r="B142" s="64"/>
      <c r="C142" s="20"/>
      <c r="D142" s="20"/>
      <c r="E142" s="250"/>
      <c r="F142" s="64"/>
      <c r="G142" s="64"/>
      <c r="H142" s="64"/>
      <c r="I142" s="64"/>
      <c r="J142" s="64"/>
      <c r="K142" s="20"/>
      <c r="L142" s="20"/>
      <c r="M142" s="20"/>
      <c r="N142" s="20"/>
      <c r="O142" s="250"/>
      <c r="P142" s="20"/>
      <c r="Q142" s="20"/>
      <c r="R142" s="20"/>
      <c r="S142" s="250"/>
      <c r="T142" s="20"/>
      <c r="U142" s="20"/>
      <c r="V142" s="11"/>
      <c r="W142" s="20"/>
    </row>
    <row r="143" spans="1:23">
      <c r="A143" s="20"/>
      <c r="B143" s="64"/>
      <c r="C143" s="20"/>
      <c r="D143" s="20"/>
      <c r="E143" s="250"/>
      <c r="F143" s="64"/>
      <c r="G143" s="64"/>
      <c r="H143" s="64"/>
      <c r="I143" s="64"/>
      <c r="J143" s="64"/>
      <c r="K143" s="20"/>
      <c r="L143" s="20"/>
      <c r="M143" s="20"/>
      <c r="N143" s="20"/>
      <c r="O143" s="250"/>
      <c r="P143" s="20"/>
      <c r="Q143" s="20"/>
      <c r="R143" s="20"/>
      <c r="S143" s="250"/>
      <c r="T143" s="20"/>
      <c r="U143" s="20"/>
      <c r="V143" s="11"/>
      <c r="W143" s="20"/>
    </row>
    <row r="144" spans="1:23">
      <c r="A144" s="20"/>
      <c r="B144" s="64"/>
      <c r="C144" s="20"/>
      <c r="D144" s="20"/>
      <c r="E144" s="250"/>
      <c r="F144" s="64"/>
      <c r="G144" s="64"/>
      <c r="H144" s="64"/>
      <c r="I144" s="64"/>
      <c r="J144" s="64"/>
      <c r="K144" s="20"/>
      <c r="L144" s="20"/>
      <c r="M144" s="20"/>
      <c r="N144" s="20"/>
      <c r="O144" s="250"/>
      <c r="P144" s="20"/>
      <c r="Q144" s="20"/>
      <c r="R144" s="20"/>
      <c r="S144" s="250"/>
      <c r="T144" s="20"/>
      <c r="U144" s="20"/>
      <c r="V144" s="11"/>
      <c r="W144" s="20"/>
    </row>
    <row r="145" spans="1:23">
      <c r="A145" s="20"/>
      <c r="B145" s="64"/>
      <c r="C145" s="20"/>
      <c r="D145" s="20"/>
      <c r="E145" s="250"/>
      <c r="F145" s="64"/>
      <c r="G145" s="64"/>
      <c r="H145" s="64"/>
      <c r="I145" s="64"/>
      <c r="J145" s="64"/>
      <c r="K145" s="20"/>
      <c r="L145" s="20"/>
      <c r="M145" s="20"/>
      <c r="N145" s="20"/>
      <c r="O145" s="250"/>
      <c r="P145" s="20"/>
      <c r="Q145" s="20"/>
      <c r="R145" s="20"/>
      <c r="S145" s="250"/>
      <c r="T145" s="20"/>
      <c r="U145" s="20"/>
      <c r="V145" s="11"/>
      <c r="W145" s="20"/>
    </row>
    <row r="146" spans="1:23">
      <c r="A146" s="20"/>
      <c r="B146" s="64"/>
      <c r="C146" s="20"/>
      <c r="D146" s="20"/>
      <c r="E146" s="250"/>
      <c r="F146" s="64"/>
      <c r="G146" s="64"/>
      <c r="H146" s="64"/>
      <c r="I146" s="64"/>
      <c r="J146" s="64"/>
      <c r="K146" s="20"/>
      <c r="L146" s="20"/>
      <c r="M146" s="20"/>
      <c r="N146" s="20"/>
      <c r="O146" s="250"/>
      <c r="P146" s="20"/>
      <c r="Q146" s="20"/>
      <c r="R146" s="20"/>
      <c r="S146" s="250"/>
      <c r="T146" s="20"/>
      <c r="U146" s="20"/>
      <c r="V146" s="11"/>
      <c r="W146" s="20"/>
    </row>
    <row r="147" spans="1:23">
      <c r="A147" s="20"/>
      <c r="B147" s="64"/>
      <c r="C147" s="20"/>
      <c r="D147" s="20"/>
      <c r="E147" s="250"/>
      <c r="F147" s="64"/>
      <c r="G147" s="64"/>
      <c r="H147" s="64"/>
      <c r="I147" s="64"/>
      <c r="J147" s="64"/>
      <c r="K147" s="20"/>
      <c r="L147" s="20"/>
      <c r="M147" s="20"/>
      <c r="N147" s="20"/>
      <c r="O147" s="250"/>
      <c r="P147" s="20"/>
      <c r="Q147" s="20"/>
      <c r="R147" s="20"/>
      <c r="S147" s="250"/>
      <c r="T147" s="20"/>
      <c r="U147" s="20"/>
      <c r="V147" s="11"/>
      <c r="W147" s="20"/>
    </row>
    <row r="148" spans="1:23">
      <c r="A148" s="20"/>
      <c r="B148" s="64"/>
      <c r="C148" s="20"/>
      <c r="D148" s="20"/>
      <c r="E148" s="250"/>
      <c r="F148" s="64"/>
      <c r="G148" s="64"/>
      <c r="H148" s="64"/>
      <c r="I148" s="64"/>
      <c r="J148" s="64"/>
      <c r="K148" s="20"/>
      <c r="L148" s="20"/>
      <c r="M148" s="20"/>
      <c r="N148" s="20"/>
      <c r="O148" s="250"/>
      <c r="P148" s="20"/>
      <c r="Q148" s="20"/>
      <c r="R148" s="20"/>
      <c r="S148" s="250"/>
      <c r="T148" s="20"/>
      <c r="U148" s="20"/>
      <c r="V148" s="11"/>
      <c r="W148" s="20"/>
    </row>
    <row r="149" spans="1:23">
      <c r="A149" s="20"/>
      <c r="B149" s="64"/>
      <c r="C149" s="20"/>
      <c r="D149" s="20"/>
      <c r="E149" s="250"/>
      <c r="F149" s="64"/>
      <c r="G149" s="64"/>
      <c r="H149" s="64"/>
      <c r="I149" s="64"/>
      <c r="J149" s="64"/>
      <c r="K149" s="20"/>
      <c r="L149" s="20"/>
      <c r="M149" s="20"/>
      <c r="N149" s="20"/>
      <c r="O149" s="250"/>
      <c r="P149" s="20"/>
      <c r="Q149" s="20"/>
      <c r="R149" s="20"/>
      <c r="S149" s="250"/>
      <c r="T149" s="20"/>
      <c r="U149" s="20"/>
      <c r="V149" s="11"/>
      <c r="W149" s="20"/>
    </row>
    <row r="150" spans="1:23">
      <c r="A150" s="20"/>
      <c r="B150" s="64"/>
      <c r="C150" s="20"/>
      <c r="D150" s="20"/>
      <c r="E150" s="250"/>
      <c r="F150" s="64"/>
      <c r="G150" s="64"/>
      <c r="H150" s="64"/>
      <c r="I150" s="64"/>
      <c r="J150" s="64"/>
      <c r="K150" s="20"/>
      <c r="L150" s="20"/>
      <c r="M150" s="20"/>
      <c r="N150" s="20"/>
      <c r="O150" s="250"/>
      <c r="P150" s="20"/>
      <c r="Q150" s="20"/>
      <c r="R150" s="20"/>
      <c r="S150" s="250"/>
      <c r="T150" s="20"/>
      <c r="U150" s="20"/>
      <c r="V150" s="11"/>
      <c r="W150" s="20"/>
    </row>
    <row r="151" spans="1:23">
      <c r="A151" s="20"/>
      <c r="B151" s="64"/>
      <c r="C151" s="20"/>
      <c r="D151" s="20"/>
      <c r="E151" s="250"/>
      <c r="F151" s="64"/>
      <c r="G151" s="64"/>
      <c r="H151" s="64"/>
      <c r="I151" s="64"/>
      <c r="J151" s="64"/>
      <c r="K151" s="20"/>
      <c r="L151" s="20"/>
      <c r="M151" s="20"/>
      <c r="N151" s="20"/>
      <c r="O151" s="250"/>
      <c r="P151" s="20"/>
      <c r="Q151" s="20"/>
      <c r="R151" s="20"/>
      <c r="S151" s="250"/>
      <c r="T151" s="20"/>
      <c r="U151" s="20"/>
      <c r="V151" s="11"/>
      <c r="W151" s="20"/>
    </row>
    <row r="152" spans="1:23">
      <c r="A152" s="20"/>
      <c r="B152" s="64"/>
      <c r="C152" s="20"/>
      <c r="D152" s="20"/>
      <c r="E152" s="250"/>
      <c r="F152" s="64"/>
      <c r="G152" s="64"/>
      <c r="H152" s="64"/>
      <c r="I152" s="64"/>
      <c r="J152" s="64"/>
      <c r="K152" s="20"/>
      <c r="L152" s="20"/>
      <c r="M152" s="20"/>
      <c r="N152" s="20"/>
      <c r="O152" s="250"/>
      <c r="P152" s="20"/>
      <c r="Q152" s="20"/>
      <c r="R152" s="20"/>
      <c r="S152" s="250"/>
      <c r="T152" s="20"/>
      <c r="U152" s="20"/>
      <c r="V152" s="11"/>
      <c r="W152" s="20"/>
    </row>
    <row r="153" spans="1:23">
      <c r="A153" s="20"/>
      <c r="B153" s="64"/>
      <c r="C153" s="20"/>
      <c r="D153" s="20"/>
      <c r="E153" s="250"/>
      <c r="F153" s="64"/>
      <c r="G153" s="64"/>
      <c r="H153" s="64"/>
      <c r="I153" s="64"/>
      <c r="J153" s="64"/>
      <c r="K153" s="20"/>
      <c r="L153" s="20"/>
      <c r="M153" s="20"/>
      <c r="N153" s="20"/>
      <c r="O153" s="250"/>
      <c r="P153" s="20"/>
      <c r="Q153" s="20"/>
      <c r="R153" s="20"/>
      <c r="S153" s="250"/>
      <c r="T153" s="20"/>
      <c r="U153" s="20"/>
      <c r="V153" s="11"/>
      <c r="W153" s="20"/>
    </row>
    <row r="154" spans="1:23">
      <c r="A154" s="20"/>
      <c r="B154" s="64"/>
      <c r="C154" s="20"/>
      <c r="D154" s="20"/>
      <c r="E154" s="250"/>
      <c r="F154" s="64"/>
      <c r="G154" s="64"/>
      <c r="H154" s="64"/>
      <c r="I154" s="64"/>
      <c r="J154" s="64"/>
      <c r="K154" s="20"/>
      <c r="L154" s="20"/>
      <c r="M154" s="20"/>
      <c r="N154" s="20"/>
      <c r="O154" s="250"/>
      <c r="P154" s="20"/>
      <c r="Q154" s="20"/>
      <c r="R154" s="20"/>
      <c r="S154" s="250"/>
      <c r="T154" s="20"/>
      <c r="U154" s="20"/>
      <c r="V154" s="11"/>
      <c r="W154" s="20"/>
    </row>
    <row r="155" spans="1:23">
      <c r="A155" s="20"/>
      <c r="B155" s="64"/>
      <c r="C155" s="20"/>
      <c r="D155" s="20"/>
      <c r="E155" s="250"/>
      <c r="F155" s="64"/>
      <c r="G155" s="64"/>
      <c r="H155" s="64"/>
      <c r="I155" s="64"/>
      <c r="J155" s="64"/>
      <c r="K155" s="20"/>
      <c r="L155" s="20"/>
      <c r="M155" s="20"/>
      <c r="N155" s="20"/>
      <c r="O155" s="250"/>
      <c r="P155" s="20"/>
      <c r="Q155" s="20"/>
      <c r="R155" s="20"/>
      <c r="S155" s="250"/>
      <c r="T155" s="20"/>
      <c r="U155" s="20"/>
      <c r="V155" s="11"/>
      <c r="W155" s="20"/>
    </row>
    <row r="156" spans="1:23">
      <c r="A156" s="20"/>
      <c r="B156" s="64"/>
      <c r="C156" s="20"/>
      <c r="D156" s="20"/>
      <c r="E156" s="250"/>
      <c r="F156" s="64"/>
      <c r="G156" s="64"/>
      <c r="H156" s="64"/>
      <c r="I156" s="64"/>
      <c r="J156" s="64"/>
      <c r="K156" s="20"/>
      <c r="L156" s="20"/>
      <c r="M156" s="20"/>
      <c r="N156" s="20"/>
      <c r="O156" s="250"/>
      <c r="P156" s="20"/>
      <c r="Q156" s="20"/>
      <c r="R156" s="20"/>
      <c r="S156" s="250"/>
      <c r="T156" s="20"/>
      <c r="U156" s="20"/>
      <c r="V156" s="11"/>
      <c r="W156" s="20"/>
    </row>
    <row r="157" spans="1:23">
      <c r="A157" s="20"/>
      <c r="B157" s="64"/>
      <c r="C157" s="20"/>
      <c r="D157" s="20"/>
      <c r="E157" s="250"/>
      <c r="F157" s="64"/>
      <c r="G157" s="64"/>
      <c r="H157" s="64"/>
      <c r="I157" s="64"/>
      <c r="J157" s="64"/>
      <c r="K157" s="20"/>
      <c r="L157" s="20"/>
      <c r="M157" s="20"/>
      <c r="N157" s="20"/>
      <c r="O157" s="250"/>
      <c r="P157" s="20"/>
      <c r="Q157" s="20"/>
      <c r="R157" s="20"/>
      <c r="S157" s="250"/>
      <c r="T157" s="20"/>
      <c r="U157" s="20"/>
      <c r="V157" s="11"/>
      <c r="W157" s="20"/>
    </row>
    <row r="158" spans="1:23">
      <c r="A158" s="20"/>
      <c r="B158" s="64"/>
      <c r="C158" s="20"/>
      <c r="D158" s="20"/>
      <c r="E158" s="250"/>
      <c r="F158" s="64"/>
      <c r="G158" s="64"/>
      <c r="H158" s="64"/>
      <c r="I158" s="64"/>
      <c r="J158" s="64"/>
      <c r="K158" s="20"/>
      <c r="L158" s="20"/>
      <c r="M158" s="20"/>
      <c r="N158" s="20"/>
      <c r="O158" s="250"/>
      <c r="P158" s="20"/>
      <c r="Q158" s="20"/>
      <c r="R158" s="20"/>
      <c r="S158" s="250"/>
      <c r="T158" s="20"/>
      <c r="U158" s="20"/>
      <c r="V158" s="11"/>
      <c r="W158" s="20"/>
    </row>
    <row r="159" spans="1:23">
      <c r="A159" s="20"/>
      <c r="B159" s="64"/>
      <c r="C159" s="20"/>
      <c r="D159" s="20"/>
      <c r="E159" s="250"/>
      <c r="F159" s="64"/>
      <c r="G159" s="64"/>
      <c r="H159" s="64"/>
      <c r="I159" s="64"/>
      <c r="J159" s="64"/>
      <c r="K159" s="20"/>
      <c r="L159" s="20"/>
      <c r="M159" s="20"/>
      <c r="N159" s="20"/>
      <c r="O159" s="250"/>
      <c r="P159" s="20"/>
      <c r="Q159" s="20"/>
      <c r="R159" s="20"/>
      <c r="S159" s="250"/>
      <c r="T159" s="20"/>
      <c r="U159" s="20"/>
      <c r="V159" s="11"/>
      <c r="W159" s="20"/>
    </row>
    <row r="160" spans="1:23">
      <c r="A160" s="20"/>
      <c r="B160" s="64"/>
      <c r="C160" s="20"/>
      <c r="D160" s="20"/>
      <c r="E160" s="250"/>
      <c r="F160" s="64"/>
      <c r="G160" s="64"/>
      <c r="H160" s="64"/>
      <c r="I160" s="64"/>
      <c r="J160" s="64"/>
      <c r="K160" s="20"/>
      <c r="L160" s="20"/>
      <c r="M160" s="20"/>
      <c r="N160" s="20"/>
      <c r="O160" s="250"/>
      <c r="P160" s="20"/>
      <c r="Q160" s="20"/>
      <c r="R160" s="20"/>
      <c r="S160" s="250"/>
      <c r="T160" s="20"/>
      <c r="U160" s="20"/>
      <c r="V160" s="11"/>
      <c r="W160" s="20"/>
    </row>
    <row r="161" spans="1:23">
      <c r="A161" s="20"/>
      <c r="B161" s="64"/>
      <c r="C161" s="20"/>
      <c r="D161" s="20"/>
      <c r="E161" s="250"/>
      <c r="F161" s="64"/>
      <c r="G161" s="64"/>
      <c r="H161" s="64"/>
      <c r="I161" s="64"/>
      <c r="J161" s="64"/>
      <c r="K161" s="20"/>
      <c r="L161" s="20"/>
      <c r="M161" s="20"/>
      <c r="N161" s="20"/>
      <c r="O161" s="250"/>
      <c r="P161" s="20"/>
      <c r="Q161" s="20"/>
      <c r="R161" s="20"/>
      <c r="S161" s="250"/>
      <c r="T161" s="20"/>
      <c r="U161" s="20"/>
      <c r="V161" s="11"/>
      <c r="W161" s="20"/>
    </row>
    <row r="162" spans="1:23">
      <c r="A162" s="20"/>
      <c r="B162" s="64"/>
      <c r="C162" s="20"/>
      <c r="D162" s="20"/>
      <c r="E162" s="250"/>
      <c r="F162" s="64"/>
      <c r="G162" s="64"/>
      <c r="H162" s="64"/>
      <c r="I162" s="64"/>
      <c r="J162" s="64"/>
      <c r="K162" s="20"/>
      <c r="L162" s="20"/>
      <c r="M162" s="20"/>
      <c r="N162" s="20"/>
      <c r="O162" s="250"/>
      <c r="P162" s="20"/>
      <c r="Q162" s="20"/>
      <c r="R162" s="20"/>
      <c r="S162" s="250"/>
      <c r="T162" s="20"/>
      <c r="U162" s="20"/>
      <c r="V162" s="11"/>
      <c r="W162" s="20"/>
    </row>
    <row r="163" spans="1:23">
      <c r="A163" s="20"/>
      <c r="B163" s="64"/>
      <c r="C163" s="20"/>
      <c r="D163" s="20"/>
      <c r="E163" s="250"/>
      <c r="F163" s="64"/>
      <c r="G163" s="64"/>
      <c r="H163" s="64"/>
      <c r="I163" s="64"/>
      <c r="J163" s="64"/>
      <c r="K163" s="20"/>
      <c r="L163" s="20"/>
      <c r="M163" s="20"/>
      <c r="N163" s="20"/>
      <c r="O163" s="250"/>
      <c r="P163" s="20"/>
      <c r="Q163" s="20"/>
      <c r="R163" s="20"/>
      <c r="S163" s="250"/>
      <c r="T163" s="20"/>
      <c r="U163" s="20"/>
      <c r="V163" s="11"/>
      <c r="W163" s="20"/>
    </row>
    <row r="164" spans="1:23">
      <c r="A164" s="20"/>
      <c r="B164" s="64"/>
      <c r="C164" s="20"/>
      <c r="D164" s="20"/>
      <c r="E164" s="250"/>
      <c r="F164" s="64"/>
      <c r="G164" s="64"/>
      <c r="H164" s="64"/>
      <c r="I164" s="64"/>
      <c r="J164" s="64"/>
      <c r="K164" s="20"/>
      <c r="L164" s="20"/>
      <c r="M164" s="20"/>
      <c r="N164" s="20"/>
      <c r="O164" s="250"/>
      <c r="P164" s="20"/>
      <c r="Q164" s="20"/>
      <c r="R164" s="20"/>
      <c r="S164" s="250"/>
      <c r="T164" s="20"/>
      <c r="U164" s="20"/>
      <c r="V164" s="11"/>
      <c r="W164" s="20"/>
    </row>
    <row r="165" spans="1:23">
      <c r="A165" s="20"/>
      <c r="B165" s="64"/>
      <c r="C165" s="20"/>
      <c r="D165" s="20"/>
      <c r="E165" s="250"/>
      <c r="F165" s="64"/>
      <c r="G165" s="64"/>
      <c r="H165" s="64"/>
      <c r="I165" s="64"/>
      <c r="J165" s="64"/>
      <c r="K165" s="20"/>
      <c r="L165" s="20"/>
      <c r="M165" s="20"/>
      <c r="N165" s="20"/>
      <c r="O165" s="250"/>
      <c r="P165" s="20"/>
      <c r="Q165" s="20"/>
      <c r="R165" s="20"/>
      <c r="S165" s="250"/>
      <c r="T165" s="20"/>
      <c r="U165" s="20"/>
      <c r="V165" s="11"/>
      <c r="W165" s="20"/>
    </row>
    <row r="166" spans="1:23">
      <c r="A166" s="20"/>
      <c r="B166" s="64"/>
      <c r="C166" s="20"/>
      <c r="D166" s="20"/>
      <c r="E166" s="250"/>
      <c r="F166" s="64"/>
      <c r="G166" s="64"/>
      <c r="H166" s="64"/>
      <c r="I166" s="64"/>
      <c r="J166" s="64"/>
      <c r="K166" s="20"/>
      <c r="L166" s="20"/>
      <c r="M166" s="20"/>
      <c r="N166" s="20"/>
      <c r="O166" s="250"/>
      <c r="P166" s="20"/>
      <c r="Q166" s="20"/>
      <c r="R166" s="20"/>
      <c r="S166" s="250"/>
      <c r="T166" s="20"/>
      <c r="U166" s="20"/>
      <c r="V166" s="11"/>
      <c r="W166" s="20"/>
    </row>
    <row r="167" spans="1:23">
      <c r="A167" s="20"/>
      <c r="B167" s="64"/>
      <c r="C167" s="20"/>
      <c r="D167" s="20"/>
      <c r="E167" s="250"/>
      <c r="F167" s="64"/>
      <c r="G167" s="64"/>
      <c r="H167" s="64"/>
      <c r="I167" s="64"/>
      <c r="J167" s="64"/>
      <c r="K167" s="20"/>
      <c r="L167" s="20"/>
      <c r="M167" s="20"/>
      <c r="N167" s="20"/>
      <c r="O167" s="250"/>
      <c r="P167" s="20"/>
      <c r="Q167" s="20"/>
      <c r="R167" s="20"/>
      <c r="S167" s="250"/>
      <c r="T167" s="20"/>
      <c r="U167" s="20"/>
      <c r="V167" s="11"/>
      <c r="W167" s="20"/>
    </row>
    <row r="168" spans="1:23">
      <c r="A168" s="20"/>
      <c r="B168" s="64"/>
      <c r="C168" s="20"/>
      <c r="D168" s="20"/>
      <c r="E168" s="250"/>
      <c r="F168" s="64"/>
      <c r="G168" s="64"/>
      <c r="H168" s="64"/>
      <c r="I168" s="64"/>
      <c r="J168" s="64"/>
      <c r="K168" s="20"/>
      <c r="L168" s="20"/>
      <c r="M168" s="20"/>
      <c r="N168" s="20"/>
      <c r="O168" s="250"/>
      <c r="P168" s="20"/>
      <c r="Q168" s="20"/>
      <c r="R168" s="20"/>
      <c r="S168" s="250"/>
      <c r="T168" s="20"/>
      <c r="U168" s="20"/>
      <c r="V168" s="11"/>
      <c r="W168" s="20"/>
    </row>
    <row r="169" spans="1:23">
      <c r="A169" s="20"/>
      <c r="B169" s="64"/>
      <c r="C169" s="20"/>
      <c r="D169" s="20"/>
      <c r="E169" s="250"/>
      <c r="F169" s="64"/>
      <c r="G169" s="64"/>
      <c r="H169" s="64"/>
      <c r="I169" s="64"/>
      <c r="J169" s="64"/>
      <c r="K169" s="20"/>
      <c r="L169" s="20"/>
      <c r="M169" s="20"/>
      <c r="N169" s="20"/>
      <c r="O169" s="250"/>
      <c r="P169" s="20"/>
      <c r="Q169" s="20"/>
      <c r="R169" s="20"/>
      <c r="S169" s="250"/>
      <c r="T169" s="20"/>
      <c r="U169" s="20"/>
      <c r="V169" s="11"/>
      <c r="W169" s="20"/>
    </row>
    <row r="170" spans="1:23">
      <c r="A170" s="20"/>
      <c r="B170" s="64"/>
      <c r="C170" s="20"/>
      <c r="D170" s="20"/>
      <c r="E170" s="250"/>
      <c r="F170" s="64"/>
      <c r="G170" s="64"/>
      <c r="H170" s="64"/>
      <c r="I170" s="64"/>
      <c r="J170" s="64"/>
      <c r="K170" s="20"/>
      <c r="L170" s="20"/>
      <c r="M170" s="20"/>
      <c r="N170" s="20"/>
      <c r="O170" s="250"/>
      <c r="P170" s="20"/>
      <c r="Q170" s="20"/>
      <c r="R170" s="20"/>
      <c r="S170" s="250"/>
      <c r="T170" s="20"/>
      <c r="U170" s="20"/>
      <c r="V170" s="11"/>
      <c r="W170" s="20"/>
    </row>
    <row r="171" spans="1:23">
      <c r="A171" s="20"/>
      <c r="B171" s="64"/>
      <c r="C171" s="20"/>
      <c r="D171" s="20"/>
      <c r="E171" s="250"/>
      <c r="F171" s="64"/>
      <c r="G171" s="64"/>
      <c r="H171" s="64"/>
      <c r="I171" s="64"/>
      <c r="J171" s="64"/>
      <c r="K171" s="20"/>
      <c r="L171" s="20"/>
      <c r="M171" s="20"/>
      <c r="N171" s="20"/>
      <c r="O171" s="250"/>
      <c r="P171" s="20"/>
      <c r="Q171" s="20"/>
      <c r="R171" s="20"/>
      <c r="S171" s="250"/>
      <c r="T171" s="20"/>
      <c r="U171" s="20"/>
      <c r="V171" s="11"/>
      <c r="W171" s="20"/>
    </row>
    <row r="172" spans="1:23">
      <c r="A172" s="20"/>
      <c r="B172" s="64"/>
      <c r="C172" s="20"/>
      <c r="D172" s="20"/>
      <c r="E172" s="250"/>
      <c r="F172" s="64"/>
      <c r="G172" s="64"/>
      <c r="H172" s="64"/>
      <c r="I172" s="64"/>
      <c r="J172" s="64"/>
      <c r="K172" s="20"/>
      <c r="L172" s="20"/>
      <c r="M172" s="20"/>
      <c r="N172" s="20"/>
      <c r="O172" s="250"/>
      <c r="P172" s="20"/>
      <c r="Q172" s="20"/>
      <c r="R172" s="20"/>
      <c r="S172" s="250"/>
      <c r="T172" s="20"/>
      <c r="U172" s="20"/>
      <c r="V172" s="11"/>
      <c r="W172" s="20"/>
    </row>
    <row r="173" spans="1:23">
      <c r="A173" s="20"/>
      <c r="B173" s="64"/>
      <c r="C173" s="20"/>
      <c r="D173" s="20"/>
      <c r="E173" s="250"/>
      <c r="F173" s="64"/>
      <c r="G173" s="64"/>
      <c r="H173" s="64"/>
      <c r="I173" s="64"/>
      <c r="J173" s="64"/>
      <c r="K173" s="20"/>
      <c r="L173" s="20"/>
      <c r="M173" s="20"/>
      <c r="N173" s="20"/>
      <c r="O173" s="250"/>
      <c r="P173" s="20"/>
      <c r="Q173" s="20"/>
      <c r="R173" s="20"/>
      <c r="S173" s="250"/>
      <c r="T173" s="20"/>
      <c r="U173" s="20"/>
      <c r="V173" s="11"/>
      <c r="W173" s="20"/>
    </row>
    <row r="174" spans="1:23">
      <c r="A174" s="20"/>
      <c r="B174" s="64"/>
      <c r="C174" s="20"/>
      <c r="D174" s="20"/>
      <c r="E174" s="250"/>
      <c r="F174" s="64"/>
      <c r="G174" s="64"/>
      <c r="H174" s="64"/>
      <c r="I174" s="64"/>
      <c r="J174" s="64"/>
      <c r="K174" s="20"/>
      <c r="L174" s="20"/>
      <c r="M174" s="20"/>
      <c r="N174" s="20"/>
      <c r="O174" s="250"/>
      <c r="P174" s="20"/>
      <c r="Q174" s="20"/>
      <c r="R174" s="20"/>
      <c r="S174" s="250"/>
      <c r="T174" s="20"/>
      <c r="U174" s="20"/>
      <c r="V174" s="11"/>
      <c r="W174" s="20"/>
    </row>
    <row r="175" spans="1:23">
      <c r="A175" s="20"/>
      <c r="B175" s="64"/>
      <c r="C175" s="20"/>
      <c r="D175" s="20"/>
      <c r="E175" s="250"/>
      <c r="F175" s="64"/>
      <c r="G175" s="64"/>
      <c r="H175" s="64"/>
      <c r="I175" s="64"/>
      <c r="J175" s="64"/>
      <c r="K175" s="20"/>
      <c r="L175" s="20"/>
      <c r="M175" s="20"/>
      <c r="N175" s="20"/>
      <c r="O175" s="250"/>
      <c r="P175" s="20"/>
      <c r="Q175" s="20"/>
      <c r="R175" s="20"/>
      <c r="S175" s="250"/>
      <c r="T175" s="20"/>
      <c r="U175" s="20"/>
      <c r="V175" s="11"/>
      <c r="W175" s="20"/>
    </row>
    <row r="176" spans="1:23">
      <c r="A176" s="20"/>
      <c r="B176" s="64"/>
      <c r="C176" s="20"/>
      <c r="D176" s="20"/>
      <c r="E176" s="250"/>
      <c r="F176" s="64"/>
      <c r="G176" s="64"/>
      <c r="H176" s="64"/>
      <c r="I176" s="64"/>
      <c r="J176" s="64"/>
      <c r="K176" s="20"/>
      <c r="L176" s="20"/>
      <c r="M176" s="20"/>
      <c r="N176" s="20"/>
      <c r="O176" s="250"/>
      <c r="P176" s="20"/>
      <c r="Q176" s="20"/>
      <c r="R176" s="20"/>
      <c r="S176" s="250"/>
      <c r="T176" s="20"/>
      <c r="U176" s="20"/>
      <c r="V176" s="11"/>
      <c r="W176" s="20"/>
    </row>
    <row r="177" spans="1:23">
      <c r="A177" s="20"/>
      <c r="B177" s="64"/>
      <c r="C177" s="20"/>
      <c r="D177" s="20"/>
      <c r="E177" s="250"/>
      <c r="F177" s="64"/>
      <c r="G177" s="64"/>
      <c r="H177" s="64"/>
      <c r="I177" s="64"/>
      <c r="J177" s="64"/>
      <c r="K177" s="20"/>
      <c r="L177" s="20"/>
      <c r="M177" s="20"/>
      <c r="N177" s="20"/>
      <c r="O177" s="250"/>
      <c r="P177" s="20"/>
      <c r="Q177" s="20"/>
      <c r="R177" s="20"/>
      <c r="S177" s="250"/>
      <c r="T177" s="20"/>
      <c r="U177" s="20"/>
      <c r="V177" s="11"/>
      <c r="W177" s="20"/>
    </row>
    <row r="178" spans="1:23">
      <c r="A178" s="20"/>
      <c r="B178" s="64"/>
      <c r="C178" s="20"/>
      <c r="D178" s="20"/>
      <c r="E178" s="250"/>
      <c r="F178" s="64"/>
      <c r="G178" s="64"/>
      <c r="H178" s="64"/>
      <c r="I178" s="64"/>
      <c r="J178" s="64"/>
      <c r="K178" s="20"/>
      <c r="L178" s="20"/>
      <c r="M178" s="20"/>
      <c r="N178" s="20"/>
      <c r="O178" s="250"/>
      <c r="P178" s="20"/>
      <c r="Q178" s="20"/>
      <c r="R178" s="20"/>
      <c r="S178" s="250"/>
      <c r="T178" s="20"/>
      <c r="U178" s="20"/>
      <c r="V178" s="11"/>
      <c r="W178" s="20"/>
    </row>
    <row r="179" spans="1:23">
      <c r="A179" s="20"/>
      <c r="B179" s="64"/>
      <c r="C179" s="20"/>
      <c r="D179" s="20"/>
      <c r="E179" s="250"/>
      <c r="F179" s="64"/>
      <c r="G179" s="64"/>
      <c r="H179" s="64"/>
      <c r="I179" s="64"/>
      <c r="J179" s="64"/>
      <c r="K179" s="20"/>
      <c r="L179" s="20"/>
      <c r="M179" s="20"/>
      <c r="N179" s="20"/>
      <c r="O179" s="250"/>
      <c r="P179" s="20"/>
      <c r="Q179" s="20"/>
      <c r="R179" s="20"/>
      <c r="S179" s="250"/>
      <c r="T179" s="20"/>
      <c r="U179" s="20"/>
      <c r="V179" s="11"/>
      <c r="W179" s="20"/>
    </row>
  </sheetData>
  <dataConsolidate/>
  <mergeCells count="26">
    <mergeCell ref="Y59:AD59"/>
    <mergeCell ref="Y24:Z24"/>
    <mergeCell ref="A21:A24"/>
    <mergeCell ref="A26:A27"/>
    <mergeCell ref="Y79:AD79"/>
    <mergeCell ref="W28:W32"/>
    <mergeCell ref="A55:A56"/>
    <mergeCell ref="A36:A37"/>
    <mergeCell ref="A39:A40"/>
    <mergeCell ref="A41:A43"/>
    <mergeCell ref="AG72:AL72"/>
    <mergeCell ref="M1:U1"/>
    <mergeCell ref="A28:A32"/>
    <mergeCell ref="A49:A50"/>
    <mergeCell ref="A51:A52"/>
    <mergeCell ref="A53:A54"/>
    <mergeCell ref="A33:A35"/>
    <mergeCell ref="A45:A48"/>
    <mergeCell ref="C1:K1"/>
    <mergeCell ref="A4:A5"/>
    <mergeCell ref="A6:A8"/>
    <mergeCell ref="A9:A13"/>
    <mergeCell ref="A15:A20"/>
    <mergeCell ref="W26:W27"/>
    <mergeCell ref="V26:V27"/>
    <mergeCell ref="V28:V32"/>
  </mergeCells>
  <conditionalFormatting sqref="U3:U56">
    <cfRule type="containsText" dxfId="59" priority="8" operator="containsText" text="Yes">
      <formula>NOT(ISERROR(SEARCH("Yes",U3)))</formula>
    </cfRule>
  </conditionalFormatting>
  <conditionalFormatting sqref="T3:T56">
    <cfRule type="cellIs" dxfId="58" priority="5" operator="lessThan">
      <formula>0</formula>
    </cfRule>
  </conditionalFormatting>
  <conditionalFormatting sqref="Z61:AE72">
    <cfRule type="cellIs" dxfId="57" priority="4" operator="greaterThan">
      <formula>0</formula>
    </cfRule>
  </conditionalFormatting>
  <conditionalFormatting sqref="AA81:AE92">
    <cfRule type="cellIs" dxfId="56" priority="3" operator="greaterThan">
      <formula>0</formula>
    </cfRule>
  </conditionalFormatting>
  <conditionalFormatting sqref="Z81:Z92">
    <cfRule type="cellIs" dxfId="55" priority="2" operator="greaterThan">
      <formula>0</formula>
    </cfRule>
  </conditionalFormatting>
  <conditionalFormatting sqref="AH74:AM85">
    <cfRule type="cellIs" dxfId="54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R64"/>
  <sheetViews>
    <sheetView topLeftCell="X20" zoomScaleNormal="100" workbookViewId="0">
      <selection activeCell="AL41" sqref="AL41:AR57"/>
    </sheetView>
  </sheetViews>
  <sheetFormatPr defaultColWidth="9" defaultRowHeight="12.75"/>
  <cols>
    <col min="1" max="1" width="12.140625" style="228" customWidth="1"/>
    <col min="2" max="2" width="14.28515625" style="228" customWidth="1"/>
    <col min="3" max="3" width="25.42578125" style="228" customWidth="1"/>
    <col min="4" max="4" width="14.28515625" style="228" customWidth="1"/>
    <col min="5" max="5" width="16.5703125" style="228" customWidth="1"/>
    <col min="6" max="7" width="15" style="228" customWidth="1"/>
    <col min="8" max="8" width="18" style="228" customWidth="1"/>
    <col min="9" max="9" width="15.5703125" style="228" customWidth="1"/>
    <col min="10" max="10" width="25.42578125" style="228" customWidth="1"/>
    <col min="11" max="11" width="14.7109375" style="228" customWidth="1"/>
    <col min="12" max="12" width="16.42578125" style="228" customWidth="1"/>
    <col min="13" max="13" width="20.85546875" style="228" customWidth="1"/>
    <col min="14" max="14" width="18" style="228" customWidth="1"/>
    <col min="15" max="15" width="16.7109375" style="228" customWidth="1"/>
    <col min="16" max="16" width="29.7109375" style="228" customWidth="1"/>
    <col min="17" max="17" width="30.42578125" style="228" customWidth="1"/>
    <col min="18" max="19" width="9" style="228"/>
    <col min="20" max="20" width="15" style="228" customWidth="1"/>
    <col min="21" max="21" width="19.140625" style="228" customWidth="1"/>
    <col min="22" max="22" width="28.140625" style="228" customWidth="1"/>
    <col min="23" max="23" width="32" style="228" customWidth="1"/>
    <col min="24" max="25" width="9" style="228"/>
    <col min="26" max="26" width="25.5703125" style="228" customWidth="1"/>
    <col min="27" max="27" width="23.85546875" style="228" customWidth="1"/>
    <col min="28" max="16384" width="9" style="228"/>
  </cols>
  <sheetData>
    <row r="1" spans="1:23">
      <c r="A1" s="184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273"/>
      <c r="M1" s="501" t="s">
        <v>450</v>
      </c>
      <c r="N1" s="502"/>
      <c r="O1" s="502"/>
      <c r="P1" s="502"/>
      <c r="Q1" s="502"/>
      <c r="R1" s="502"/>
      <c r="S1" s="502"/>
      <c r="T1" s="502"/>
      <c r="U1" s="503"/>
    </row>
    <row r="2" spans="1:23" ht="13.5" thickBot="1">
      <c r="A2" s="184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455</v>
      </c>
      <c r="V2" s="211" t="s">
        <v>439</v>
      </c>
      <c r="W2" s="227" t="s">
        <v>438</v>
      </c>
    </row>
    <row r="3" spans="1:23" ht="13.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89" t="str">
        <f t="shared" ref="U3:U9" si="5">IF(T3&gt;=0,"No","Yes")</f>
        <v>No</v>
      </c>
      <c r="V3" s="210"/>
      <c r="W3" s="210"/>
    </row>
    <row r="4" spans="1:23" ht="13.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6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7">G4*F4</f>
        <v>59.818874999999998</v>
      </c>
      <c r="I4" s="82">
        <f t="shared" ref="I4:I56" si="8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9">H4/J4</f>
        <v>0.29909437499999997</v>
      </c>
      <c r="M4" s="162" t="s">
        <v>433</v>
      </c>
      <c r="N4" s="162">
        <v>561.44000000000005</v>
      </c>
      <c r="O4" s="90">
        <f t="shared" ref="O4:O56" si="10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1">P4*Q4</f>
        <v>59.818874999999998</v>
      </c>
      <c r="S4" s="90">
        <f t="shared" si="3"/>
        <v>150</v>
      </c>
      <c r="T4" s="286">
        <f t="shared" si="4"/>
        <v>90.181125000000009</v>
      </c>
      <c r="U4" s="296" t="str">
        <f t="shared" si="5"/>
        <v>No</v>
      </c>
      <c r="V4" s="210" t="s">
        <v>351</v>
      </c>
      <c r="W4" s="210" t="s">
        <v>351</v>
      </c>
    </row>
    <row r="5" spans="1:23" ht="13.5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6"/>
        <v>150</v>
      </c>
      <c r="F5" s="92">
        <v>101.52370000000001</v>
      </c>
      <c r="G5" s="92">
        <v>0.75</v>
      </c>
      <c r="H5" s="251">
        <f t="shared" si="7"/>
        <v>76.142775</v>
      </c>
      <c r="I5" s="82">
        <f t="shared" si="8"/>
        <v>1</v>
      </c>
      <c r="J5" s="251">
        <f t="shared" si="0"/>
        <v>150</v>
      </c>
      <c r="K5" s="93">
        <f t="shared" si="1"/>
        <v>73.857225</v>
      </c>
      <c r="L5" s="92">
        <f t="shared" si="9"/>
        <v>0.50761849999999997</v>
      </c>
      <c r="M5" s="91" t="s">
        <v>428</v>
      </c>
      <c r="N5" s="91">
        <v>691.82</v>
      </c>
      <c r="O5" s="90">
        <f t="shared" si="10"/>
        <v>150</v>
      </c>
      <c r="P5" s="90">
        <f t="shared" si="2"/>
        <v>101.52370000000001</v>
      </c>
      <c r="Q5" s="90">
        <v>0.75</v>
      </c>
      <c r="R5" s="89">
        <f t="shared" si="11"/>
        <v>76.142775</v>
      </c>
      <c r="S5" s="90">
        <f t="shared" si="3"/>
        <v>150</v>
      </c>
      <c r="T5" s="286">
        <f t="shared" si="4"/>
        <v>73.857225</v>
      </c>
      <c r="U5" s="297" t="str">
        <f t="shared" si="5"/>
        <v>No</v>
      </c>
      <c r="V5" s="307"/>
      <c r="W5" s="307"/>
    </row>
    <row r="6" spans="1:23" ht="13.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6"/>
        <v>150</v>
      </c>
      <c r="F6" s="83">
        <v>593.39</v>
      </c>
      <c r="G6" s="82">
        <v>0.75</v>
      </c>
      <c r="H6" s="252">
        <f t="shared" si="7"/>
        <v>445.04250000000002</v>
      </c>
      <c r="I6" s="82">
        <f t="shared" si="8"/>
        <v>4</v>
      </c>
      <c r="J6" s="252">
        <f t="shared" si="0"/>
        <v>600</v>
      </c>
      <c r="K6" s="83">
        <f t="shared" si="1"/>
        <v>154.95749999999998</v>
      </c>
      <c r="L6" s="82">
        <f t="shared" si="9"/>
        <v>0.74173750000000005</v>
      </c>
      <c r="M6" s="81" t="s">
        <v>430</v>
      </c>
      <c r="N6" s="81">
        <v>778.62</v>
      </c>
      <c r="O6" s="80">
        <f t="shared" si="10"/>
        <v>150</v>
      </c>
      <c r="P6" s="80">
        <f t="shared" si="2"/>
        <v>593.39</v>
      </c>
      <c r="Q6" s="80">
        <v>0.75</v>
      </c>
      <c r="R6" s="98">
        <f t="shared" si="11"/>
        <v>445.04250000000002</v>
      </c>
      <c r="S6" s="80">
        <f t="shared" si="3"/>
        <v>600</v>
      </c>
      <c r="T6" s="79">
        <f t="shared" si="4"/>
        <v>154.95749999999998</v>
      </c>
      <c r="U6" s="89" t="str">
        <f t="shared" si="5"/>
        <v>No</v>
      </c>
      <c r="V6" s="191"/>
      <c r="W6" s="191"/>
    </row>
    <row r="7" spans="1:23" ht="13.5" thickBot="1">
      <c r="A7" s="484"/>
      <c r="B7" s="95" t="s">
        <v>4</v>
      </c>
      <c r="C7" s="94" t="s">
        <v>45</v>
      </c>
      <c r="D7" s="104">
        <v>221.095</v>
      </c>
      <c r="E7" s="237">
        <f t="shared" si="6"/>
        <v>250</v>
      </c>
      <c r="F7" s="104">
        <v>165.54</v>
      </c>
      <c r="G7" s="92">
        <v>0.75</v>
      </c>
      <c r="H7" s="251">
        <f t="shared" si="7"/>
        <v>124.155</v>
      </c>
      <c r="I7" s="82">
        <f t="shared" si="8"/>
        <v>1</v>
      </c>
      <c r="J7" s="251">
        <f t="shared" si="0"/>
        <v>250</v>
      </c>
      <c r="K7" s="93">
        <f t="shared" si="1"/>
        <v>125.845</v>
      </c>
      <c r="L7" s="92">
        <f t="shared" si="9"/>
        <v>0.49662000000000001</v>
      </c>
      <c r="M7" s="103" t="s">
        <v>429</v>
      </c>
      <c r="N7" s="103">
        <v>904.18</v>
      </c>
      <c r="O7" s="90">
        <f t="shared" si="10"/>
        <v>150</v>
      </c>
      <c r="P7" s="102">
        <f t="shared" si="2"/>
        <v>165.54</v>
      </c>
      <c r="Q7" s="90">
        <v>0.75</v>
      </c>
      <c r="R7" s="89">
        <f t="shared" si="11"/>
        <v>124.155</v>
      </c>
      <c r="S7" s="90">
        <f t="shared" si="3"/>
        <v>150</v>
      </c>
      <c r="T7" s="286">
        <f t="shared" si="4"/>
        <v>25.844999999999999</v>
      </c>
      <c r="U7" s="286" t="str">
        <f t="shared" si="5"/>
        <v>No</v>
      </c>
      <c r="V7" s="191"/>
      <c r="W7" s="191"/>
    </row>
    <row r="8" spans="1:23" ht="13.5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6"/>
        <v>150</v>
      </c>
      <c r="F8" s="93">
        <v>101.52370000000001</v>
      </c>
      <c r="G8" s="72">
        <v>0.75</v>
      </c>
      <c r="H8" s="251">
        <f t="shared" si="7"/>
        <v>76.142775</v>
      </c>
      <c r="I8" s="82">
        <f t="shared" si="8"/>
        <v>1</v>
      </c>
      <c r="J8" s="251">
        <f t="shared" si="0"/>
        <v>150</v>
      </c>
      <c r="K8" s="73">
        <f t="shared" si="1"/>
        <v>73.857225</v>
      </c>
      <c r="L8" s="72">
        <f t="shared" si="9"/>
        <v>0.50761849999999997</v>
      </c>
      <c r="M8" s="91" t="s">
        <v>428</v>
      </c>
      <c r="N8" s="91">
        <v>691.82</v>
      </c>
      <c r="O8" s="114">
        <f t="shared" si="10"/>
        <v>150</v>
      </c>
      <c r="P8" s="90">
        <f t="shared" si="2"/>
        <v>101.52370000000001</v>
      </c>
      <c r="Q8" s="114">
        <v>0.75</v>
      </c>
      <c r="R8" s="89">
        <f t="shared" si="11"/>
        <v>76.142775</v>
      </c>
      <c r="S8" s="114">
        <f t="shared" si="3"/>
        <v>150</v>
      </c>
      <c r="T8" s="288">
        <f t="shared" si="4"/>
        <v>73.857225</v>
      </c>
      <c r="U8" s="89" t="str">
        <f t="shared" si="5"/>
        <v>No</v>
      </c>
      <c r="V8" s="191"/>
      <c r="W8" s="191"/>
    </row>
    <row r="9" spans="1:23" ht="13.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6"/>
        <v>300</v>
      </c>
      <c r="F9" s="83">
        <v>330.03719999999998</v>
      </c>
      <c r="G9" s="92">
        <v>0.75</v>
      </c>
      <c r="H9" s="252">
        <f t="shared" si="7"/>
        <v>247.52789999999999</v>
      </c>
      <c r="I9" s="82">
        <f t="shared" si="8"/>
        <v>1</v>
      </c>
      <c r="J9" s="252">
        <f t="shared" si="0"/>
        <v>300</v>
      </c>
      <c r="K9" s="93">
        <f t="shared" si="1"/>
        <v>52.472100000000012</v>
      </c>
      <c r="L9" s="92">
        <f t="shared" si="9"/>
        <v>0.82509299999999997</v>
      </c>
      <c r="M9" s="81" t="s">
        <v>427</v>
      </c>
      <c r="N9" s="81">
        <v>243.73500000000001</v>
      </c>
      <c r="O9" s="90">
        <f t="shared" si="10"/>
        <v>250</v>
      </c>
      <c r="P9" s="80">
        <f t="shared" si="2"/>
        <v>330.03719999999998</v>
      </c>
      <c r="Q9" s="90">
        <v>0.75</v>
      </c>
      <c r="R9" s="98">
        <f t="shared" si="11"/>
        <v>247.52789999999999</v>
      </c>
      <c r="S9" s="90">
        <f t="shared" si="3"/>
        <v>250</v>
      </c>
      <c r="T9" s="286">
        <f t="shared" si="4"/>
        <v>2.4721000000000117</v>
      </c>
      <c r="U9" s="296" t="str">
        <f t="shared" si="5"/>
        <v>No</v>
      </c>
      <c r="V9" s="192"/>
      <c r="W9" s="192"/>
    </row>
    <row r="10" spans="1:23" ht="13.5" thickBot="1">
      <c r="A10" s="484"/>
      <c r="B10" s="95" t="s">
        <v>7</v>
      </c>
      <c r="C10" s="94" t="s">
        <v>48</v>
      </c>
      <c r="D10" s="104">
        <v>457.755</v>
      </c>
      <c r="E10" s="237">
        <f t="shared" si="6"/>
        <v>200</v>
      </c>
      <c r="F10" s="104">
        <v>200.11</v>
      </c>
      <c r="G10" s="92">
        <v>0.75</v>
      </c>
      <c r="H10" s="251">
        <f t="shared" si="7"/>
        <v>150.08250000000001</v>
      </c>
      <c r="I10" s="82">
        <f t="shared" si="8"/>
        <v>1</v>
      </c>
      <c r="J10" s="251">
        <f t="shared" si="0"/>
        <v>200</v>
      </c>
      <c r="K10" s="93">
        <f t="shared" si="1"/>
        <v>49.91749999999999</v>
      </c>
      <c r="L10" s="92">
        <f t="shared" si="9"/>
        <v>0.75041250000000004</v>
      </c>
      <c r="M10" s="103" t="s">
        <v>426</v>
      </c>
      <c r="N10" s="103">
        <v>614.06500000000005</v>
      </c>
      <c r="O10" s="90">
        <f t="shared" si="10"/>
        <v>150</v>
      </c>
      <c r="P10" s="102">
        <f t="shared" si="2"/>
        <v>200.11</v>
      </c>
      <c r="Q10" s="90">
        <v>0.75</v>
      </c>
      <c r="R10" s="89">
        <f t="shared" si="11"/>
        <v>150.08250000000001</v>
      </c>
      <c r="S10" s="90">
        <f t="shared" si="3"/>
        <v>150</v>
      </c>
      <c r="T10" s="286">
        <f t="shared" si="4"/>
        <v>-8.2500000000010232E-2</v>
      </c>
      <c r="U10" s="298" t="s">
        <v>462</v>
      </c>
      <c r="V10" s="191"/>
      <c r="W10" s="191"/>
    </row>
    <row r="11" spans="1:23" ht="13.5" thickBot="1">
      <c r="A11" s="484"/>
      <c r="B11" s="95" t="s">
        <v>8</v>
      </c>
      <c r="C11" s="94" t="s">
        <v>74</v>
      </c>
      <c r="D11" s="104">
        <v>632.29</v>
      </c>
      <c r="E11" s="237">
        <f t="shared" si="6"/>
        <v>150</v>
      </c>
      <c r="F11" s="104">
        <v>416.14780000000002</v>
      </c>
      <c r="G11" s="92">
        <v>0.75</v>
      </c>
      <c r="H11" s="251">
        <f t="shared" si="7"/>
        <v>312.11085000000003</v>
      </c>
      <c r="I11" s="82">
        <f t="shared" si="8"/>
        <v>3</v>
      </c>
      <c r="J11" s="251">
        <f t="shared" si="0"/>
        <v>450</v>
      </c>
      <c r="K11" s="93">
        <f t="shared" si="1"/>
        <v>137.88914999999997</v>
      </c>
      <c r="L11" s="92">
        <f t="shared" si="9"/>
        <v>0.69357966666666671</v>
      </c>
      <c r="M11" s="103" t="s">
        <v>425</v>
      </c>
      <c r="N11" s="103">
        <v>692.19500000000005</v>
      </c>
      <c r="O11" s="90">
        <f t="shared" si="10"/>
        <v>150</v>
      </c>
      <c r="P11" s="102">
        <f t="shared" si="2"/>
        <v>416.14780000000002</v>
      </c>
      <c r="Q11" s="90">
        <v>0.75</v>
      </c>
      <c r="R11" s="89">
        <f t="shared" si="11"/>
        <v>312.11085000000003</v>
      </c>
      <c r="S11" s="90">
        <f t="shared" si="3"/>
        <v>450</v>
      </c>
      <c r="T11" s="286">
        <f t="shared" si="4"/>
        <v>137.88914999999997</v>
      </c>
      <c r="U11" s="299" t="str">
        <f>IF(T11&gt;=0,"No","Yes")</f>
        <v>No</v>
      </c>
      <c r="V11" s="60"/>
      <c r="W11" s="60"/>
    </row>
    <row r="12" spans="1:23" ht="13.5" thickBot="1">
      <c r="A12" s="484"/>
      <c r="B12" s="95" t="s">
        <v>12</v>
      </c>
      <c r="C12" s="94" t="s">
        <v>52</v>
      </c>
      <c r="D12" s="104">
        <v>428.91</v>
      </c>
      <c r="E12" s="237">
        <f t="shared" si="6"/>
        <v>200</v>
      </c>
      <c r="F12" s="104">
        <v>320.77999999999997</v>
      </c>
      <c r="G12" s="92">
        <v>0.75</v>
      </c>
      <c r="H12" s="251">
        <f t="shared" si="7"/>
        <v>240.58499999999998</v>
      </c>
      <c r="I12" s="82">
        <f t="shared" si="8"/>
        <v>2</v>
      </c>
      <c r="J12" s="251">
        <f t="shared" si="0"/>
        <v>400</v>
      </c>
      <c r="K12" s="93">
        <f t="shared" si="1"/>
        <v>159.41500000000002</v>
      </c>
      <c r="L12" s="92">
        <f t="shared" si="9"/>
        <v>0.6014624999999999</v>
      </c>
      <c r="M12" s="103" t="s">
        <v>419</v>
      </c>
      <c r="N12" s="103">
        <v>440.09</v>
      </c>
      <c r="O12" s="90">
        <f t="shared" si="10"/>
        <v>200</v>
      </c>
      <c r="P12" s="102">
        <f t="shared" si="2"/>
        <v>320.77999999999997</v>
      </c>
      <c r="Q12" s="90">
        <v>0.75</v>
      </c>
      <c r="R12" s="89">
        <f t="shared" si="11"/>
        <v>240.58499999999998</v>
      </c>
      <c r="S12" s="90">
        <f t="shared" si="3"/>
        <v>400</v>
      </c>
      <c r="T12" s="286">
        <f t="shared" si="4"/>
        <v>159.41500000000002</v>
      </c>
      <c r="U12" s="299" t="str">
        <f>IF(T12&gt;=0,"No","Yes")</f>
        <v>No</v>
      </c>
      <c r="V12" s="60"/>
      <c r="W12" s="60"/>
    </row>
    <row r="13" spans="1:23" ht="13.5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6"/>
        <v>200</v>
      </c>
      <c r="F13" s="93">
        <v>22.35</v>
      </c>
      <c r="G13" s="92">
        <v>0.75</v>
      </c>
      <c r="H13" s="253">
        <f t="shared" si="7"/>
        <v>16.762500000000003</v>
      </c>
      <c r="I13" s="82">
        <f t="shared" si="8"/>
        <v>1</v>
      </c>
      <c r="J13" s="253">
        <f t="shared" si="0"/>
        <v>200</v>
      </c>
      <c r="K13" s="93">
        <f t="shared" si="1"/>
        <v>183.23750000000001</v>
      </c>
      <c r="L13" s="92">
        <f t="shared" si="9"/>
        <v>8.3812500000000012E-2</v>
      </c>
      <c r="M13" s="91" t="s">
        <v>417</v>
      </c>
      <c r="N13" s="91">
        <v>541.49</v>
      </c>
      <c r="O13" s="90">
        <f t="shared" si="10"/>
        <v>150</v>
      </c>
      <c r="P13" s="90">
        <f t="shared" si="2"/>
        <v>22.35</v>
      </c>
      <c r="Q13" s="90">
        <v>0.75</v>
      </c>
      <c r="R13" s="69">
        <f t="shared" si="11"/>
        <v>16.762500000000003</v>
      </c>
      <c r="S13" s="90">
        <f t="shared" si="3"/>
        <v>150</v>
      </c>
      <c r="T13" s="286">
        <f t="shared" si="4"/>
        <v>133.23750000000001</v>
      </c>
      <c r="U13" s="297" t="str">
        <f>IF(T13&gt;=0,"No","Yes")</f>
        <v>No</v>
      </c>
      <c r="V13" s="188"/>
      <c r="W13" s="188"/>
    </row>
    <row r="14" spans="1:23" ht="13.5" thickBot="1">
      <c r="A14" s="272" t="s">
        <v>425</v>
      </c>
      <c r="B14" s="85" t="s">
        <v>351</v>
      </c>
      <c r="C14" s="152"/>
      <c r="D14" s="83"/>
      <c r="E14" s="93">
        <f t="shared" si="6"/>
        <v>300</v>
      </c>
      <c r="F14" s="83"/>
      <c r="G14" s="169">
        <v>0.75</v>
      </c>
      <c r="H14" s="251">
        <f t="shared" si="7"/>
        <v>0</v>
      </c>
      <c r="I14" s="82">
        <f t="shared" si="8"/>
        <v>0</v>
      </c>
      <c r="J14" s="251"/>
      <c r="K14" s="170"/>
      <c r="L14" s="169"/>
      <c r="M14" s="81"/>
      <c r="N14" s="81"/>
      <c r="O14" s="167">
        <f t="shared" si="10"/>
        <v>300</v>
      </c>
      <c r="P14" s="80"/>
      <c r="Q14" s="167">
        <v>0.75</v>
      </c>
      <c r="R14" s="89">
        <f t="shared" si="11"/>
        <v>0</v>
      </c>
      <c r="S14" s="167"/>
      <c r="T14" s="287"/>
      <c r="U14" s="89"/>
      <c r="V14" s="60"/>
      <c r="W14" s="60"/>
    </row>
    <row r="15" spans="1:23" ht="13.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6"/>
        <v>200</v>
      </c>
      <c r="F15" s="83">
        <v>414.50749999999999</v>
      </c>
      <c r="G15" s="92">
        <v>0.75</v>
      </c>
      <c r="H15" s="252">
        <f t="shared" si="7"/>
        <v>310.88062500000001</v>
      </c>
      <c r="I15" s="82">
        <f t="shared" si="8"/>
        <v>2</v>
      </c>
      <c r="J15" s="252">
        <f t="shared" ref="J15:J24" si="12">I15*E15</f>
        <v>400</v>
      </c>
      <c r="K15" s="93">
        <f t="shared" si="1"/>
        <v>89.119374999999991</v>
      </c>
      <c r="L15" s="92">
        <f t="shared" si="9"/>
        <v>0.77720156250000005</v>
      </c>
      <c r="M15" s="81" t="s">
        <v>423</v>
      </c>
      <c r="N15" s="81">
        <v>527.53499999999997</v>
      </c>
      <c r="O15" s="90">
        <f t="shared" si="10"/>
        <v>200</v>
      </c>
      <c r="P15" s="80">
        <f t="shared" ref="P15:P24" si="13">F15</f>
        <v>414.50749999999999</v>
      </c>
      <c r="Q15" s="90">
        <v>0.75</v>
      </c>
      <c r="R15" s="98">
        <f t="shared" si="11"/>
        <v>310.88062500000001</v>
      </c>
      <c r="S15" s="90">
        <f t="shared" ref="S15:S24" si="14">O15*I15</f>
        <v>400</v>
      </c>
      <c r="T15" s="286">
        <f t="shared" ref="T15:T24" si="15">S15-R15</f>
        <v>89.119374999999991</v>
      </c>
      <c r="U15" s="296" t="str">
        <f t="shared" ref="U15:U24" si="16">IF(T15&gt;=0,"No","Yes")</f>
        <v>No</v>
      </c>
      <c r="V15" s="189"/>
      <c r="W15" s="189"/>
    </row>
    <row r="16" spans="1:23" ht="13.5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6"/>
        <v>300</v>
      </c>
      <c r="F16" s="104">
        <v>249.06020000000001</v>
      </c>
      <c r="G16" s="92">
        <v>0.75</v>
      </c>
      <c r="H16" s="251">
        <f t="shared" si="7"/>
        <v>186.79515000000001</v>
      </c>
      <c r="I16" s="82">
        <f t="shared" si="8"/>
        <v>1</v>
      </c>
      <c r="J16" s="251">
        <f t="shared" si="12"/>
        <v>300</v>
      </c>
      <c r="K16" s="93">
        <f t="shared" si="1"/>
        <v>113.20484999999999</v>
      </c>
      <c r="L16" s="92">
        <f t="shared" si="9"/>
        <v>0.6226505</v>
      </c>
      <c r="M16" s="103" t="s">
        <v>421</v>
      </c>
      <c r="N16" s="103">
        <v>258.625</v>
      </c>
      <c r="O16" s="90">
        <f t="shared" si="10"/>
        <v>250</v>
      </c>
      <c r="P16" s="102">
        <f t="shared" si="13"/>
        <v>249.06020000000001</v>
      </c>
      <c r="Q16" s="90">
        <v>0.75</v>
      </c>
      <c r="R16" s="89">
        <f t="shared" si="11"/>
        <v>186.79515000000001</v>
      </c>
      <c r="S16" s="90">
        <f t="shared" si="14"/>
        <v>250</v>
      </c>
      <c r="T16" s="286">
        <f t="shared" si="15"/>
        <v>63.204849999999993</v>
      </c>
      <c r="U16" s="299" t="str">
        <f t="shared" si="16"/>
        <v>No</v>
      </c>
      <c r="V16" s="60"/>
      <c r="W16" s="60"/>
    </row>
    <row r="17" spans="1:42" ht="13.5" thickBot="1">
      <c r="A17" s="484"/>
      <c r="B17" s="95" t="s">
        <v>10</v>
      </c>
      <c r="C17" s="94" t="s">
        <v>385</v>
      </c>
      <c r="D17" s="104">
        <v>894.93</v>
      </c>
      <c r="E17" s="237">
        <f t="shared" si="6"/>
        <v>150</v>
      </c>
      <c r="F17" s="104">
        <v>185.4342</v>
      </c>
      <c r="G17" s="92">
        <v>0.75</v>
      </c>
      <c r="H17" s="251">
        <f t="shared" si="7"/>
        <v>139.07565</v>
      </c>
      <c r="I17" s="82">
        <f t="shared" si="8"/>
        <v>2</v>
      </c>
      <c r="J17" s="251">
        <f t="shared" si="12"/>
        <v>300</v>
      </c>
      <c r="K17" s="93">
        <f t="shared" si="1"/>
        <v>160.92435</v>
      </c>
      <c r="L17" s="92">
        <f t="shared" si="9"/>
        <v>0.46358549999999998</v>
      </c>
      <c r="M17" s="103" t="s">
        <v>384</v>
      </c>
      <c r="N17" s="103">
        <v>975.03499999999997</v>
      </c>
      <c r="O17" s="90">
        <f t="shared" si="10"/>
        <v>150</v>
      </c>
      <c r="P17" s="102">
        <f t="shared" si="13"/>
        <v>185.4342</v>
      </c>
      <c r="Q17" s="90">
        <v>0.75</v>
      </c>
      <c r="R17" s="89">
        <f t="shared" si="11"/>
        <v>139.07565</v>
      </c>
      <c r="S17" s="90">
        <f t="shared" si="14"/>
        <v>300</v>
      </c>
      <c r="T17" s="286">
        <f t="shared" si="15"/>
        <v>160.92435</v>
      </c>
      <c r="U17" s="299" t="str">
        <f t="shared" si="16"/>
        <v>No</v>
      </c>
      <c r="V17" s="60"/>
      <c r="W17" s="60"/>
    </row>
    <row r="18" spans="1:42" ht="13.5" thickBot="1">
      <c r="A18" s="484"/>
      <c r="B18" s="95" t="s">
        <v>11</v>
      </c>
      <c r="C18" s="94" t="s">
        <v>378</v>
      </c>
      <c r="D18" s="104">
        <v>839.23</v>
      </c>
      <c r="E18" s="237">
        <f t="shared" si="6"/>
        <v>150</v>
      </c>
      <c r="F18" s="104">
        <v>213.84829999999999</v>
      </c>
      <c r="G18" s="92">
        <v>0.75</v>
      </c>
      <c r="H18" s="251">
        <f t="shared" si="7"/>
        <v>160.386225</v>
      </c>
      <c r="I18" s="82">
        <f t="shared" si="8"/>
        <v>2</v>
      </c>
      <c r="J18" s="251">
        <f t="shared" si="12"/>
        <v>300</v>
      </c>
      <c r="K18" s="93">
        <f t="shared" si="1"/>
        <v>139.613775</v>
      </c>
      <c r="L18" s="92">
        <f t="shared" si="9"/>
        <v>0.53462074999999998</v>
      </c>
      <c r="M18" s="103" t="s">
        <v>420</v>
      </c>
      <c r="N18" s="103">
        <v>1025.3</v>
      </c>
      <c r="O18" s="90">
        <f t="shared" si="10"/>
        <v>150</v>
      </c>
      <c r="P18" s="102">
        <f t="shared" si="13"/>
        <v>213.84829999999999</v>
      </c>
      <c r="Q18" s="90">
        <v>0.75</v>
      </c>
      <c r="R18" s="89">
        <f t="shared" si="11"/>
        <v>160.386225</v>
      </c>
      <c r="S18" s="90">
        <f t="shared" si="14"/>
        <v>300</v>
      </c>
      <c r="T18" s="286">
        <f t="shared" si="15"/>
        <v>139.613775</v>
      </c>
      <c r="U18" s="299" t="str">
        <f t="shared" si="16"/>
        <v>No</v>
      </c>
      <c r="V18" s="191"/>
      <c r="W18" s="191"/>
    </row>
    <row r="19" spans="1:42" ht="13.5" thickBot="1">
      <c r="A19" s="484"/>
      <c r="B19" s="95" t="s">
        <v>12</v>
      </c>
      <c r="C19" s="94" t="s">
        <v>52</v>
      </c>
      <c r="D19" s="104">
        <v>428.91</v>
      </c>
      <c r="E19" s="237">
        <f t="shared" si="6"/>
        <v>200</v>
      </c>
      <c r="F19" s="104">
        <v>320.7817</v>
      </c>
      <c r="G19" s="92">
        <v>0.75</v>
      </c>
      <c r="H19" s="251">
        <f t="shared" si="7"/>
        <v>240.586275</v>
      </c>
      <c r="I19" s="82">
        <f t="shared" si="8"/>
        <v>2</v>
      </c>
      <c r="J19" s="251">
        <f t="shared" si="12"/>
        <v>400</v>
      </c>
      <c r="K19" s="93">
        <f t="shared" si="1"/>
        <v>159.413725</v>
      </c>
      <c r="L19" s="92">
        <f t="shared" si="9"/>
        <v>0.60146568749999996</v>
      </c>
      <c r="M19" s="103" t="s">
        <v>419</v>
      </c>
      <c r="N19" s="103">
        <v>440.09</v>
      </c>
      <c r="O19" s="90">
        <f t="shared" si="10"/>
        <v>200</v>
      </c>
      <c r="P19" s="102">
        <f t="shared" si="13"/>
        <v>320.7817</v>
      </c>
      <c r="Q19" s="90">
        <v>0.75</v>
      </c>
      <c r="R19" s="89">
        <f t="shared" si="11"/>
        <v>240.586275</v>
      </c>
      <c r="S19" s="90">
        <f t="shared" si="14"/>
        <v>400</v>
      </c>
      <c r="T19" s="286">
        <f t="shared" si="15"/>
        <v>159.413725</v>
      </c>
      <c r="U19" s="299" t="str">
        <f t="shared" si="16"/>
        <v>No</v>
      </c>
      <c r="V19" s="191"/>
      <c r="W19" s="191"/>
    </row>
    <row r="20" spans="1:42" ht="13.5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6"/>
        <v>200</v>
      </c>
      <c r="F20" s="93">
        <v>22.35</v>
      </c>
      <c r="G20" s="92">
        <v>0.75</v>
      </c>
      <c r="H20" s="251">
        <f t="shared" si="7"/>
        <v>16.762500000000003</v>
      </c>
      <c r="I20" s="82">
        <f t="shared" si="8"/>
        <v>1</v>
      </c>
      <c r="J20" s="251">
        <f t="shared" si="12"/>
        <v>200</v>
      </c>
      <c r="K20" s="93">
        <f t="shared" si="1"/>
        <v>183.23750000000001</v>
      </c>
      <c r="L20" s="92">
        <f t="shared" si="9"/>
        <v>8.3812500000000012E-2</v>
      </c>
      <c r="M20" s="91" t="s">
        <v>417</v>
      </c>
      <c r="N20" s="91">
        <v>541.49</v>
      </c>
      <c r="O20" s="90">
        <f t="shared" si="10"/>
        <v>150</v>
      </c>
      <c r="P20" s="90">
        <f t="shared" si="13"/>
        <v>22.35</v>
      </c>
      <c r="Q20" s="90">
        <v>0.75</v>
      </c>
      <c r="R20" s="89">
        <f t="shared" si="11"/>
        <v>16.762500000000003</v>
      </c>
      <c r="S20" s="90">
        <f t="shared" si="14"/>
        <v>150</v>
      </c>
      <c r="T20" s="286">
        <f t="shared" si="15"/>
        <v>133.23750000000001</v>
      </c>
      <c r="U20" s="297" t="str">
        <f t="shared" si="16"/>
        <v>No</v>
      </c>
      <c r="V20" s="308"/>
      <c r="W20" s="308"/>
    </row>
    <row r="21" spans="1:42" ht="13.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6"/>
        <v>200</v>
      </c>
      <c r="F21" s="83">
        <v>200.1122</v>
      </c>
      <c r="G21" s="82">
        <v>0.75</v>
      </c>
      <c r="H21" s="252">
        <f t="shared" si="7"/>
        <v>150.08414999999999</v>
      </c>
      <c r="I21" s="82">
        <f t="shared" si="8"/>
        <v>1</v>
      </c>
      <c r="J21" s="252">
        <f t="shared" si="12"/>
        <v>200</v>
      </c>
      <c r="K21" s="83">
        <f t="shared" si="1"/>
        <v>49.915850000000006</v>
      </c>
      <c r="L21" s="82">
        <f t="shared" si="9"/>
        <v>0.75042074999999997</v>
      </c>
      <c r="M21" s="81" t="s">
        <v>415</v>
      </c>
      <c r="N21" s="81">
        <v>733.18499999999995</v>
      </c>
      <c r="O21" s="80">
        <f t="shared" si="10"/>
        <v>150</v>
      </c>
      <c r="P21" s="80">
        <f t="shared" si="13"/>
        <v>200.1122</v>
      </c>
      <c r="Q21" s="80">
        <v>0.75</v>
      </c>
      <c r="R21" s="98">
        <f t="shared" si="11"/>
        <v>150.08414999999999</v>
      </c>
      <c r="S21" s="80">
        <f t="shared" si="14"/>
        <v>150</v>
      </c>
      <c r="T21" s="79">
        <f t="shared" si="15"/>
        <v>-8.4149999999993952E-2</v>
      </c>
      <c r="U21" s="286" t="str">
        <f t="shared" si="16"/>
        <v>Yes</v>
      </c>
      <c r="V21" s="191"/>
      <c r="W21" s="191"/>
    </row>
    <row r="22" spans="1:42" ht="13.5" thickBot="1">
      <c r="A22" s="484"/>
      <c r="B22" s="95" t="s">
        <v>414</v>
      </c>
      <c r="C22" s="94" t="s">
        <v>74</v>
      </c>
      <c r="D22" s="104">
        <v>632.29</v>
      </c>
      <c r="E22" s="237">
        <f t="shared" si="6"/>
        <v>150</v>
      </c>
      <c r="F22" s="104">
        <v>416.14780000000002</v>
      </c>
      <c r="G22" s="92">
        <v>0.75</v>
      </c>
      <c r="H22" s="251">
        <f t="shared" si="7"/>
        <v>312.11085000000003</v>
      </c>
      <c r="I22" s="82">
        <f t="shared" si="8"/>
        <v>3</v>
      </c>
      <c r="J22" s="251">
        <f t="shared" si="12"/>
        <v>450</v>
      </c>
      <c r="K22" s="93">
        <f t="shared" si="1"/>
        <v>137.88914999999997</v>
      </c>
      <c r="L22" s="92">
        <f t="shared" si="9"/>
        <v>0.69357966666666671</v>
      </c>
      <c r="M22" s="103" t="s">
        <v>361</v>
      </c>
      <c r="N22" s="103">
        <v>692.19500000000005</v>
      </c>
      <c r="O22" s="90">
        <f t="shared" si="10"/>
        <v>150</v>
      </c>
      <c r="P22" s="102">
        <f t="shared" si="13"/>
        <v>416.14780000000002</v>
      </c>
      <c r="Q22" s="90">
        <v>0.75</v>
      </c>
      <c r="R22" s="89">
        <f t="shared" si="11"/>
        <v>312.11085000000003</v>
      </c>
      <c r="S22" s="90">
        <f t="shared" si="14"/>
        <v>450</v>
      </c>
      <c r="T22" s="286">
        <f t="shared" si="15"/>
        <v>137.88914999999997</v>
      </c>
      <c r="U22" s="89" t="str">
        <f t="shared" si="16"/>
        <v>No</v>
      </c>
      <c r="V22" s="60"/>
      <c r="W22" s="60"/>
    </row>
    <row r="23" spans="1:42" ht="13.5" thickBot="1">
      <c r="A23" s="484"/>
      <c r="B23" s="95" t="s">
        <v>413</v>
      </c>
      <c r="C23" s="94" t="s">
        <v>412</v>
      </c>
      <c r="D23" s="104">
        <v>370.31</v>
      </c>
      <c r="E23" s="237">
        <f t="shared" si="6"/>
        <v>200</v>
      </c>
      <c r="F23" s="104">
        <v>24.103000000000002</v>
      </c>
      <c r="G23" s="92">
        <v>0.75</v>
      </c>
      <c r="H23" s="251">
        <f t="shared" si="7"/>
        <v>18.077249999999999</v>
      </c>
      <c r="I23" s="82">
        <f t="shared" si="8"/>
        <v>1</v>
      </c>
      <c r="J23" s="251">
        <f t="shared" si="12"/>
        <v>200</v>
      </c>
      <c r="K23" s="93">
        <f t="shared" si="1"/>
        <v>181.92275000000001</v>
      </c>
      <c r="L23" s="92">
        <f t="shared" si="9"/>
        <v>9.0386250000000001E-2</v>
      </c>
      <c r="M23" s="103" t="s">
        <v>411</v>
      </c>
      <c r="N23" s="103">
        <v>820.63</v>
      </c>
      <c r="O23" s="90">
        <f t="shared" si="10"/>
        <v>150</v>
      </c>
      <c r="P23" s="102">
        <f t="shared" si="13"/>
        <v>24.103000000000002</v>
      </c>
      <c r="Q23" s="90">
        <v>0.75</v>
      </c>
      <c r="R23" s="89">
        <f t="shared" si="11"/>
        <v>18.077249999999999</v>
      </c>
      <c r="S23" s="90">
        <f t="shared" si="14"/>
        <v>150</v>
      </c>
      <c r="T23" s="286">
        <f t="shared" si="15"/>
        <v>131.92275000000001</v>
      </c>
      <c r="U23" s="89" t="str">
        <f t="shared" si="16"/>
        <v>No</v>
      </c>
      <c r="V23" s="309"/>
      <c r="W23" s="309"/>
    </row>
    <row r="24" spans="1:42" ht="13.5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6"/>
        <v>200</v>
      </c>
      <c r="F24" s="93">
        <v>22.35</v>
      </c>
      <c r="G24" s="72">
        <v>0.75</v>
      </c>
      <c r="H24" s="253">
        <f t="shared" si="7"/>
        <v>16.762500000000003</v>
      </c>
      <c r="I24" s="82">
        <f t="shared" si="8"/>
        <v>1</v>
      </c>
      <c r="J24" s="253">
        <f t="shared" si="12"/>
        <v>200</v>
      </c>
      <c r="K24" s="73">
        <f t="shared" si="1"/>
        <v>183.23750000000001</v>
      </c>
      <c r="L24" s="72">
        <f t="shared" si="9"/>
        <v>8.3812500000000012E-2</v>
      </c>
      <c r="M24" s="91" t="s">
        <v>409</v>
      </c>
      <c r="N24" s="91">
        <v>660.63</v>
      </c>
      <c r="O24" s="114">
        <f t="shared" si="10"/>
        <v>150</v>
      </c>
      <c r="P24" s="90">
        <f t="shared" si="13"/>
        <v>22.35</v>
      </c>
      <c r="Q24" s="114">
        <v>0.75</v>
      </c>
      <c r="R24" s="69">
        <f t="shared" si="11"/>
        <v>16.762500000000003</v>
      </c>
      <c r="S24" s="114">
        <f t="shared" si="14"/>
        <v>150</v>
      </c>
      <c r="T24" s="288">
        <f t="shared" si="15"/>
        <v>133.23750000000001</v>
      </c>
      <c r="U24" s="89" t="str">
        <f t="shared" si="16"/>
        <v>No</v>
      </c>
      <c r="V24" s="309"/>
      <c r="W24" s="309"/>
    </row>
    <row r="25" spans="1:42" ht="13.5" thickBot="1">
      <c r="A25" s="153" t="s">
        <v>408</v>
      </c>
      <c r="B25" s="85" t="s">
        <v>407</v>
      </c>
      <c r="C25" s="152"/>
      <c r="D25" s="83"/>
      <c r="E25" s="93">
        <f t="shared" si="6"/>
        <v>300</v>
      </c>
      <c r="F25" s="83"/>
      <c r="G25" s="92">
        <v>0.75</v>
      </c>
      <c r="H25" s="251">
        <f t="shared" si="7"/>
        <v>0</v>
      </c>
      <c r="I25" s="82">
        <f t="shared" si="8"/>
        <v>0</v>
      </c>
      <c r="J25" s="251"/>
      <c r="K25" s="93"/>
      <c r="L25" s="92"/>
      <c r="M25" s="81"/>
      <c r="N25" s="81"/>
      <c r="O25" s="90">
        <f t="shared" si="10"/>
        <v>300</v>
      </c>
      <c r="P25" s="80"/>
      <c r="Q25" s="90">
        <v>0.75</v>
      </c>
      <c r="R25" s="89">
        <f t="shared" si="11"/>
        <v>0</v>
      </c>
      <c r="S25" s="90"/>
      <c r="T25" s="286"/>
      <c r="U25" s="300"/>
      <c r="V25" s="310"/>
      <c r="W25" s="310"/>
      <c r="AD25" s="5"/>
      <c r="AE25" s="5"/>
      <c r="AF25" s="5"/>
      <c r="AG25" s="5"/>
      <c r="AH25" s="5"/>
      <c r="AI25" s="5"/>
      <c r="AJ25" s="5"/>
      <c r="AK25" s="527"/>
      <c r="AL25" s="527"/>
      <c r="AM25" s="345"/>
      <c r="AN25" s="527"/>
      <c r="AO25" s="527"/>
      <c r="AP25" s="328"/>
    </row>
    <row r="26" spans="1:42" ht="13.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6"/>
        <v>200</v>
      </c>
      <c r="F26" s="83">
        <v>664.51419999999996</v>
      </c>
      <c r="G26" s="82">
        <v>0.75</v>
      </c>
      <c r="H26" s="252">
        <f t="shared" si="7"/>
        <v>498.38564999999994</v>
      </c>
      <c r="I26" s="82">
        <f t="shared" si="8"/>
        <v>3</v>
      </c>
      <c r="J26" s="252">
        <f t="shared" ref="J26:J56" si="17">I26*E26</f>
        <v>600</v>
      </c>
      <c r="K26" s="83">
        <f t="shared" si="1"/>
        <v>101.61435000000006</v>
      </c>
      <c r="L26" s="82">
        <f t="shared" si="9"/>
        <v>0.83064274999999987</v>
      </c>
      <c r="M26" s="81" t="s">
        <v>404</v>
      </c>
      <c r="N26" s="81">
        <v>799.22</v>
      </c>
      <c r="O26" s="80">
        <f t="shared" si="10"/>
        <v>150</v>
      </c>
      <c r="P26" s="80">
        <f t="shared" ref="P26:P56" si="18">F26</f>
        <v>664.51419999999996</v>
      </c>
      <c r="Q26" s="80">
        <v>0.75</v>
      </c>
      <c r="R26" s="98">
        <f t="shared" si="11"/>
        <v>498.38564999999994</v>
      </c>
      <c r="S26" s="80">
        <f t="shared" ref="S26:S56" si="19">O26*I26</f>
        <v>450</v>
      </c>
      <c r="T26" s="79">
        <f t="shared" ref="T26:T56" si="20">S26-R26</f>
        <v>-48.385649999999941</v>
      </c>
      <c r="U26" s="295" t="str">
        <f t="shared" ref="U26:U56" si="21">IF(T26&gt;=0,"No","Yes")</f>
        <v>Yes</v>
      </c>
      <c r="V26" s="311" t="s">
        <v>394</v>
      </c>
      <c r="W26" s="311">
        <v>35.950000000000003</v>
      </c>
      <c r="AD26" s="500"/>
      <c r="AE26" s="500"/>
      <c r="AF26" s="500"/>
      <c r="AG26" s="351"/>
      <c r="AH26" s="351"/>
      <c r="AI26" s="351"/>
      <c r="AJ26" s="351"/>
      <c r="AK26" s="352"/>
      <c r="AL26" s="352"/>
      <c r="AM26" s="351"/>
      <c r="AN26" s="344"/>
      <c r="AO26" s="344"/>
      <c r="AP26" s="328"/>
    </row>
    <row r="27" spans="1:42" ht="13.5" thickBot="1">
      <c r="A27" s="492"/>
      <c r="B27" s="75" t="s">
        <v>360</v>
      </c>
      <c r="C27" s="74" t="s">
        <v>55</v>
      </c>
      <c r="D27" s="147">
        <v>566.26</v>
      </c>
      <c r="E27" s="237">
        <f t="shared" si="6"/>
        <v>150</v>
      </c>
      <c r="F27" s="147">
        <v>424.66829999999999</v>
      </c>
      <c r="G27" s="72">
        <v>0.75</v>
      </c>
      <c r="H27" s="251">
        <f t="shared" si="7"/>
        <v>318.50122499999998</v>
      </c>
      <c r="I27" s="82">
        <f t="shared" si="8"/>
        <v>3</v>
      </c>
      <c r="J27" s="251">
        <f t="shared" si="17"/>
        <v>450</v>
      </c>
      <c r="K27" s="73">
        <f t="shared" si="1"/>
        <v>131.49877500000002</v>
      </c>
      <c r="L27" s="72">
        <f t="shared" si="9"/>
        <v>0.70778049999999992</v>
      </c>
      <c r="M27" s="146" t="s">
        <v>403</v>
      </c>
      <c r="N27" s="146">
        <v>973.76</v>
      </c>
      <c r="O27" s="114">
        <f t="shared" si="10"/>
        <v>150</v>
      </c>
      <c r="P27" s="70">
        <f t="shared" si="18"/>
        <v>424.66829999999999</v>
      </c>
      <c r="Q27" s="114">
        <v>0.75</v>
      </c>
      <c r="R27" s="89">
        <f t="shared" si="11"/>
        <v>318.50122499999998</v>
      </c>
      <c r="S27" s="114">
        <f t="shared" si="19"/>
        <v>450</v>
      </c>
      <c r="T27" s="288">
        <f t="shared" si="20"/>
        <v>131.49877500000002</v>
      </c>
      <c r="U27" s="286" t="str">
        <f t="shared" si="21"/>
        <v>No</v>
      </c>
      <c r="V27" s="309" t="s">
        <v>463</v>
      </c>
      <c r="W27" s="309">
        <v>27.85</v>
      </c>
      <c r="Z27" s="228" t="s">
        <v>453</v>
      </c>
      <c r="AD27" s="351"/>
      <c r="AE27" s="351"/>
      <c r="AF27" s="351"/>
      <c r="AG27" s="500"/>
      <c r="AH27" s="500"/>
      <c r="AI27" s="351"/>
      <c r="AJ27" s="351"/>
      <c r="AK27" s="351"/>
      <c r="AL27" s="351"/>
      <c r="AM27" s="351"/>
      <c r="AN27" s="345"/>
      <c r="AO27" s="345"/>
      <c r="AP27" s="328"/>
    </row>
    <row r="28" spans="1:42" ht="13.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6"/>
        <v>200</v>
      </c>
      <c r="F28" s="93">
        <v>414.50749999999999</v>
      </c>
      <c r="G28" s="92">
        <v>0.75</v>
      </c>
      <c r="H28" s="252">
        <f t="shared" si="7"/>
        <v>310.88062500000001</v>
      </c>
      <c r="I28" s="82">
        <f t="shared" si="8"/>
        <v>2</v>
      </c>
      <c r="J28" s="252">
        <f t="shared" si="17"/>
        <v>400</v>
      </c>
      <c r="K28" s="93">
        <f t="shared" si="1"/>
        <v>89.119374999999991</v>
      </c>
      <c r="L28" s="92">
        <f t="shared" si="9"/>
        <v>0.77720156250000005</v>
      </c>
      <c r="M28" s="91" t="s">
        <v>401</v>
      </c>
      <c r="N28" s="91">
        <v>849.47500000000002</v>
      </c>
      <c r="O28" s="90">
        <f t="shared" si="10"/>
        <v>150</v>
      </c>
      <c r="P28" s="90">
        <f t="shared" si="18"/>
        <v>414.50749999999999</v>
      </c>
      <c r="Q28" s="90">
        <v>0.75</v>
      </c>
      <c r="R28" s="98">
        <f t="shared" si="11"/>
        <v>310.88062500000001</v>
      </c>
      <c r="S28" s="90">
        <f t="shared" si="19"/>
        <v>300</v>
      </c>
      <c r="T28" s="286">
        <f t="shared" si="20"/>
        <v>-10.880625000000009</v>
      </c>
      <c r="U28" s="301" t="str">
        <f t="shared" si="21"/>
        <v>Yes</v>
      </c>
      <c r="V28" s="318"/>
      <c r="W28" s="319"/>
      <c r="Z28" s="324" t="s">
        <v>476</v>
      </c>
      <c r="AA28" s="325" t="s">
        <v>477</v>
      </c>
      <c r="AD28" s="497" t="s">
        <v>553</v>
      </c>
      <c r="AE28" s="498"/>
      <c r="AF28" s="498"/>
      <c r="AG28" s="498"/>
      <c r="AH28" s="498"/>
      <c r="AI28" s="499"/>
      <c r="AJ28" s="155"/>
      <c r="AK28" s="5"/>
      <c r="AL28" s="5"/>
      <c r="AM28" s="5"/>
      <c r="AN28" s="5"/>
      <c r="AO28" s="349"/>
      <c r="AP28" s="328"/>
    </row>
    <row r="29" spans="1:42" ht="13.5" thickBot="1">
      <c r="A29" s="484"/>
      <c r="B29" s="63" t="s">
        <v>400</v>
      </c>
      <c r="C29" s="109" t="s">
        <v>385</v>
      </c>
      <c r="D29" s="93">
        <v>894.93</v>
      </c>
      <c r="E29" s="237">
        <f t="shared" si="6"/>
        <v>150</v>
      </c>
      <c r="F29" s="93">
        <v>185.4342</v>
      </c>
      <c r="G29" s="92">
        <v>0.75</v>
      </c>
      <c r="H29" s="251">
        <f t="shared" si="7"/>
        <v>139.07565</v>
      </c>
      <c r="I29" s="82">
        <f t="shared" si="8"/>
        <v>2</v>
      </c>
      <c r="J29" s="251">
        <f t="shared" si="17"/>
        <v>300</v>
      </c>
      <c r="K29" s="93">
        <f t="shared" si="1"/>
        <v>160.92435</v>
      </c>
      <c r="L29" s="92">
        <f t="shared" si="9"/>
        <v>0.46358549999999998</v>
      </c>
      <c r="M29" s="91" t="s">
        <v>384</v>
      </c>
      <c r="N29" s="91">
        <v>975.03499999999997</v>
      </c>
      <c r="O29" s="90">
        <f t="shared" si="10"/>
        <v>150</v>
      </c>
      <c r="P29" s="90">
        <f t="shared" si="18"/>
        <v>185.4342</v>
      </c>
      <c r="Q29" s="90">
        <v>0.75</v>
      </c>
      <c r="R29" s="89">
        <f t="shared" si="11"/>
        <v>139.07565</v>
      </c>
      <c r="S29" s="90">
        <f t="shared" si="19"/>
        <v>300</v>
      </c>
      <c r="T29" s="286">
        <f t="shared" si="20"/>
        <v>160.92435</v>
      </c>
      <c r="U29" s="298" t="str">
        <f t="shared" si="21"/>
        <v>No</v>
      </c>
      <c r="V29" s="320" t="s">
        <v>463</v>
      </c>
      <c r="W29" s="240" t="s">
        <v>494</v>
      </c>
      <c r="Z29" s="322" t="s">
        <v>394</v>
      </c>
      <c r="AA29" s="326">
        <v>35.950000000000003</v>
      </c>
      <c r="AD29" s="355" t="s">
        <v>484</v>
      </c>
      <c r="AE29" s="357" t="s">
        <v>485</v>
      </c>
      <c r="AF29" s="357" t="s">
        <v>486</v>
      </c>
      <c r="AG29" s="357" t="s">
        <v>487</v>
      </c>
      <c r="AH29" s="357" t="s">
        <v>488</v>
      </c>
      <c r="AI29" s="358" t="s">
        <v>489</v>
      </c>
      <c r="AJ29" s="270" t="s">
        <v>416</v>
      </c>
      <c r="AK29" s="5"/>
      <c r="AL29" s="5"/>
      <c r="AM29" s="5"/>
      <c r="AN29" s="5"/>
      <c r="AO29" s="345"/>
      <c r="AP29" s="328"/>
    </row>
    <row r="30" spans="1:42" ht="13.5" thickBot="1">
      <c r="A30" s="484"/>
      <c r="B30" s="95" t="s">
        <v>399</v>
      </c>
      <c r="C30" s="94" t="s">
        <v>378</v>
      </c>
      <c r="D30" s="104">
        <v>839.23</v>
      </c>
      <c r="E30" s="237">
        <f t="shared" si="6"/>
        <v>150</v>
      </c>
      <c r="F30" s="104">
        <v>213.84829999999999</v>
      </c>
      <c r="G30" s="92">
        <v>0.75</v>
      </c>
      <c r="H30" s="251">
        <f t="shared" si="7"/>
        <v>160.386225</v>
      </c>
      <c r="I30" s="82">
        <f t="shared" si="8"/>
        <v>2</v>
      </c>
      <c r="J30" s="251">
        <f t="shared" si="17"/>
        <v>300</v>
      </c>
      <c r="K30" s="93">
        <f t="shared" si="1"/>
        <v>139.613775</v>
      </c>
      <c r="L30" s="92">
        <f t="shared" si="9"/>
        <v>0.53462074999999998</v>
      </c>
      <c r="M30" s="103" t="s">
        <v>398</v>
      </c>
      <c r="N30" s="103">
        <v>1347.24</v>
      </c>
      <c r="O30" s="90">
        <f t="shared" si="10"/>
        <v>100</v>
      </c>
      <c r="P30" s="102">
        <f t="shared" si="18"/>
        <v>213.84829999999999</v>
      </c>
      <c r="Q30" s="90">
        <v>0.75</v>
      </c>
      <c r="R30" s="89">
        <f t="shared" si="11"/>
        <v>160.386225</v>
      </c>
      <c r="S30" s="90">
        <f t="shared" si="19"/>
        <v>200</v>
      </c>
      <c r="T30" s="286">
        <f t="shared" si="20"/>
        <v>39.613775000000004</v>
      </c>
      <c r="U30" s="302" t="str">
        <f t="shared" si="21"/>
        <v>No</v>
      </c>
      <c r="V30" s="320" t="s">
        <v>11</v>
      </c>
      <c r="W30" s="240">
        <v>11.52</v>
      </c>
      <c r="Z30" s="322" t="s">
        <v>7</v>
      </c>
      <c r="AA30" s="326">
        <v>29.07</v>
      </c>
      <c r="AD30" s="60" t="s">
        <v>84</v>
      </c>
      <c r="AE30" s="359">
        <v>0</v>
      </c>
      <c r="AF30" s="359">
        <v>0</v>
      </c>
      <c r="AG30" s="360">
        <v>0</v>
      </c>
      <c r="AH30" s="360">
        <v>0</v>
      </c>
      <c r="AI30" s="292">
        <v>0</v>
      </c>
      <c r="AJ30" s="361">
        <f>SUM(AE30:AI30)</f>
        <v>0</v>
      </c>
      <c r="AK30" s="5"/>
      <c r="AL30" s="5"/>
      <c r="AM30" s="5"/>
      <c r="AN30" s="5"/>
      <c r="AO30" s="345"/>
      <c r="AP30" s="328"/>
    </row>
    <row r="31" spans="1:42" ht="13.5" thickBot="1">
      <c r="A31" s="484"/>
      <c r="B31" s="95" t="s">
        <v>397</v>
      </c>
      <c r="C31" s="94" t="s">
        <v>52</v>
      </c>
      <c r="D31" s="93">
        <v>428.91</v>
      </c>
      <c r="E31" s="237">
        <f t="shared" si="6"/>
        <v>200</v>
      </c>
      <c r="F31" s="93">
        <v>320.7817</v>
      </c>
      <c r="G31" s="92">
        <v>0.75</v>
      </c>
      <c r="H31" s="251">
        <f t="shared" si="7"/>
        <v>240.586275</v>
      </c>
      <c r="I31" s="82">
        <f t="shared" si="8"/>
        <v>2</v>
      </c>
      <c r="J31" s="251">
        <f t="shared" si="17"/>
        <v>400</v>
      </c>
      <c r="K31" s="93">
        <f t="shared" si="1"/>
        <v>159.413725</v>
      </c>
      <c r="L31" s="92">
        <f t="shared" si="9"/>
        <v>0.60146568749999996</v>
      </c>
      <c r="M31" s="91" t="s">
        <v>396</v>
      </c>
      <c r="N31" s="91">
        <v>762.03</v>
      </c>
      <c r="O31" s="90">
        <f t="shared" si="10"/>
        <v>150</v>
      </c>
      <c r="P31" s="90">
        <f t="shared" si="18"/>
        <v>320.7817</v>
      </c>
      <c r="Q31" s="90">
        <v>0.75</v>
      </c>
      <c r="R31" s="89">
        <f t="shared" si="11"/>
        <v>240.586275</v>
      </c>
      <c r="S31" s="90">
        <f t="shared" si="19"/>
        <v>300</v>
      </c>
      <c r="T31" s="286">
        <f t="shared" si="20"/>
        <v>59.413724999999999</v>
      </c>
      <c r="U31" s="302" t="str">
        <f t="shared" si="21"/>
        <v>No</v>
      </c>
      <c r="V31" s="320" t="s">
        <v>14</v>
      </c>
      <c r="W31" s="240">
        <v>119.59</v>
      </c>
      <c r="Z31" s="322" t="s">
        <v>11</v>
      </c>
      <c r="AA31" s="326">
        <v>11.52</v>
      </c>
      <c r="AD31" s="60" t="s">
        <v>85</v>
      </c>
      <c r="AE31" s="359">
        <v>1</v>
      </c>
      <c r="AF31" s="359">
        <v>0</v>
      </c>
      <c r="AG31" s="359">
        <v>0</v>
      </c>
      <c r="AH31" s="359">
        <v>0</v>
      </c>
      <c r="AI31" s="292">
        <v>0</v>
      </c>
      <c r="AJ31" s="60">
        <f t="shared" ref="AJ31:AJ41" si="22">SUM(AE31:AI31)</f>
        <v>1</v>
      </c>
      <c r="AK31" s="5"/>
      <c r="AL31" s="5"/>
      <c r="AM31" s="5"/>
      <c r="AN31" s="5"/>
      <c r="AO31" s="345"/>
      <c r="AP31" s="328"/>
    </row>
    <row r="32" spans="1:42" ht="13.5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6"/>
        <v>250</v>
      </c>
      <c r="F32" s="93">
        <v>277.57420000000002</v>
      </c>
      <c r="G32" s="92">
        <v>0.75</v>
      </c>
      <c r="H32" s="251">
        <f t="shared" si="7"/>
        <v>208.18065000000001</v>
      </c>
      <c r="I32" s="82">
        <f t="shared" si="8"/>
        <v>1</v>
      </c>
      <c r="J32" s="251">
        <f t="shared" si="17"/>
        <v>250</v>
      </c>
      <c r="K32" s="93">
        <f t="shared" si="1"/>
        <v>41.819349999999986</v>
      </c>
      <c r="L32" s="92">
        <f t="shared" si="9"/>
        <v>0.83272260000000009</v>
      </c>
      <c r="M32" s="91" t="s">
        <v>393</v>
      </c>
      <c r="N32" s="91">
        <v>922.03</v>
      </c>
      <c r="O32" s="90">
        <f t="shared" si="10"/>
        <v>150</v>
      </c>
      <c r="P32" s="102">
        <f t="shared" si="18"/>
        <v>277.57420000000002</v>
      </c>
      <c r="Q32" s="90">
        <v>0.75</v>
      </c>
      <c r="R32" s="89">
        <f t="shared" si="11"/>
        <v>208.18065000000001</v>
      </c>
      <c r="S32" s="90">
        <f t="shared" si="19"/>
        <v>150</v>
      </c>
      <c r="T32" s="286">
        <f t="shared" si="20"/>
        <v>-58.180650000000014</v>
      </c>
      <c r="U32" s="303" t="str">
        <f t="shared" si="21"/>
        <v>Yes</v>
      </c>
      <c r="V32" s="321"/>
      <c r="W32" s="306"/>
      <c r="Z32" s="322" t="s">
        <v>14</v>
      </c>
      <c r="AA32" s="326">
        <v>119.59</v>
      </c>
      <c r="AD32" s="60" t="s">
        <v>86</v>
      </c>
      <c r="AE32" s="359">
        <v>0</v>
      </c>
      <c r="AF32" s="359">
        <v>0</v>
      </c>
      <c r="AG32" s="359">
        <v>0</v>
      </c>
      <c r="AH32" s="359">
        <v>0</v>
      </c>
      <c r="AI32" s="292">
        <v>0</v>
      </c>
      <c r="AJ32" s="60">
        <f t="shared" si="22"/>
        <v>0</v>
      </c>
      <c r="AK32" s="5"/>
      <c r="AL32" s="471" t="s">
        <v>490</v>
      </c>
      <c r="AM32" s="471" t="s">
        <v>491</v>
      </c>
      <c r="AN32" s="363" t="s">
        <v>492</v>
      </c>
      <c r="AO32" s="345"/>
      <c r="AP32" s="328"/>
    </row>
    <row r="33" spans="1:44" ht="13.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6"/>
        <v>150</v>
      </c>
      <c r="F33" s="83">
        <v>593.39</v>
      </c>
      <c r="G33" s="82">
        <v>0.75</v>
      </c>
      <c r="H33" s="252">
        <f t="shared" si="7"/>
        <v>445.04250000000002</v>
      </c>
      <c r="I33" s="82">
        <f t="shared" si="8"/>
        <v>4</v>
      </c>
      <c r="J33" s="252">
        <f t="shared" si="17"/>
        <v>600</v>
      </c>
      <c r="K33" s="83">
        <f t="shared" si="1"/>
        <v>154.95749999999998</v>
      </c>
      <c r="L33" s="82">
        <f t="shared" si="9"/>
        <v>0.74173750000000005</v>
      </c>
      <c r="M33" s="81" t="s">
        <v>390</v>
      </c>
      <c r="N33" s="81">
        <v>778.62</v>
      </c>
      <c r="O33" s="80">
        <f t="shared" si="10"/>
        <v>150</v>
      </c>
      <c r="P33" s="80">
        <f t="shared" si="18"/>
        <v>593.39</v>
      </c>
      <c r="Q33" s="80">
        <v>0.75</v>
      </c>
      <c r="R33" s="98">
        <f t="shared" si="11"/>
        <v>445.04250000000002</v>
      </c>
      <c r="S33" s="80">
        <f t="shared" si="19"/>
        <v>600</v>
      </c>
      <c r="T33" s="79">
        <f t="shared" si="20"/>
        <v>154.95749999999998</v>
      </c>
      <c r="U33" s="286" t="str">
        <f t="shared" si="21"/>
        <v>No</v>
      </c>
      <c r="V33" s="60"/>
      <c r="W33" s="60"/>
      <c r="Z33" s="322" t="s">
        <v>327</v>
      </c>
      <c r="AA33" s="326">
        <v>296.52999999999997</v>
      </c>
      <c r="AD33" s="60" t="s">
        <v>87</v>
      </c>
      <c r="AE33" s="359">
        <v>1</v>
      </c>
      <c r="AF33" s="359">
        <v>1</v>
      </c>
      <c r="AG33" s="359">
        <v>0</v>
      </c>
      <c r="AH33" s="359">
        <v>0</v>
      </c>
      <c r="AI33" s="292">
        <v>0</v>
      </c>
      <c r="AJ33" s="60">
        <f t="shared" si="22"/>
        <v>2</v>
      </c>
      <c r="AK33" s="5"/>
      <c r="AL33" s="61" t="s">
        <v>485</v>
      </c>
      <c r="AM33" s="61">
        <v>100</v>
      </c>
      <c r="AN33" s="420">
        <v>15</v>
      </c>
      <c r="AO33" s="345"/>
      <c r="AP33" s="328"/>
    </row>
    <row r="34" spans="1:44" ht="13.5" thickBot="1">
      <c r="A34" s="484"/>
      <c r="B34" s="95" t="s">
        <v>386</v>
      </c>
      <c r="C34" s="94" t="s">
        <v>385</v>
      </c>
      <c r="D34" s="104">
        <v>894.93</v>
      </c>
      <c r="E34" s="237">
        <f t="shared" si="6"/>
        <v>150</v>
      </c>
      <c r="F34" s="104">
        <v>185.4342</v>
      </c>
      <c r="G34" s="92">
        <v>0.75</v>
      </c>
      <c r="H34" s="251">
        <f t="shared" si="7"/>
        <v>139.07565</v>
      </c>
      <c r="I34" s="82">
        <f t="shared" si="8"/>
        <v>2</v>
      </c>
      <c r="J34" s="251">
        <f t="shared" si="17"/>
        <v>300</v>
      </c>
      <c r="K34" s="93">
        <f t="shared" si="1"/>
        <v>160.92435</v>
      </c>
      <c r="L34" s="92">
        <f t="shared" si="9"/>
        <v>0.46358549999999998</v>
      </c>
      <c r="M34" s="103" t="s">
        <v>384</v>
      </c>
      <c r="N34" s="103">
        <v>975.03499999999997</v>
      </c>
      <c r="O34" s="90">
        <f t="shared" si="10"/>
        <v>150</v>
      </c>
      <c r="P34" s="102">
        <f t="shared" si="18"/>
        <v>185.4342</v>
      </c>
      <c r="Q34" s="90">
        <v>0.75</v>
      </c>
      <c r="R34" s="89">
        <f t="shared" si="11"/>
        <v>139.07565</v>
      </c>
      <c r="S34" s="90">
        <f t="shared" si="19"/>
        <v>300</v>
      </c>
      <c r="T34" s="286">
        <f t="shared" si="20"/>
        <v>160.92435</v>
      </c>
      <c r="U34" s="286" t="str">
        <f t="shared" si="21"/>
        <v>No</v>
      </c>
      <c r="V34" s="60"/>
      <c r="W34" s="60"/>
      <c r="Z34" s="322" t="s">
        <v>27</v>
      </c>
      <c r="AA34" s="326">
        <v>142.13</v>
      </c>
      <c r="AD34" s="60" t="s">
        <v>88</v>
      </c>
      <c r="AE34" s="359">
        <v>0</v>
      </c>
      <c r="AF34" s="359">
        <v>1</v>
      </c>
      <c r="AG34" s="359">
        <v>0</v>
      </c>
      <c r="AH34" s="359">
        <v>0</v>
      </c>
      <c r="AI34" s="292">
        <v>0</v>
      </c>
      <c r="AJ34" s="60">
        <f t="shared" si="22"/>
        <v>1</v>
      </c>
      <c r="AK34" s="351"/>
      <c r="AL34" s="364" t="s">
        <v>486</v>
      </c>
      <c r="AM34" s="364">
        <v>150</v>
      </c>
      <c r="AN34" s="421">
        <v>16.3689</v>
      </c>
      <c r="AO34" s="345"/>
      <c r="AP34" s="328"/>
    </row>
    <row r="35" spans="1:44" ht="13.5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6"/>
        <v>150</v>
      </c>
      <c r="F35" s="93">
        <v>491.47570000000002</v>
      </c>
      <c r="G35" s="72">
        <v>0.75</v>
      </c>
      <c r="H35" s="251">
        <f t="shared" si="7"/>
        <v>368.60677500000003</v>
      </c>
      <c r="I35" s="82">
        <f t="shared" si="8"/>
        <v>3</v>
      </c>
      <c r="J35" s="251">
        <f t="shared" si="17"/>
        <v>450</v>
      </c>
      <c r="K35" s="73">
        <f t="shared" si="1"/>
        <v>81.393224999999973</v>
      </c>
      <c r="L35" s="72">
        <f t="shared" si="9"/>
        <v>0.81912616666666671</v>
      </c>
      <c r="M35" s="91" t="s">
        <v>380</v>
      </c>
      <c r="N35" s="91">
        <v>660.12</v>
      </c>
      <c r="O35" s="114">
        <f t="shared" si="10"/>
        <v>150</v>
      </c>
      <c r="P35" s="90">
        <f t="shared" si="18"/>
        <v>491.47570000000002</v>
      </c>
      <c r="Q35" s="114">
        <v>0.75</v>
      </c>
      <c r="R35" s="89">
        <f t="shared" si="11"/>
        <v>368.60677500000003</v>
      </c>
      <c r="S35" s="114">
        <f t="shared" si="19"/>
        <v>450</v>
      </c>
      <c r="T35" s="288">
        <f t="shared" si="20"/>
        <v>81.393224999999973</v>
      </c>
      <c r="U35" s="286" t="str">
        <f t="shared" si="21"/>
        <v>No</v>
      </c>
      <c r="V35" s="312"/>
      <c r="W35" s="312"/>
      <c r="Z35" s="322" t="s">
        <v>31</v>
      </c>
      <c r="AA35" s="326">
        <v>80.77</v>
      </c>
      <c r="AD35" s="60" t="s">
        <v>89</v>
      </c>
      <c r="AE35" s="359">
        <v>0</v>
      </c>
      <c r="AF35" s="359">
        <v>0</v>
      </c>
      <c r="AG35" s="359">
        <v>0</v>
      </c>
      <c r="AH35" s="359">
        <v>0</v>
      </c>
      <c r="AI35" s="292">
        <v>0</v>
      </c>
      <c r="AJ35" s="60">
        <f t="shared" si="22"/>
        <v>0</v>
      </c>
      <c r="AK35" s="352"/>
      <c r="AL35" s="364" t="s">
        <v>487</v>
      </c>
      <c r="AM35" s="364">
        <v>200</v>
      </c>
      <c r="AN35" s="421">
        <v>16.746700000000001</v>
      </c>
      <c r="AO35" s="345"/>
      <c r="AP35" s="328"/>
    </row>
    <row r="36" spans="1:44" ht="13.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6"/>
        <v>150</v>
      </c>
      <c r="F36" s="83">
        <v>213.84829999999999</v>
      </c>
      <c r="G36" s="92">
        <v>0.75</v>
      </c>
      <c r="H36" s="252">
        <f t="shared" si="7"/>
        <v>160.386225</v>
      </c>
      <c r="I36" s="82">
        <f t="shared" si="8"/>
        <v>2</v>
      </c>
      <c r="J36" s="252">
        <f t="shared" si="17"/>
        <v>300</v>
      </c>
      <c r="K36" s="93">
        <f t="shared" si="1"/>
        <v>139.613775</v>
      </c>
      <c r="L36" s="92">
        <f t="shared" si="9"/>
        <v>0.53462074999999998</v>
      </c>
      <c r="M36" s="81" t="s">
        <v>377</v>
      </c>
      <c r="N36" s="81">
        <v>844.89</v>
      </c>
      <c r="O36" s="90">
        <f t="shared" si="10"/>
        <v>150</v>
      </c>
      <c r="P36" s="80">
        <f t="shared" si="18"/>
        <v>213.84829999999999</v>
      </c>
      <c r="Q36" s="90">
        <v>0.75</v>
      </c>
      <c r="R36" s="98">
        <f t="shared" si="11"/>
        <v>160.386225</v>
      </c>
      <c r="S36" s="90">
        <f t="shared" si="19"/>
        <v>300</v>
      </c>
      <c r="T36" s="286">
        <f t="shared" si="20"/>
        <v>139.613775</v>
      </c>
      <c r="U36" s="301" t="str">
        <f t="shared" si="21"/>
        <v>No</v>
      </c>
      <c r="V36" s="210"/>
      <c r="W36" s="210"/>
      <c r="Z36" s="322" t="s">
        <v>19</v>
      </c>
      <c r="AA36" s="326">
        <v>37.57</v>
      </c>
      <c r="AD36" s="60" t="s">
        <v>90</v>
      </c>
      <c r="AE36" s="359">
        <v>1</v>
      </c>
      <c r="AF36" s="359">
        <v>0</v>
      </c>
      <c r="AG36" s="359">
        <v>0</v>
      </c>
      <c r="AH36" s="359">
        <v>0</v>
      </c>
      <c r="AI36" s="292">
        <v>0</v>
      </c>
      <c r="AJ36" s="60">
        <f t="shared" si="22"/>
        <v>1</v>
      </c>
      <c r="AK36" s="352"/>
      <c r="AL36" s="364" t="s">
        <v>488</v>
      </c>
      <c r="AM36" s="364">
        <v>250</v>
      </c>
      <c r="AN36" s="421">
        <v>16.886600000000001</v>
      </c>
      <c r="AO36" s="345"/>
      <c r="AP36" s="328"/>
    </row>
    <row r="37" spans="1:44" ht="13.5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6"/>
        <v>200</v>
      </c>
      <c r="F37" s="93">
        <v>1151.328</v>
      </c>
      <c r="G37" s="92">
        <v>0.75</v>
      </c>
      <c r="H37" s="253">
        <f t="shared" si="7"/>
        <v>863.49599999999998</v>
      </c>
      <c r="I37" s="82">
        <f t="shared" si="8"/>
        <v>6</v>
      </c>
      <c r="J37" s="253">
        <f t="shared" si="17"/>
        <v>1200</v>
      </c>
      <c r="K37" s="93">
        <f t="shared" si="1"/>
        <v>336.50400000000002</v>
      </c>
      <c r="L37" s="92">
        <f t="shared" si="9"/>
        <v>0.71958</v>
      </c>
      <c r="M37" s="91" t="s">
        <v>374</v>
      </c>
      <c r="N37" s="91">
        <v>503.42500000000001</v>
      </c>
      <c r="O37" s="90">
        <f t="shared" si="10"/>
        <v>200</v>
      </c>
      <c r="P37" s="90">
        <f t="shared" si="18"/>
        <v>1151.328</v>
      </c>
      <c r="Q37" s="90">
        <v>0.75</v>
      </c>
      <c r="R37" s="69">
        <f t="shared" si="11"/>
        <v>863.49599999999998</v>
      </c>
      <c r="S37" s="90">
        <f t="shared" si="19"/>
        <v>1200</v>
      </c>
      <c r="T37" s="286">
        <f t="shared" si="20"/>
        <v>336.50400000000002</v>
      </c>
      <c r="U37" s="303" t="str">
        <f t="shared" si="21"/>
        <v>No</v>
      </c>
      <c r="V37" s="307"/>
      <c r="W37" s="307"/>
      <c r="Z37" s="322" t="s">
        <v>28</v>
      </c>
      <c r="AA37" s="326">
        <v>118.61</v>
      </c>
      <c r="AD37" s="60" t="s">
        <v>91</v>
      </c>
      <c r="AE37" s="359">
        <v>1</v>
      </c>
      <c r="AF37" s="359">
        <v>2</v>
      </c>
      <c r="AG37" s="292">
        <v>0</v>
      </c>
      <c r="AH37" s="292">
        <v>0</v>
      </c>
      <c r="AI37" s="292">
        <v>0</v>
      </c>
      <c r="AJ37" s="60">
        <f t="shared" si="22"/>
        <v>3</v>
      </c>
      <c r="AK37" s="351"/>
      <c r="AL37" s="365" t="s">
        <v>525</v>
      </c>
      <c r="AM37" s="365">
        <v>300</v>
      </c>
      <c r="AN37" s="422">
        <v>17</v>
      </c>
      <c r="AO37" s="345"/>
      <c r="AP37" s="328"/>
    </row>
    <row r="38" spans="1:44" ht="13.5" thickBot="1">
      <c r="A38" s="272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6"/>
        <v>250</v>
      </c>
      <c r="F38" s="83">
        <v>779.52329999999995</v>
      </c>
      <c r="G38" s="169">
        <v>0.75</v>
      </c>
      <c r="H38" s="251">
        <f t="shared" si="7"/>
        <v>584.64247499999999</v>
      </c>
      <c r="I38" s="82">
        <f t="shared" si="8"/>
        <v>3</v>
      </c>
      <c r="J38" s="251">
        <f t="shared" si="17"/>
        <v>750</v>
      </c>
      <c r="K38" s="170">
        <f t="shared" si="1"/>
        <v>165.35752500000001</v>
      </c>
      <c r="L38" s="169">
        <f t="shared" si="9"/>
        <v>0.77952330000000003</v>
      </c>
      <c r="M38" s="81" t="s">
        <v>371</v>
      </c>
      <c r="N38" s="81">
        <v>539.80499999999995</v>
      </c>
      <c r="O38" s="167">
        <f t="shared" si="10"/>
        <v>150</v>
      </c>
      <c r="P38" s="80">
        <f t="shared" si="18"/>
        <v>779.52329999999995</v>
      </c>
      <c r="Q38" s="167">
        <v>0.75</v>
      </c>
      <c r="R38" s="89">
        <f t="shared" si="11"/>
        <v>584.64247499999999</v>
      </c>
      <c r="S38" s="167">
        <f t="shared" si="19"/>
        <v>450</v>
      </c>
      <c r="T38" s="287">
        <f t="shared" si="20"/>
        <v>-134.64247499999999</v>
      </c>
      <c r="U38" s="295" t="str">
        <f t="shared" si="21"/>
        <v>Yes</v>
      </c>
      <c r="V38" s="191" t="s">
        <v>468</v>
      </c>
      <c r="W38" s="191" t="s">
        <v>473</v>
      </c>
      <c r="Z38" s="322" t="s">
        <v>30</v>
      </c>
      <c r="AA38" s="326">
        <v>105.59</v>
      </c>
      <c r="AD38" s="60" t="s">
        <v>92</v>
      </c>
      <c r="AE38" s="292">
        <v>0</v>
      </c>
      <c r="AF38" s="292">
        <v>1</v>
      </c>
      <c r="AG38" s="292">
        <v>0</v>
      </c>
      <c r="AH38" s="292">
        <v>0</v>
      </c>
      <c r="AI38" s="292">
        <v>0</v>
      </c>
      <c r="AJ38" s="60">
        <f t="shared" si="22"/>
        <v>1</v>
      </c>
      <c r="AK38" s="351"/>
      <c r="AL38" s="351"/>
      <c r="AM38" s="351"/>
      <c r="AN38" s="5"/>
      <c r="AO38" s="345"/>
      <c r="AP38" s="328"/>
    </row>
    <row r="39" spans="1:44" ht="13.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6"/>
        <v>250</v>
      </c>
      <c r="F39" s="83">
        <v>886.15449999999998</v>
      </c>
      <c r="G39" s="92">
        <v>0.75</v>
      </c>
      <c r="H39" s="252">
        <f t="shared" si="7"/>
        <v>664.61587499999996</v>
      </c>
      <c r="I39" s="82">
        <f t="shared" si="8"/>
        <v>4</v>
      </c>
      <c r="J39" s="252">
        <f t="shared" si="17"/>
        <v>1000</v>
      </c>
      <c r="K39" s="93">
        <f t="shared" si="1"/>
        <v>335.38412500000004</v>
      </c>
      <c r="L39" s="92">
        <f t="shared" si="9"/>
        <v>0.66461587499999997</v>
      </c>
      <c r="M39" s="81" t="s">
        <v>366</v>
      </c>
      <c r="N39" s="81">
        <v>585.61500000000001</v>
      </c>
      <c r="O39" s="90">
        <f t="shared" si="10"/>
        <v>150</v>
      </c>
      <c r="P39" s="80">
        <f t="shared" si="18"/>
        <v>886.15449999999998</v>
      </c>
      <c r="Q39" s="90">
        <v>0.75</v>
      </c>
      <c r="R39" s="98">
        <f t="shared" si="11"/>
        <v>664.61587499999996</v>
      </c>
      <c r="S39" s="90">
        <f t="shared" si="19"/>
        <v>600</v>
      </c>
      <c r="T39" s="286">
        <f t="shared" si="20"/>
        <v>-64.61587499999996</v>
      </c>
      <c r="U39" s="304" t="str">
        <f t="shared" si="21"/>
        <v>Yes</v>
      </c>
      <c r="V39" s="192" t="s">
        <v>452</v>
      </c>
      <c r="W39" s="192" t="s">
        <v>474</v>
      </c>
      <c r="Z39" s="323" t="s">
        <v>31</v>
      </c>
      <c r="AA39" s="327">
        <v>27.91</v>
      </c>
      <c r="AD39" s="60" t="s">
        <v>93</v>
      </c>
      <c r="AE39" s="292">
        <v>1</v>
      </c>
      <c r="AF39" s="359">
        <v>1</v>
      </c>
      <c r="AG39" s="292">
        <v>0</v>
      </c>
      <c r="AH39" s="292">
        <v>0</v>
      </c>
      <c r="AI39" s="292">
        <v>0</v>
      </c>
      <c r="AJ39" s="60">
        <f t="shared" si="22"/>
        <v>2</v>
      </c>
      <c r="AK39" s="351"/>
      <c r="AL39" s="351"/>
      <c r="AM39" s="351"/>
      <c r="AN39" s="5"/>
      <c r="AO39" s="345"/>
      <c r="AP39" s="328"/>
    </row>
    <row r="40" spans="1:44" ht="13.5" thickBot="1">
      <c r="A40" s="507"/>
      <c r="B40" s="75" t="s">
        <v>364</v>
      </c>
      <c r="C40" s="74" t="s">
        <v>61</v>
      </c>
      <c r="D40" s="73">
        <v>381.34</v>
      </c>
      <c r="E40" s="237">
        <f t="shared" si="6"/>
        <v>200</v>
      </c>
      <c r="F40" s="73">
        <v>233.80699999999999</v>
      </c>
      <c r="G40" s="92">
        <v>0.75</v>
      </c>
      <c r="H40" s="251">
        <f t="shared" si="7"/>
        <v>175.35524999999998</v>
      </c>
      <c r="I40" s="82">
        <f t="shared" si="8"/>
        <v>2</v>
      </c>
      <c r="J40" s="251">
        <f t="shared" si="17"/>
        <v>400</v>
      </c>
      <c r="K40" s="93">
        <f t="shared" si="1"/>
        <v>224.64475000000002</v>
      </c>
      <c r="L40" s="92">
        <f t="shared" si="9"/>
        <v>0.43838812499999996</v>
      </c>
      <c r="M40" s="71" t="s">
        <v>328</v>
      </c>
      <c r="N40" s="71">
        <v>673.16499999999996</v>
      </c>
      <c r="O40" s="90">
        <f t="shared" si="10"/>
        <v>150</v>
      </c>
      <c r="P40" s="114">
        <f t="shared" si="18"/>
        <v>233.80699999999999</v>
      </c>
      <c r="Q40" s="90">
        <v>0.75</v>
      </c>
      <c r="R40" s="89">
        <f t="shared" si="11"/>
        <v>175.35524999999998</v>
      </c>
      <c r="S40" s="90">
        <f t="shared" si="19"/>
        <v>300</v>
      </c>
      <c r="T40" s="286">
        <f t="shared" si="20"/>
        <v>124.64475000000002</v>
      </c>
      <c r="U40" s="303" t="str">
        <f t="shared" si="21"/>
        <v>No</v>
      </c>
      <c r="V40" s="308" t="s">
        <v>470</v>
      </c>
      <c r="W40" s="308" t="s">
        <v>475</v>
      </c>
      <c r="Z40" s="228" t="s">
        <v>369</v>
      </c>
      <c r="AA40" s="228">
        <f>SUM(AA29:AA38)</f>
        <v>977.33</v>
      </c>
      <c r="AD40" s="60" t="s">
        <v>94</v>
      </c>
      <c r="AE40" s="292">
        <v>1</v>
      </c>
      <c r="AF40" s="359">
        <v>2</v>
      </c>
      <c r="AG40" s="292">
        <v>0</v>
      </c>
      <c r="AH40" s="292">
        <v>0</v>
      </c>
      <c r="AI40" s="292">
        <v>0</v>
      </c>
      <c r="AJ40" s="60">
        <f t="shared" si="22"/>
        <v>3</v>
      </c>
      <c r="AK40" s="18"/>
      <c r="AL40" s="18"/>
      <c r="AM40" s="351"/>
      <c r="AN40" s="5"/>
    </row>
    <row r="41" spans="1:44" ht="13.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6"/>
        <v>150</v>
      </c>
      <c r="F41" s="93">
        <v>416.14780000000002</v>
      </c>
      <c r="G41" s="82">
        <v>0.75</v>
      </c>
      <c r="H41" s="252">
        <f t="shared" si="7"/>
        <v>312.11085000000003</v>
      </c>
      <c r="I41" s="82">
        <f t="shared" si="8"/>
        <v>3</v>
      </c>
      <c r="J41" s="252">
        <f t="shared" si="17"/>
        <v>450</v>
      </c>
      <c r="K41" s="83">
        <f t="shared" si="1"/>
        <v>137.88914999999997</v>
      </c>
      <c r="L41" s="82">
        <f t="shared" si="9"/>
        <v>0.69357966666666671</v>
      </c>
      <c r="M41" s="91" t="s">
        <v>361</v>
      </c>
      <c r="N41" s="91">
        <v>692.19500000000005</v>
      </c>
      <c r="O41" s="80">
        <f t="shared" si="10"/>
        <v>150</v>
      </c>
      <c r="P41" s="90">
        <f t="shared" si="18"/>
        <v>416.14780000000002</v>
      </c>
      <c r="Q41" s="80">
        <v>0.75</v>
      </c>
      <c r="R41" s="98">
        <f t="shared" si="11"/>
        <v>312.11085000000003</v>
      </c>
      <c r="S41" s="80">
        <f t="shared" si="19"/>
        <v>450</v>
      </c>
      <c r="T41" s="79">
        <f t="shared" si="20"/>
        <v>137.88914999999997</v>
      </c>
      <c r="U41" s="286" t="str">
        <f t="shared" si="21"/>
        <v>No</v>
      </c>
      <c r="V41" s="191"/>
      <c r="W41" s="191"/>
      <c r="Z41" s="328"/>
      <c r="AA41" s="275"/>
      <c r="AB41" s="275"/>
      <c r="AD41" s="366" t="s">
        <v>482</v>
      </c>
      <c r="AE41" s="367">
        <v>0</v>
      </c>
      <c r="AF41" s="367">
        <v>0</v>
      </c>
      <c r="AG41" s="367">
        <v>0</v>
      </c>
      <c r="AH41" s="367">
        <v>0</v>
      </c>
      <c r="AI41" s="367">
        <v>0</v>
      </c>
      <c r="AJ41" s="366">
        <f t="shared" si="22"/>
        <v>0</v>
      </c>
      <c r="AK41" s="351"/>
      <c r="AL41" s="497" t="s">
        <v>555</v>
      </c>
      <c r="AM41" s="498"/>
      <c r="AN41" s="498"/>
      <c r="AO41" s="498"/>
      <c r="AP41" s="498"/>
      <c r="AQ41" s="499"/>
      <c r="AR41" s="155"/>
    </row>
    <row r="42" spans="1:44" ht="13.5" thickBot="1">
      <c r="A42" s="484"/>
      <c r="B42" s="95" t="s">
        <v>360</v>
      </c>
      <c r="C42" s="94" t="s">
        <v>55</v>
      </c>
      <c r="D42" s="104">
        <v>566.26</v>
      </c>
      <c r="E42" s="237">
        <f t="shared" si="6"/>
        <v>150</v>
      </c>
      <c r="F42" s="104">
        <v>424.66829999999999</v>
      </c>
      <c r="G42" s="92">
        <v>0.75</v>
      </c>
      <c r="H42" s="251">
        <f t="shared" si="7"/>
        <v>318.50122499999998</v>
      </c>
      <c r="I42" s="82">
        <f t="shared" si="8"/>
        <v>3</v>
      </c>
      <c r="J42" s="251">
        <f t="shared" si="17"/>
        <v>450</v>
      </c>
      <c r="K42" s="93">
        <f t="shared" si="1"/>
        <v>131.49877500000002</v>
      </c>
      <c r="L42" s="92">
        <f t="shared" si="9"/>
        <v>0.70778049999999992</v>
      </c>
      <c r="M42" s="103" t="s">
        <v>359</v>
      </c>
      <c r="N42" s="103">
        <v>1033.6600000000001</v>
      </c>
      <c r="O42" s="90">
        <f t="shared" si="10"/>
        <v>150</v>
      </c>
      <c r="P42" s="102">
        <f t="shared" si="18"/>
        <v>424.66829999999999</v>
      </c>
      <c r="Q42" s="90">
        <v>0.75</v>
      </c>
      <c r="R42" s="89">
        <f t="shared" si="11"/>
        <v>318.50122499999998</v>
      </c>
      <c r="S42" s="90">
        <f t="shared" si="19"/>
        <v>450</v>
      </c>
      <c r="T42" s="286">
        <f t="shared" si="20"/>
        <v>131.49877500000002</v>
      </c>
      <c r="U42" s="286" t="str">
        <f t="shared" si="21"/>
        <v>No</v>
      </c>
      <c r="V42" s="191"/>
      <c r="W42" s="191"/>
      <c r="Z42" s="328"/>
      <c r="AA42" s="275"/>
      <c r="AB42" s="275"/>
      <c r="AD42" s="270" t="s">
        <v>493</v>
      </c>
      <c r="AE42" s="368">
        <f t="shared" ref="AE42:AJ42" si="23">SUM(AE30:AE41)</f>
        <v>6</v>
      </c>
      <c r="AF42" s="368">
        <f t="shared" si="23"/>
        <v>8</v>
      </c>
      <c r="AG42" s="368">
        <f t="shared" si="23"/>
        <v>0</v>
      </c>
      <c r="AH42" s="368">
        <f t="shared" si="23"/>
        <v>0</v>
      </c>
      <c r="AI42" s="368">
        <f t="shared" si="23"/>
        <v>0</v>
      </c>
      <c r="AJ42" s="369">
        <f t="shared" si="23"/>
        <v>14</v>
      </c>
      <c r="AK42" s="351"/>
      <c r="AL42" s="355" t="s">
        <v>484</v>
      </c>
      <c r="AM42" s="357" t="s">
        <v>485</v>
      </c>
      <c r="AN42" s="357" t="s">
        <v>486</v>
      </c>
      <c r="AO42" s="357" t="s">
        <v>487</v>
      </c>
      <c r="AP42" s="357" t="s">
        <v>488</v>
      </c>
      <c r="AQ42" s="358" t="s">
        <v>525</v>
      </c>
      <c r="AR42" s="270" t="s">
        <v>416</v>
      </c>
    </row>
    <row r="43" spans="1:44" ht="13.5" thickBot="1">
      <c r="A43" s="484"/>
      <c r="B43" s="95" t="s">
        <v>358</v>
      </c>
      <c r="C43" s="94" t="s">
        <v>62</v>
      </c>
      <c r="D43" s="93">
        <v>174.54</v>
      </c>
      <c r="E43" s="236">
        <f t="shared" si="6"/>
        <v>250</v>
      </c>
      <c r="F43" s="93">
        <v>80.336669999999998</v>
      </c>
      <c r="G43" s="72">
        <v>0.75</v>
      </c>
      <c r="H43" s="253">
        <f t="shared" si="7"/>
        <v>60.252502499999999</v>
      </c>
      <c r="I43" s="82">
        <f t="shared" si="8"/>
        <v>1</v>
      </c>
      <c r="J43" s="253">
        <f t="shared" si="17"/>
        <v>250</v>
      </c>
      <c r="K43" s="73">
        <f t="shared" si="1"/>
        <v>189.74749750000001</v>
      </c>
      <c r="L43" s="72">
        <f t="shared" si="9"/>
        <v>0.24101001</v>
      </c>
      <c r="M43" s="91" t="s">
        <v>357</v>
      </c>
      <c r="N43" s="91">
        <v>811.21</v>
      </c>
      <c r="O43" s="114">
        <f t="shared" si="10"/>
        <v>150</v>
      </c>
      <c r="P43" s="102">
        <f t="shared" si="18"/>
        <v>80.336669999999998</v>
      </c>
      <c r="Q43" s="114">
        <v>0.75</v>
      </c>
      <c r="R43" s="69">
        <f t="shared" si="11"/>
        <v>60.252502499999999</v>
      </c>
      <c r="S43" s="114">
        <f t="shared" si="19"/>
        <v>150</v>
      </c>
      <c r="T43" s="288">
        <f t="shared" si="20"/>
        <v>89.747497500000009</v>
      </c>
      <c r="U43" s="286" t="str">
        <f t="shared" si="21"/>
        <v>No</v>
      </c>
      <c r="V43" s="191"/>
      <c r="W43" s="191"/>
      <c r="Z43" s="328"/>
      <c r="AA43" s="274"/>
      <c r="AB43" s="274"/>
      <c r="AD43" s="270" t="s">
        <v>492</v>
      </c>
      <c r="AE43" s="370">
        <f>PRODUCT(AE42*AN33)</f>
        <v>90</v>
      </c>
      <c r="AF43" s="418">
        <f>PRODUCT(AF42*AN34)</f>
        <v>130.9512</v>
      </c>
      <c r="AG43" s="418">
        <f>PRODUCT(AG42*AN35)</f>
        <v>0</v>
      </c>
      <c r="AH43" s="418">
        <f>PRODUCT(AH42*AN36)</f>
        <v>0</v>
      </c>
      <c r="AI43" s="418">
        <f>PRODUCT(AI42*AN37)</f>
        <v>0</v>
      </c>
      <c r="AJ43" s="419">
        <f>SUM(AE43:AI43)</f>
        <v>220.9512</v>
      </c>
      <c r="AK43" s="351"/>
      <c r="AL43" s="60" t="s">
        <v>84</v>
      </c>
      <c r="AM43" s="470">
        <f>AE30+AE50</f>
        <v>0</v>
      </c>
      <c r="AN43" s="470">
        <f t="shared" ref="AN43:AQ54" si="24">AF30+AF50</f>
        <v>4</v>
      </c>
      <c r="AO43" s="470">
        <f t="shared" si="24"/>
        <v>2</v>
      </c>
      <c r="AP43" s="470">
        <f t="shared" si="24"/>
        <v>1</v>
      </c>
      <c r="AQ43" s="470">
        <f t="shared" si="24"/>
        <v>0</v>
      </c>
      <c r="AR43" s="361">
        <f>SUM(AM43:AQ43)</f>
        <v>7</v>
      </c>
    </row>
    <row r="44" spans="1:44" ht="13.5" thickBot="1">
      <c r="A44" s="272" t="s">
        <v>355</v>
      </c>
      <c r="B44" s="85" t="s">
        <v>356</v>
      </c>
      <c r="C44" s="84" t="s">
        <v>355</v>
      </c>
      <c r="D44" s="83">
        <v>517.28</v>
      </c>
      <c r="E44" s="93">
        <f t="shared" si="6"/>
        <v>200</v>
      </c>
      <c r="F44" s="83">
        <v>67.241829999999993</v>
      </c>
      <c r="G44" s="92">
        <v>0.75</v>
      </c>
      <c r="H44" s="251">
        <f t="shared" si="7"/>
        <v>50.431372499999995</v>
      </c>
      <c r="I44" s="82">
        <f t="shared" si="8"/>
        <v>1</v>
      </c>
      <c r="J44" s="251">
        <f t="shared" si="17"/>
        <v>200</v>
      </c>
      <c r="K44" s="93">
        <f t="shared" si="1"/>
        <v>149.56862749999999</v>
      </c>
      <c r="L44" s="92">
        <f t="shared" si="9"/>
        <v>0.25215686249999997</v>
      </c>
      <c r="M44" s="81" t="s">
        <v>354</v>
      </c>
      <c r="N44" s="81">
        <v>607.995</v>
      </c>
      <c r="O44" s="90">
        <f t="shared" si="10"/>
        <v>150</v>
      </c>
      <c r="P44" s="80">
        <f t="shared" si="18"/>
        <v>67.241829999999993</v>
      </c>
      <c r="Q44" s="90">
        <v>0.75</v>
      </c>
      <c r="R44" s="89">
        <f t="shared" si="11"/>
        <v>50.431372499999995</v>
      </c>
      <c r="S44" s="90">
        <f t="shared" si="19"/>
        <v>150</v>
      </c>
      <c r="T44" s="286">
        <f t="shared" si="20"/>
        <v>99.568627500000005</v>
      </c>
      <c r="U44" s="305" t="str">
        <f t="shared" si="21"/>
        <v>No</v>
      </c>
      <c r="V44" s="194"/>
      <c r="W44" s="194"/>
      <c r="Z44" s="328"/>
      <c r="AA44" s="275"/>
      <c r="AB44" s="275"/>
      <c r="AD44" s="270" t="s">
        <v>491</v>
      </c>
      <c r="AE44" s="370">
        <f>AE42*AM33</f>
        <v>600</v>
      </c>
      <c r="AF44" s="370">
        <f>AF42*AM34</f>
        <v>1200</v>
      </c>
      <c r="AG44" s="370">
        <f>AG42*AM35</f>
        <v>0</v>
      </c>
      <c r="AH44" s="370">
        <f>AH42*AM36</f>
        <v>0</v>
      </c>
      <c r="AI44" s="370">
        <f>AI42*AM37</f>
        <v>0</v>
      </c>
      <c r="AJ44" s="270">
        <f>SUM(AE44:AI44)</f>
        <v>1800</v>
      </c>
      <c r="AK44" s="351"/>
      <c r="AL44" s="60" t="s">
        <v>85</v>
      </c>
      <c r="AM44" s="470">
        <f t="shared" ref="AM44:AM54" si="25">AE31+AE51</f>
        <v>1</v>
      </c>
      <c r="AN44" s="470">
        <f t="shared" si="24"/>
        <v>7</v>
      </c>
      <c r="AO44" s="470">
        <f t="shared" si="24"/>
        <v>3</v>
      </c>
      <c r="AP44" s="470">
        <f t="shared" si="24"/>
        <v>0</v>
      </c>
      <c r="AQ44" s="470">
        <f t="shared" si="24"/>
        <v>2</v>
      </c>
      <c r="AR44" s="60">
        <f t="shared" ref="AR44:AR54" si="26">SUM(AM44:AQ44)</f>
        <v>13</v>
      </c>
    </row>
    <row r="45" spans="1:44" ht="13.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6"/>
        <v>150</v>
      </c>
      <c r="F45" s="83">
        <v>175.91919999999999</v>
      </c>
      <c r="G45" s="92">
        <v>0.75</v>
      </c>
      <c r="H45" s="252">
        <f t="shared" si="7"/>
        <v>131.93939999999998</v>
      </c>
      <c r="I45" s="82">
        <f t="shared" si="8"/>
        <v>2</v>
      </c>
      <c r="J45" s="252">
        <f t="shared" si="17"/>
        <v>300</v>
      </c>
      <c r="K45" s="83">
        <f t="shared" si="1"/>
        <v>168.06060000000002</v>
      </c>
      <c r="L45" s="82">
        <f t="shared" si="9"/>
        <v>0.43979799999999991</v>
      </c>
      <c r="M45" s="81" t="s">
        <v>352</v>
      </c>
      <c r="N45" s="81">
        <v>1051.23</v>
      </c>
      <c r="O45" s="80">
        <f t="shared" si="10"/>
        <v>150</v>
      </c>
      <c r="P45" s="80">
        <f t="shared" si="18"/>
        <v>175.91919999999999</v>
      </c>
      <c r="Q45" s="80">
        <v>0.75</v>
      </c>
      <c r="R45" s="98">
        <f t="shared" si="11"/>
        <v>131.93939999999998</v>
      </c>
      <c r="S45" s="80">
        <f t="shared" si="19"/>
        <v>300</v>
      </c>
      <c r="T45" s="79">
        <f t="shared" si="20"/>
        <v>168.06060000000002</v>
      </c>
      <c r="U45" s="286" t="str">
        <f t="shared" si="21"/>
        <v>No</v>
      </c>
      <c r="V45" s="191"/>
      <c r="W45" s="191"/>
      <c r="Z45" s="328"/>
      <c r="AA45" s="275"/>
      <c r="AB45" s="275"/>
      <c r="AD45" s="380"/>
      <c r="AE45" s="380"/>
      <c r="AF45" s="380"/>
      <c r="AG45" s="351"/>
      <c r="AH45" s="351"/>
      <c r="AI45" s="351"/>
      <c r="AJ45" s="351"/>
      <c r="AK45" s="350"/>
      <c r="AL45" s="60" t="s">
        <v>86</v>
      </c>
      <c r="AM45" s="470">
        <f t="shared" si="25"/>
        <v>0</v>
      </c>
      <c r="AN45" s="470">
        <f t="shared" si="24"/>
        <v>0</v>
      </c>
      <c r="AO45" s="470">
        <f t="shared" si="24"/>
        <v>3</v>
      </c>
      <c r="AP45" s="470">
        <f t="shared" si="24"/>
        <v>0</v>
      </c>
      <c r="AQ45" s="470">
        <f t="shared" si="24"/>
        <v>1</v>
      </c>
      <c r="AR45" s="60">
        <f t="shared" si="26"/>
        <v>4</v>
      </c>
    </row>
    <row r="46" spans="1:44" ht="13.5" thickBot="1">
      <c r="A46" s="484"/>
      <c r="B46" s="95" t="s">
        <v>350</v>
      </c>
      <c r="C46" s="94" t="s">
        <v>349</v>
      </c>
      <c r="D46" s="104">
        <v>374.84</v>
      </c>
      <c r="E46" s="237">
        <f t="shared" si="6"/>
        <v>200</v>
      </c>
      <c r="F46" s="104">
        <v>115.1143</v>
      </c>
      <c r="G46" s="92">
        <v>0.75</v>
      </c>
      <c r="H46" s="251">
        <f t="shared" si="7"/>
        <v>86.335724999999996</v>
      </c>
      <c r="I46" s="82">
        <f t="shared" si="8"/>
        <v>1</v>
      </c>
      <c r="J46" s="251">
        <f t="shared" si="17"/>
        <v>200</v>
      </c>
      <c r="K46" s="93">
        <f t="shared" si="1"/>
        <v>113.664275</v>
      </c>
      <c r="L46" s="92">
        <f t="shared" si="9"/>
        <v>0.43167862499999998</v>
      </c>
      <c r="M46" s="103" t="s">
        <v>348</v>
      </c>
      <c r="N46" s="103">
        <v>838.745</v>
      </c>
      <c r="O46" s="90">
        <f t="shared" si="10"/>
        <v>150</v>
      </c>
      <c r="P46" s="102">
        <f t="shared" si="18"/>
        <v>115.1143</v>
      </c>
      <c r="Q46" s="90">
        <v>0.75</v>
      </c>
      <c r="R46" s="89">
        <f t="shared" si="11"/>
        <v>86.335724999999996</v>
      </c>
      <c r="S46" s="90">
        <f t="shared" si="19"/>
        <v>150</v>
      </c>
      <c r="T46" s="286">
        <f t="shared" si="20"/>
        <v>63.664275000000004</v>
      </c>
      <c r="U46" s="286" t="str">
        <f t="shared" si="21"/>
        <v>No</v>
      </c>
      <c r="V46" s="191"/>
      <c r="W46" s="191"/>
      <c r="Z46" s="328"/>
      <c r="AA46" s="275"/>
      <c r="AB46" s="275"/>
      <c r="AD46" s="351"/>
      <c r="AE46" s="351"/>
      <c r="AF46" s="351"/>
      <c r="AG46" s="380"/>
      <c r="AH46" s="380"/>
      <c r="AI46" s="351"/>
      <c r="AJ46" s="351"/>
      <c r="AK46" s="250"/>
      <c r="AL46" s="60" t="s">
        <v>87</v>
      </c>
      <c r="AM46" s="470">
        <f t="shared" si="25"/>
        <v>1</v>
      </c>
      <c r="AN46" s="470">
        <f t="shared" si="24"/>
        <v>11</v>
      </c>
      <c r="AO46" s="470">
        <f t="shared" si="24"/>
        <v>15</v>
      </c>
      <c r="AP46" s="470">
        <f t="shared" si="24"/>
        <v>8</v>
      </c>
      <c r="AQ46" s="470">
        <f t="shared" si="24"/>
        <v>0</v>
      </c>
      <c r="AR46" s="60">
        <f t="shared" si="26"/>
        <v>35</v>
      </c>
    </row>
    <row r="47" spans="1:44" ht="13.5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6"/>
        <v>150</v>
      </c>
      <c r="F47" s="104">
        <v>87.5685</v>
      </c>
      <c r="G47" s="92">
        <v>0.75</v>
      </c>
      <c r="H47" s="251">
        <f t="shared" si="7"/>
        <v>65.676375000000007</v>
      </c>
      <c r="I47" s="82">
        <f t="shared" si="8"/>
        <v>1</v>
      </c>
      <c r="J47" s="251">
        <f t="shared" si="17"/>
        <v>150</v>
      </c>
      <c r="K47" s="93">
        <f t="shared" si="1"/>
        <v>84.323624999999993</v>
      </c>
      <c r="L47" s="92">
        <f t="shared" si="9"/>
        <v>0.43784250000000002</v>
      </c>
      <c r="M47" s="103" t="s">
        <v>346</v>
      </c>
      <c r="N47" s="103">
        <v>792.93499999999995</v>
      </c>
      <c r="O47" s="90">
        <f t="shared" si="10"/>
        <v>150</v>
      </c>
      <c r="P47" s="102">
        <f t="shared" si="18"/>
        <v>87.5685</v>
      </c>
      <c r="Q47" s="90">
        <v>0.75</v>
      </c>
      <c r="R47" s="89">
        <f t="shared" si="11"/>
        <v>65.676375000000007</v>
      </c>
      <c r="S47" s="90">
        <f t="shared" si="19"/>
        <v>150</v>
      </c>
      <c r="T47" s="286">
        <f t="shared" si="20"/>
        <v>84.323624999999993</v>
      </c>
      <c r="U47" s="286" t="str">
        <f t="shared" si="21"/>
        <v>No</v>
      </c>
      <c r="V47" s="191"/>
      <c r="W47" s="191"/>
      <c r="Z47" s="328"/>
      <c r="AA47" s="275"/>
      <c r="AB47" s="275"/>
      <c r="AD47" s="352"/>
      <c r="AE47" s="352"/>
      <c r="AF47" s="352"/>
      <c r="AG47" s="352"/>
      <c r="AH47" s="352"/>
      <c r="AI47" s="351"/>
      <c r="AJ47" s="351"/>
      <c r="AK47" s="354"/>
      <c r="AL47" s="60" t="s">
        <v>88</v>
      </c>
      <c r="AM47" s="470">
        <f t="shared" si="25"/>
        <v>0</v>
      </c>
      <c r="AN47" s="470">
        <f t="shared" si="24"/>
        <v>1</v>
      </c>
      <c r="AO47" s="470">
        <f t="shared" si="24"/>
        <v>8</v>
      </c>
      <c r="AP47" s="470">
        <f t="shared" si="24"/>
        <v>1</v>
      </c>
      <c r="AQ47" s="470">
        <f t="shared" si="24"/>
        <v>0</v>
      </c>
      <c r="AR47" s="60">
        <f t="shared" si="26"/>
        <v>10</v>
      </c>
    </row>
    <row r="48" spans="1:44" ht="13.5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6"/>
        <v>150</v>
      </c>
      <c r="F48" s="93">
        <v>46.164000000000001</v>
      </c>
      <c r="G48" s="92">
        <v>0.75</v>
      </c>
      <c r="H48" s="251">
        <f t="shared" si="7"/>
        <v>34.623000000000005</v>
      </c>
      <c r="I48" s="82">
        <f t="shared" si="8"/>
        <v>1</v>
      </c>
      <c r="J48" s="251">
        <f t="shared" si="17"/>
        <v>150</v>
      </c>
      <c r="K48" s="73">
        <f t="shared" si="1"/>
        <v>115.377</v>
      </c>
      <c r="L48" s="72">
        <f t="shared" si="9"/>
        <v>0.23082000000000003</v>
      </c>
      <c r="M48" s="91" t="s">
        <v>345</v>
      </c>
      <c r="N48" s="91">
        <v>934.80499999999995</v>
      </c>
      <c r="O48" s="114">
        <f t="shared" si="10"/>
        <v>150</v>
      </c>
      <c r="P48" s="90">
        <f t="shared" si="18"/>
        <v>46.164000000000001</v>
      </c>
      <c r="Q48" s="114">
        <v>0.75</v>
      </c>
      <c r="R48" s="89">
        <f t="shared" si="11"/>
        <v>34.623000000000005</v>
      </c>
      <c r="S48" s="114">
        <f t="shared" si="19"/>
        <v>150</v>
      </c>
      <c r="T48" s="288">
        <f t="shared" si="20"/>
        <v>115.377</v>
      </c>
      <c r="U48" s="286" t="str">
        <f t="shared" si="21"/>
        <v>No</v>
      </c>
      <c r="V48" s="60"/>
      <c r="W48" s="60"/>
      <c r="Z48" s="328"/>
      <c r="AA48" s="275"/>
      <c r="AB48" s="275"/>
      <c r="AD48" s="497" t="s">
        <v>554</v>
      </c>
      <c r="AE48" s="498"/>
      <c r="AF48" s="498"/>
      <c r="AG48" s="498"/>
      <c r="AH48" s="498"/>
      <c r="AI48" s="499"/>
      <c r="AJ48" s="155"/>
      <c r="AK48" s="250"/>
      <c r="AL48" s="60" t="s">
        <v>89</v>
      </c>
      <c r="AM48" s="470">
        <f t="shared" si="25"/>
        <v>0</v>
      </c>
      <c r="AN48" s="470">
        <f t="shared" si="24"/>
        <v>7</v>
      </c>
      <c r="AO48" s="470">
        <f t="shared" si="24"/>
        <v>1</v>
      </c>
      <c r="AP48" s="470">
        <f t="shared" si="24"/>
        <v>1</v>
      </c>
      <c r="AQ48" s="470">
        <f t="shared" si="24"/>
        <v>0</v>
      </c>
      <c r="AR48" s="60">
        <f t="shared" si="26"/>
        <v>9</v>
      </c>
    </row>
    <row r="49" spans="1:44" ht="13.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6"/>
        <v>150</v>
      </c>
      <c r="F49" s="83">
        <v>175.91919999999999</v>
      </c>
      <c r="G49" s="82">
        <v>0.75</v>
      </c>
      <c r="H49" s="252">
        <f t="shared" si="7"/>
        <v>131.93939999999998</v>
      </c>
      <c r="I49" s="82">
        <f t="shared" si="8"/>
        <v>2</v>
      </c>
      <c r="J49" s="252">
        <f t="shared" si="17"/>
        <v>300</v>
      </c>
      <c r="K49" s="93">
        <f t="shared" si="1"/>
        <v>168.06060000000002</v>
      </c>
      <c r="L49" s="92">
        <f t="shared" si="9"/>
        <v>0.43979799999999991</v>
      </c>
      <c r="M49" s="81" t="s">
        <v>341</v>
      </c>
      <c r="N49" s="81">
        <v>992.44500000000005</v>
      </c>
      <c r="O49" s="90">
        <f t="shared" si="10"/>
        <v>150</v>
      </c>
      <c r="P49" s="80">
        <f t="shared" si="18"/>
        <v>175.91919999999999</v>
      </c>
      <c r="Q49" s="90">
        <v>0.75</v>
      </c>
      <c r="R49" s="98">
        <f t="shared" si="11"/>
        <v>131.93939999999998</v>
      </c>
      <c r="S49" s="90">
        <f t="shared" si="19"/>
        <v>300</v>
      </c>
      <c r="T49" s="286">
        <f t="shared" si="20"/>
        <v>168.06060000000002</v>
      </c>
      <c r="U49" s="301" t="str">
        <f t="shared" si="21"/>
        <v>No</v>
      </c>
      <c r="V49" s="189"/>
      <c r="W49" s="189"/>
      <c r="Z49" s="328"/>
      <c r="AA49" s="275"/>
      <c r="AB49" s="275"/>
      <c r="AD49" s="355" t="s">
        <v>484</v>
      </c>
      <c r="AE49" s="357" t="s">
        <v>485</v>
      </c>
      <c r="AF49" s="357" t="s">
        <v>486</v>
      </c>
      <c r="AG49" s="357" t="s">
        <v>487</v>
      </c>
      <c r="AH49" s="357" t="s">
        <v>488</v>
      </c>
      <c r="AI49" s="358" t="s">
        <v>525</v>
      </c>
      <c r="AJ49" s="270" t="s">
        <v>416</v>
      </c>
      <c r="AK49" s="250"/>
      <c r="AL49" s="60" t="s">
        <v>90</v>
      </c>
      <c r="AM49" s="470">
        <f t="shared" si="25"/>
        <v>1</v>
      </c>
      <c r="AN49" s="470">
        <f t="shared" si="24"/>
        <v>0</v>
      </c>
      <c r="AO49" s="470">
        <f t="shared" si="24"/>
        <v>1</v>
      </c>
      <c r="AP49" s="470">
        <f t="shared" si="24"/>
        <v>1</v>
      </c>
      <c r="AQ49" s="470">
        <f t="shared" si="24"/>
        <v>1</v>
      </c>
      <c r="AR49" s="60">
        <f t="shared" si="26"/>
        <v>4</v>
      </c>
    </row>
    <row r="50" spans="1:44" ht="13.5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6"/>
        <v>150</v>
      </c>
      <c r="F50" s="93">
        <v>46.164000000000001</v>
      </c>
      <c r="G50" s="72">
        <v>0.75</v>
      </c>
      <c r="H50" s="251">
        <f t="shared" si="7"/>
        <v>34.623000000000005</v>
      </c>
      <c r="I50" s="82">
        <f t="shared" si="8"/>
        <v>1</v>
      </c>
      <c r="J50" s="251">
        <f t="shared" si="17"/>
        <v>150</v>
      </c>
      <c r="K50" s="93">
        <f t="shared" si="1"/>
        <v>115.377</v>
      </c>
      <c r="L50" s="92">
        <f t="shared" si="9"/>
        <v>0.23082000000000003</v>
      </c>
      <c r="M50" s="91" t="s">
        <v>337</v>
      </c>
      <c r="N50" s="91">
        <v>817.04499999999996</v>
      </c>
      <c r="O50" s="90">
        <f t="shared" si="10"/>
        <v>150</v>
      </c>
      <c r="P50" s="90">
        <f t="shared" si="18"/>
        <v>46.164000000000001</v>
      </c>
      <c r="Q50" s="90">
        <v>0.75</v>
      </c>
      <c r="R50" s="89">
        <f t="shared" si="11"/>
        <v>34.623000000000005</v>
      </c>
      <c r="S50" s="90">
        <f t="shared" si="19"/>
        <v>150</v>
      </c>
      <c r="T50" s="286">
        <f t="shared" si="20"/>
        <v>115.377</v>
      </c>
      <c r="U50" s="303" t="str">
        <f t="shared" si="21"/>
        <v>No</v>
      </c>
      <c r="V50" s="188"/>
      <c r="W50" s="313"/>
      <c r="Z50" s="328"/>
      <c r="AA50" s="275"/>
      <c r="AB50" s="275"/>
      <c r="AD50" s="60" t="s">
        <v>84</v>
      </c>
      <c r="AE50" s="470">
        <v>0</v>
      </c>
      <c r="AF50" s="470">
        <f>4</f>
        <v>4</v>
      </c>
      <c r="AG50" s="416">
        <f>1+1</f>
        <v>2</v>
      </c>
      <c r="AH50" s="416">
        <f>1</f>
        <v>1</v>
      </c>
      <c r="AI50" s="470">
        <v>0</v>
      </c>
      <c r="AJ50" s="361">
        <f>SUM(AE50:AI50)</f>
        <v>7</v>
      </c>
      <c r="AK50" s="250"/>
      <c r="AL50" s="60" t="s">
        <v>91</v>
      </c>
      <c r="AM50" s="470">
        <f t="shared" si="25"/>
        <v>1</v>
      </c>
      <c r="AN50" s="470">
        <f t="shared" si="24"/>
        <v>12</v>
      </c>
      <c r="AO50" s="470">
        <f t="shared" si="24"/>
        <v>2</v>
      </c>
      <c r="AP50" s="470">
        <f t="shared" si="24"/>
        <v>1</v>
      </c>
      <c r="AQ50" s="470">
        <f t="shared" si="24"/>
        <v>0</v>
      </c>
      <c r="AR50" s="60">
        <f t="shared" si="26"/>
        <v>16</v>
      </c>
    </row>
    <row r="51" spans="1:44" ht="13.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6"/>
        <v>150</v>
      </c>
      <c r="F51" s="83">
        <v>46.164000000000001</v>
      </c>
      <c r="G51" s="92">
        <v>0.75</v>
      </c>
      <c r="H51" s="252">
        <f t="shared" si="7"/>
        <v>34.623000000000005</v>
      </c>
      <c r="I51" s="82">
        <f t="shared" si="8"/>
        <v>1</v>
      </c>
      <c r="J51" s="252">
        <f t="shared" si="17"/>
        <v>150</v>
      </c>
      <c r="K51" s="83">
        <f t="shared" si="1"/>
        <v>115.377</v>
      </c>
      <c r="L51" s="82">
        <f t="shared" si="9"/>
        <v>0.23082000000000003</v>
      </c>
      <c r="M51" s="81" t="s">
        <v>337</v>
      </c>
      <c r="N51" s="81">
        <v>817.04499999999996</v>
      </c>
      <c r="O51" s="80">
        <f t="shared" si="10"/>
        <v>150</v>
      </c>
      <c r="P51" s="80">
        <f t="shared" si="18"/>
        <v>46.164000000000001</v>
      </c>
      <c r="Q51" s="80">
        <v>0.75</v>
      </c>
      <c r="R51" s="98">
        <f t="shared" si="11"/>
        <v>34.623000000000005</v>
      </c>
      <c r="S51" s="80">
        <f t="shared" si="19"/>
        <v>150</v>
      </c>
      <c r="T51" s="79">
        <f t="shared" si="20"/>
        <v>115.377</v>
      </c>
      <c r="U51" s="286" t="str">
        <f t="shared" si="21"/>
        <v>No</v>
      </c>
      <c r="V51" s="60"/>
      <c r="W51" s="62"/>
      <c r="Z51" s="328"/>
      <c r="AA51" s="275"/>
      <c r="AB51" s="275"/>
      <c r="AD51" s="60" t="s">
        <v>85</v>
      </c>
      <c r="AE51" s="470">
        <v>0</v>
      </c>
      <c r="AF51" s="470">
        <f>3+2+2</f>
        <v>7</v>
      </c>
      <c r="AG51" s="470">
        <f>2+1</f>
        <v>3</v>
      </c>
      <c r="AH51" s="470">
        <v>0</v>
      </c>
      <c r="AI51" s="470">
        <f>1+1</f>
        <v>2</v>
      </c>
      <c r="AJ51" s="60">
        <f t="shared" ref="AJ51:AJ61" si="27">SUM(AE51:AI51)</f>
        <v>12</v>
      </c>
      <c r="AK51" s="250"/>
      <c r="AL51" s="60" t="s">
        <v>92</v>
      </c>
      <c r="AM51" s="470">
        <f t="shared" si="25"/>
        <v>0</v>
      </c>
      <c r="AN51" s="470">
        <f t="shared" si="24"/>
        <v>5</v>
      </c>
      <c r="AO51" s="470">
        <f t="shared" si="24"/>
        <v>7</v>
      </c>
      <c r="AP51" s="470">
        <f t="shared" si="24"/>
        <v>0</v>
      </c>
      <c r="AQ51" s="470">
        <f t="shared" si="24"/>
        <v>0</v>
      </c>
      <c r="AR51" s="60">
        <f t="shared" si="26"/>
        <v>12</v>
      </c>
    </row>
    <row r="52" spans="1:44" ht="13.5" thickBot="1">
      <c r="A52" s="484"/>
      <c r="B52" s="95" t="s">
        <v>30</v>
      </c>
      <c r="C52" s="94" t="s">
        <v>326</v>
      </c>
      <c r="D52" s="93">
        <v>317.27</v>
      </c>
      <c r="E52" s="237">
        <f t="shared" si="6"/>
        <v>200</v>
      </c>
      <c r="F52" s="93">
        <v>136.87530000000001</v>
      </c>
      <c r="G52" s="92">
        <v>0.75</v>
      </c>
      <c r="H52" s="251">
        <f t="shared" si="7"/>
        <v>102.656475</v>
      </c>
      <c r="I52" s="82">
        <f t="shared" si="8"/>
        <v>1</v>
      </c>
      <c r="J52" s="251">
        <f t="shared" si="17"/>
        <v>200</v>
      </c>
      <c r="K52" s="73">
        <f t="shared" si="1"/>
        <v>97.343525</v>
      </c>
      <c r="L52" s="72">
        <f t="shared" si="9"/>
        <v>0.51328237499999996</v>
      </c>
      <c r="M52" s="91" t="s">
        <v>325</v>
      </c>
      <c r="N52" s="91">
        <v>518.48</v>
      </c>
      <c r="O52" s="114">
        <f t="shared" si="10"/>
        <v>200</v>
      </c>
      <c r="P52" s="90">
        <f t="shared" si="18"/>
        <v>136.87530000000001</v>
      </c>
      <c r="Q52" s="114">
        <v>0.75</v>
      </c>
      <c r="R52" s="89">
        <f t="shared" si="11"/>
        <v>102.656475</v>
      </c>
      <c r="S52" s="114">
        <f t="shared" si="19"/>
        <v>200</v>
      </c>
      <c r="T52" s="288">
        <f t="shared" si="20"/>
        <v>97.343525</v>
      </c>
      <c r="U52" s="286" t="str">
        <f t="shared" si="21"/>
        <v>No</v>
      </c>
      <c r="V52" s="191"/>
      <c r="W52" s="191"/>
      <c r="Z52" s="328"/>
      <c r="AA52" s="275"/>
      <c r="AB52" s="275"/>
      <c r="AD52" s="60" t="s">
        <v>86</v>
      </c>
      <c r="AE52" s="470">
        <v>0</v>
      </c>
      <c r="AF52" s="470">
        <v>0</v>
      </c>
      <c r="AG52" s="359">
        <f>2+1</f>
        <v>3</v>
      </c>
      <c r="AH52" s="470">
        <v>0</v>
      </c>
      <c r="AI52" s="470">
        <f>1</f>
        <v>1</v>
      </c>
      <c r="AJ52" s="60">
        <f t="shared" si="27"/>
        <v>4</v>
      </c>
      <c r="AK52" s="250"/>
      <c r="AL52" s="60" t="s">
        <v>93</v>
      </c>
      <c r="AM52" s="470">
        <f t="shared" si="25"/>
        <v>1</v>
      </c>
      <c r="AN52" s="470">
        <f t="shared" si="24"/>
        <v>1</v>
      </c>
      <c r="AO52" s="470">
        <f t="shared" si="24"/>
        <v>2</v>
      </c>
      <c r="AP52" s="470">
        <f t="shared" si="24"/>
        <v>3</v>
      </c>
      <c r="AQ52" s="470">
        <f t="shared" si="24"/>
        <v>0</v>
      </c>
      <c r="AR52" s="60">
        <f t="shared" si="26"/>
        <v>7</v>
      </c>
    </row>
    <row r="53" spans="1:44" ht="13.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6"/>
        <v>150</v>
      </c>
      <c r="F53" s="83">
        <v>87.5685</v>
      </c>
      <c r="G53" s="82">
        <v>0.75</v>
      </c>
      <c r="H53" s="252">
        <f t="shared" si="7"/>
        <v>65.676375000000007</v>
      </c>
      <c r="I53" s="82">
        <f t="shared" si="8"/>
        <v>1</v>
      </c>
      <c r="J53" s="252">
        <f t="shared" si="17"/>
        <v>150</v>
      </c>
      <c r="K53" s="93">
        <f t="shared" si="1"/>
        <v>84.323624999999993</v>
      </c>
      <c r="L53" s="92">
        <f t="shared" si="9"/>
        <v>0.43784250000000002</v>
      </c>
      <c r="M53" s="81" t="s">
        <v>334</v>
      </c>
      <c r="N53" s="81">
        <v>792.93499999999995</v>
      </c>
      <c r="O53" s="90">
        <f t="shared" si="10"/>
        <v>150</v>
      </c>
      <c r="P53" s="80">
        <f t="shared" si="18"/>
        <v>87.5685</v>
      </c>
      <c r="Q53" s="90">
        <v>0.75</v>
      </c>
      <c r="R53" s="98">
        <f t="shared" si="11"/>
        <v>65.676375000000007</v>
      </c>
      <c r="S53" s="90">
        <f t="shared" si="19"/>
        <v>150</v>
      </c>
      <c r="T53" s="286">
        <f t="shared" si="20"/>
        <v>84.323624999999993</v>
      </c>
      <c r="U53" s="301" t="str">
        <f t="shared" si="21"/>
        <v>No</v>
      </c>
      <c r="V53" s="192"/>
      <c r="W53" s="192"/>
      <c r="Z53" s="328"/>
      <c r="AA53" s="275"/>
      <c r="AB53" s="275"/>
      <c r="AD53" s="60" t="s">
        <v>87</v>
      </c>
      <c r="AE53" s="470">
        <v>0</v>
      </c>
      <c r="AF53" s="417">
        <f>4+3+3</f>
        <v>10</v>
      </c>
      <c r="AG53" s="470">
        <f>2+2+3+6+2</f>
        <v>15</v>
      </c>
      <c r="AH53" s="470">
        <f>1+3+4</f>
        <v>8</v>
      </c>
      <c r="AI53" s="470">
        <v>0</v>
      </c>
      <c r="AJ53" s="60">
        <f t="shared" si="27"/>
        <v>33</v>
      </c>
      <c r="AK53" s="250"/>
      <c r="AL53" s="60" t="s">
        <v>94</v>
      </c>
      <c r="AM53" s="470">
        <f t="shared" si="25"/>
        <v>1</v>
      </c>
      <c r="AN53" s="470">
        <f t="shared" si="24"/>
        <v>3</v>
      </c>
      <c r="AO53" s="470">
        <f t="shared" si="24"/>
        <v>2</v>
      </c>
      <c r="AP53" s="470">
        <f t="shared" si="24"/>
        <v>4</v>
      </c>
      <c r="AQ53" s="470">
        <f t="shared" si="24"/>
        <v>0</v>
      </c>
      <c r="AR53" s="60">
        <f t="shared" si="26"/>
        <v>10</v>
      </c>
    </row>
    <row r="54" spans="1:44" ht="13.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6"/>
        <v>200</v>
      </c>
      <c r="F54" s="93">
        <v>33.29833</v>
      </c>
      <c r="G54" s="72">
        <v>0.75</v>
      </c>
      <c r="H54" s="251">
        <f t="shared" si="7"/>
        <v>24.973747500000002</v>
      </c>
      <c r="I54" s="82">
        <f t="shared" si="8"/>
        <v>1</v>
      </c>
      <c r="J54" s="253">
        <f t="shared" si="17"/>
        <v>200</v>
      </c>
      <c r="K54" s="93">
        <f t="shared" si="1"/>
        <v>175.0262525</v>
      </c>
      <c r="L54" s="92">
        <f t="shared" si="9"/>
        <v>0.12486873750000001</v>
      </c>
      <c r="M54" s="91" t="s">
        <v>331</v>
      </c>
      <c r="N54" s="91">
        <v>524.75</v>
      </c>
      <c r="O54" s="90">
        <f t="shared" si="10"/>
        <v>200</v>
      </c>
      <c r="P54" s="90">
        <f t="shared" si="18"/>
        <v>33.29833</v>
      </c>
      <c r="Q54" s="90">
        <v>0.75</v>
      </c>
      <c r="R54" s="89">
        <f t="shared" si="11"/>
        <v>24.973747500000002</v>
      </c>
      <c r="S54" s="90">
        <f t="shared" si="19"/>
        <v>200</v>
      </c>
      <c r="T54" s="286">
        <f t="shared" si="20"/>
        <v>175.0262525</v>
      </c>
      <c r="U54" s="303" t="str">
        <f t="shared" si="21"/>
        <v>No</v>
      </c>
      <c r="V54" s="316"/>
      <c r="W54" s="314"/>
      <c r="Z54" s="328"/>
      <c r="AA54" s="275"/>
      <c r="AB54" s="275"/>
      <c r="AD54" s="60" t="s">
        <v>88</v>
      </c>
      <c r="AE54" s="470">
        <v>0</v>
      </c>
      <c r="AF54" s="470">
        <v>0</v>
      </c>
      <c r="AG54" s="470">
        <f>1+1+1+3+1+1</f>
        <v>8</v>
      </c>
      <c r="AH54" s="470">
        <f>1</f>
        <v>1</v>
      </c>
      <c r="AI54" s="470">
        <v>0</v>
      </c>
      <c r="AJ54" s="60">
        <f t="shared" si="27"/>
        <v>9</v>
      </c>
      <c r="AK54" s="250"/>
      <c r="AL54" s="366" t="s">
        <v>482</v>
      </c>
      <c r="AM54" s="470">
        <f t="shared" si="25"/>
        <v>0</v>
      </c>
      <c r="AN54" s="470">
        <f t="shared" si="24"/>
        <v>1</v>
      </c>
      <c r="AO54" s="470">
        <f t="shared" si="24"/>
        <v>2</v>
      </c>
      <c r="AP54" s="470">
        <f t="shared" si="24"/>
        <v>0</v>
      </c>
      <c r="AQ54" s="470">
        <f t="shared" si="24"/>
        <v>0</v>
      </c>
      <c r="AR54" s="366">
        <f t="shared" si="26"/>
        <v>3</v>
      </c>
    </row>
    <row r="55" spans="1:44" ht="13.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6"/>
        <v>200</v>
      </c>
      <c r="F55" s="83">
        <v>233.80699999999999</v>
      </c>
      <c r="G55" s="82">
        <v>0.75</v>
      </c>
      <c r="H55" s="252">
        <f t="shared" si="7"/>
        <v>175.35524999999998</v>
      </c>
      <c r="I55" s="82">
        <f t="shared" si="8"/>
        <v>2</v>
      </c>
      <c r="J55" s="252">
        <f t="shared" si="17"/>
        <v>400</v>
      </c>
      <c r="K55" s="83">
        <f t="shared" si="1"/>
        <v>224.64475000000002</v>
      </c>
      <c r="L55" s="82">
        <f t="shared" si="9"/>
        <v>0.43838812499999996</v>
      </c>
      <c r="M55" s="81" t="s">
        <v>328</v>
      </c>
      <c r="N55" s="81">
        <v>673.16499999999996</v>
      </c>
      <c r="O55" s="80">
        <f t="shared" si="10"/>
        <v>150</v>
      </c>
      <c r="P55" s="80">
        <f t="shared" si="18"/>
        <v>233.80699999999999</v>
      </c>
      <c r="Q55" s="80">
        <v>0.75</v>
      </c>
      <c r="R55" s="98">
        <f t="shared" si="11"/>
        <v>175.35524999999998</v>
      </c>
      <c r="S55" s="80">
        <f t="shared" si="19"/>
        <v>300</v>
      </c>
      <c r="T55" s="79">
        <f t="shared" si="20"/>
        <v>124.64475000000002</v>
      </c>
      <c r="U55" s="301" t="str">
        <f t="shared" si="21"/>
        <v>No</v>
      </c>
      <c r="V55" s="317"/>
      <c r="W55" s="315"/>
      <c r="Z55" s="328"/>
      <c r="AA55" s="275"/>
      <c r="AB55" s="328"/>
      <c r="AD55" s="60" t="s">
        <v>89</v>
      </c>
      <c r="AE55" s="470">
        <v>0</v>
      </c>
      <c r="AF55" s="470">
        <f>3+3+1</f>
        <v>7</v>
      </c>
      <c r="AG55" s="470">
        <f>1</f>
        <v>1</v>
      </c>
      <c r="AH55" s="470">
        <f>1</f>
        <v>1</v>
      </c>
      <c r="AI55" s="470">
        <v>0</v>
      </c>
      <c r="AJ55" s="60">
        <f t="shared" si="27"/>
        <v>9</v>
      </c>
      <c r="AK55" s="250"/>
      <c r="AL55" s="270" t="s">
        <v>493</v>
      </c>
      <c r="AM55" s="368">
        <f t="shared" ref="AM55:AR55" si="28">SUM(AM43:AM54)</f>
        <v>6</v>
      </c>
      <c r="AN55" s="368">
        <f t="shared" si="28"/>
        <v>52</v>
      </c>
      <c r="AO55" s="368">
        <f t="shared" si="28"/>
        <v>48</v>
      </c>
      <c r="AP55" s="368">
        <f t="shared" si="28"/>
        <v>20</v>
      </c>
      <c r="AQ55" s="368">
        <f t="shared" si="28"/>
        <v>4</v>
      </c>
      <c r="AR55" s="369">
        <f t="shared" si="28"/>
        <v>130</v>
      </c>
    </row>
    <row r="56" spans="1:44" ht="13.5" thickBot="1">
      <c r="A56" s="507"/>
      <c r="B56" s="75" t="s">
        <v>30</v>
      </c>
      <c r="C56" s="74" t="s">
        <v>326</v>
      </c>
      <c r="D56" s="73">
        <v>317.27</v>
      </c>
      <c r="E56" s="236">
        <f t="shared" si="6"/>
        <v>200</v>
      </c>
      <c r="F56" s="73">
        <v>136.87530000000001</v>
      </c>
      <c r="G56" s="72">
        <v>0.75</v>
      </c>
      <c r="H56" s="253">
        <f t="shared" si="7"/>
        <v>102.656475</v>
      </c>
      <c r="I56" s="82">
        <f t="shared" si="8"/>
        <v>1</v>
      </c>
      <c r="J56" s="253">
        <f t="shared" si="17"/>
        <v>200</v>
      </c>
      <c r="K56" s="73">
        <f t="shared" si="1"/>
        <v>97.343525</v>
      </c>
      <c r="L56" s="72">
        <f t="shared" si="9"/>
        <v>0.51328237499999996</v>
      </c>
      <c r="M56" s="71" t="s">
        <v>325</v>
      </c>
      <c r="N56" s="71">
        <v>518.48</v>
      </c>
      <c r="O56" s="114">
        <f t="shared" si="10"/>
        <v>200</v>
      </c>
      <c r="P56" s="70">
        <f t="shared" si="18"/>
        <v>136.87530000000001</v>
      </c>
      <c r="Q56" s="114">
        <v>0.75</v>
      </c>
      <c r="R56" s="69">
        <f t="shared" si="11"/>
        <v>102.656475</v>
      </c>
      <c r="S56" s="114">
        <f t="shared" si="19"/>
        <v>200</v>
      </c>
      <c r="T56" s="288">
        <f t="shared" si="20"/>
        <v>97.343525</v>
      </c>
      <c r="U56" s="303" t="str">
        <f t="shared" si="21"/>
        <v>No</v>
      </c>
      <c r="V56" s="314"/>
      <c r="W56" s="314"/>
      <c r="Z56" s="328"/>
      <c r="AA56" s="275"/>
      <c r="AB56" s="328"/>
      <c r="AD56" s="60" t="s">
        <v>90</v>
      </c>
      <c r="AE56" s="470">
        <v>0</v>
      </c>
      <c r="AF56" s="359">
        <v>0</v>
      </c>
      <c r="AG56" s="359">
        <f>1</f>
        <v>1</v>
      </c>
      <c r="AH56" s="470">
        <f>1</f>
        <v>1</v>
      </c>
      <c r="AI56" s="470">
        <f>1</f>
        <v>1</v>
      </c>
      <c r="AJ56" s="60">
        <f t="shared" si="27"/>
        <v>3</v>
      </c>
      <c r="AK56" s="250"/>
      <c r="AL56" s="270" t="s">
        <v>492</v>
      </c>
      <c r="AM56" s="370">
        <f>PRODUCT(AM55*AN33)</f>
        <v>90</v>
      </c>
      <c r="AN56" s="418">
        <f>PRODUCT(AN55*AN34)</f>
        <v>851.18280000000004</v>
      </c>
      <c r="AO56" s="418">
        <f>PRODUCT(AO55*AN35)</f>
        <v>803.84159999999997</v>
      </c>
      <c r="AP56" s="418">
        <f>PRODUCT(AP55*AN36)</f>
        <v>337.73200000000003</v>
      </c>
      <c r="AQ56" s="418">
        <f>PRODUCT(AQ55*AN37)</f>
        <v>68</v>
      </c>
      <c r="AR56" s="419">
        <f>SUM(AM56:AQ56)</f>
        <v>2150.7564000000002</v>
      </c>
    </row>
    <row r="57" spans="1:44">
      <c r="D57" s="228" t="s">
        <v>416</v>
      </c>
      <c r="E57" s="228">
        <f>SUM(E3:E56)</f>
        <v>10300</v>
      </c>
      <c r="Z57" s="328"/>
      <c r="AA57" s="275"/>
      <c r="AB57" s="328"/>
      <c r="AD57" s="60" t="s">
        <v>91</v>
      </c>
      <c r="AE57" s="470">
        <v>0</v>
      </c>
      <c r="AF57" s="359">
        <f>2+3+1+2+1+1</f>
        <v>10</v>
      </c>
      <c r="AG57" s="470">
        <f>1+1</f>
        <v>2</v>
      </c>
      <c r="AH57" s="470">
        <f>1</f>
        <v>1</v>
      </c>
      <c r="AI57" s="470">
        <v>0</v>
      </c>
      <c r="AJ57" s="60">
        <f t="shared" si="27"/>
        <v>13</v>
      </c>
      <c r="AK57" s="250"/>
      <c r="AL57" s="270" t="s">
        <v>526</v>
      </c>
      <c r="AM57" s="370">
        <f>AM55*AM33</f>
        <v>600</v>
      </c>
      <c r="AN57" s="370">
        <f>AN55*AM34</f>
        <v>7800</v>
      </c>
      <c r="AO57" s="370">
        <f>AO55*AM35</f>
        <v>9600</v>
      </c>
      <c r="AP57" s="370">
        <f>AP55*AM36</f>
        <v>5000</v>
      </c>
      <c r="AQ57" s="370">
        <f>AQ55*AM37</f>
        <v>1200</v>
      </c>
      <c r="AR57" s="270">
        <f>SUM(AM57:AQ57)</f>
        <v>24200</v>
      </c>
    </row>
    <row r="58" spans="1:44">
      <c r="Z58" s="328"/>
      <c r="AA58" s="275"/>
      <c r="AB58" s="328"/>
      <c r="AD58" s="60" t="s">
        <v>92</v>
      </c>
      <c r="AE58" s="470">
        <v>0</v>
      </c>
      <c r="AF58" s="359">
        <f>2+2</f>
        <v>4</v>
      </c>
      <c r="AG58" s="470">
        <f>6+1</f>
        <v>7</v>
      </c>
      <c r="AH58" s="470">
        <v>0</v>
      </c>
      <c r="AI58" s="470">
        <v>0</v>
      </c>
      <c r="AJ58" s="60">
        <f t="shared" si="27"/>
        <v>11</v>
      </c>
      <c r="AK58" s="250"/>
      <c r="AL58" s="250"/>
      <c r="AM58" s="371"/>
    </row>
    <row r="59" spans="1:44">
      <c r="Z59" s="328"/>
      <c r="AA59" s="275"/>
      <c r="AB59" s="328"/>
      <c r="AD59" s="60" t="s">
        <v>93</v>
      </c>
      <c r="AE59" s="470">
        <v>0</v>
      </c>
      <c r="AF59" s="359">
        <v>0</v>
      </c>
      <c r="AG59" s="470">
        <f>1+1</f>
        <v>2</v>
      </c>
      <c r="AH59" s="470">
        <f>3</f>
        <v>3</v>
      </c>
      <c r="AI59" s="470">
        <v>0</v>
      </c>
      <c r="AJ59" s="60">
        <f t="shared" si="27"/>
        <v>5</v>
      </c>
    </row>
    <row r="60" spans="1:44">
      <c r="Z60" s="328"/>
      <c r="AA60" s="275"/>
      <c r="AB60" s="328"/>
      <c r="AD60" s="60" t="s">
        <v>94</v>
      </c>
      <c r="AE60" s="470">
        <v>0</v>
      </c>
      <c r="AF60" s="417">
        <f>1</f>
        <v>1</v>
      </c>
      <c r="AG60" s="470">
        <f>1+1</f>
        <v>2</v>
      </c>
      <c r="AH60" s="470">
        <f>4</f>
        <v>4</v>
      </c>
      <c r="AI60" s="470">
        <v>0</v>
      </c>
      <c r="AJ60" s="60">
        <f t="shared" si="27"/>
        <v>7</v>
      </c>
    </row>
    <row r="61" spans="1:44">
      <c r="Z61" s="328"/>
      <c r="AA61" s="328"/>
      <c r="AB61" s="328"/>
      <c r="AD61" s="366" t="s">
        <v>482</v>
      </c>
      <c r="AE61" s="367">
        <v>0</v>
      </c>
      <c r="AF61" s="367">
        <f>1</f>
        <v>1</v>
      </c>
      <c r="AG61" s="367">
        <f>2</f>
        <v>2</v>
      </c>
      <c r="AH61" s="367">
        <v>0</v>
      </c>
      <c r="AI61" s="367">
        <v>0</v>
      </c>
      <c r="AJ61" s="366">
        <f t="shared" si="27"/>
        <v>3</v>
      </c>
    </row>
    <row r="62" spans="1:44">
      <c r="Z62" s="328"/>
      <c r="AA62" s="328"/>
      <c r="AB62" s="328"/>
      <c r="AD62" s="270" t="s">
        <v>493</v>
      </c>
      <c r="AE62" s="368">
        <f t="shared" ref="AE62:AJ62" si="29">SUM(AE50:AE61)</f>
        <v>0</v>
      </c>
      <c r="AF62" s="368">
        <f t="shared" si="29"/>
        <v>44</v>
      </c>
      <c r="AG62" s="368">
        <f t="shared" si="29"/>
        <v>48</v>
      </c>
      <c r="AH62" s="368">
        <f t="shared" si="29"/>
        <v>20</v>
      </c>
      <c r="AI62" s="368">
        <f t="shared" si="29"/>
        <v>4</v>
      </c>
      <c r="AJ62" s="369">
        <f t="shared" si="29"/>
        <v>116</v>
      </c>
    </row>
    <row r="63" spans="1:44">
      <c r="AD63" s="270" t="s">
        <v>492</v>
      </c>
      <c r="AE63" s="418">
        <f>PRODUCT(AE62*AN33)</f>
        <v>0</v>
      </c>
      <c r="AF63" s="418">
        <f>PRODUCT(AF62*AN34)</f>
        <v>720.23159999999996</v>
      </c>
      <c r="AG63" s="418">
        <f>PRODUCT(AG62*AN35)</f>
        <v>803.84159999999997</v>
      </c>
      <c r="AH63" s="418">
        <f>PRODUCT(AH62*AN36)</f>
        <v>337.73200000000003</v>
      </c>
      <c r="AI63" s="418">
        <f>PRODUCT(AI62*AN37)</f>
        <v>68</v>
      </c>
      <c r="AJ63" s="419">
        <f>SUM(AE63:AI63)</f>
        <v>1929.8051999999998</v>
      </c>
    </row>
    <row r="64" spans="1:44">
      <c r="AD64" s="270" t="s">
        <v>526</v>
      </c>
      <c r="AE64" s="370">
        <f>AE62*AM33</f>
        <v>0</v>
      </c>
      <c r="AF64" s="370">
        <f>AF62*AM34</f>
        <v>6600</v>
      </c>
      <c r="AG64" s="370">
        <f>AG62*AM35</f>
        <v>9600</v>
      </c>
      <c r="AH64" s="370">
        <f>AH62*AM36</f>
        <v>5000</v>
      </c>
      <c r="AI64" s="370">
        <f>AI62*AM37</f>
        <v>1200</v>
      </c>
      <c r="AJ64" s="270">
        <f>SUM(AE64:AI64)</f>
        <v>22400</v>
      </c>
    </row>
  </sheetData>
  <mergeCells count="25">
    <mergeCell ref="AD48:AI48"/>
    <mergeCell ref="AL41:AQ41"/>
    <mergeCell ref="M1:U1"/>
    <mergeCell ref="A15:A20"/>
    <mergeCell ref="A4:A5"/>
    <mergeCell ref="A6:A8"/>
    <mergeCell ref="A9:A13"/>
    <mergeCell ref="C1:K1"/>
    <mergeCell ref="AK25:AL25"/>
    <mergeCell ref="AN25:AO25"/>
    <mergeCell ref="AD26:AF26"/>
    <mergeCell ref="AG27:AH27"/>
    <mergeCell ref="AD28:AI28"/>
    <mergeCell ref="A55:A56"/>
    <mergeCell ref="A21:A24"/>
    <mergeCell ref="A26:A27"/>
    <mergeCell ref="A28:A32"/>
    <mergeCell ref="A33:A35"/>
    <mergeCell ref="A36:A37"/>
    <mergeCell ref="A39:A40"/>
    <mergeCell ref="A41:A43"/>
    <mergeCell ref="A45:A48"/>
    <mergeCell ref="A49:A50"/>
    <mergeCell ref="A51:A52"/>
    <mergeCell ref="A53:A54"/>
  </mergeCells>
  <conditionalFormatting sqref="U3:U56">
    <cfRule type="containsText" dxfId="53" priority="7" operator="containsText" text="Yes">
      <formula>NOT(ISERROR(SEARCH("Yes",U3)))</formula>
    </cfRule>
  </conditionalFormatting>
  <conditionalFormatting sqref="T3:T56">
    <cfRule type="cellIs" dxfId="52" priority="5" operator="lessThan">
      <formula>0</formula>
    </cfRule>
  </conditionalFormatting>
  <conditionalFormatting sqref="AE30:AJ41">
    <cfRule type="cellIs" dxfId="51" priority="4" operator="greaterThan">
      <formula>0</formula>
    </cfRule>
  </conditionalFormatting>
  <conditionalFormatting sqref="AF50:AJ61">
    <cfRule type="cellIs" dxfId="50" priority="3" operator="greaterThan">
      <formula>0</formula>
    </cfRule>
  </conditionalFormatting>
  <conditionalFormatting sqref="AE50:AE61">
    <cfRule type="cellIs" dxfId="49" priority="2" operator="greaterThan">
      <formula>0</formula>
    </cfRule>
  </conditionalFormatting>
  <conditionalFormatting sqref="AM43:AR54">
    <cfRule type="cellIs" dxfId="48" priority="1" operator="greaterThan">
      <formula>0</formula>
    </cfRule>
  </conditionalFormatting>
  <pageMargins left="0.7" right="0.7" top="0.75" bottom="0.75" header="0.3" footer="0.3"/>
  <pageSetup paperSize="0" orientation="portrait" horizontalDpi="0" verticalDpi="0" copies="0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64"/>
  <sheetViews>
    <sheetView topLeftCell="V19" zoomScale="80" zoomScaleNormal="80" workbookViewId="0">
      <selection activeCell="AG41" sqref="AG41:AM57"/>
    </sheetView>
  </sheetViews>
  <sheetFormatPr defaultRowHeight="15"/>
  <cols>
    <col min="3" max="3" width="27.42578125" customWidth="1"/>
    <col min="4" max="4" width="19.7109375" customWidth="1"/>
    <col min="5" max="5" width="24.28515625" customWidth="1"/>
    <col min="6" max="6" width="19.7109375" customWidth="1"/>
    <col min="7" max="8" width="24.85546875" customWidth="1"/>
    <col min="9" max="9" width="25.5703125" customWidth="1"/>
    <col min="10" max="10" width="20.7109375" customWidth="1"/>
    <col min="11" max="11" width="16.42578125" customWidth="1"/>
    <col min="12" max="12" width="19.28515625" customWidth="1"/>
    <col min="13" max="13" width="24.28515625" customWidth="1"/>
    <col min="14" max="14" width="15.7109375" customWidth="1"/>
    <col min="15" max="15" width="19.42578125" customWidth="1"/>
    <col min="16" max="16" width="17.5703125" customWidth="1"/>
    <col min="18" max="18" width="19.42578125" customWidth="1"/>
    <col min="19" max="19" width="18.42578125" customWidth="1"/>
    <col min="20" max="20" width="17.28515625" customWidth="1"/>
    <col min="21" max="21" width="26.42578125" customWidth="1"/>
    <col min="22" max="22" width="25.42578125" customWidth="1"/>
    <col min="23" max="23" width="45.7109375" customWidth="1"/>
    <col min="25" max="25" width="14.85546875" customWidth="1"/>
    <col min="26" max="26" width="22.28515625" customWidth="1"/>
    <col min="27" max="27" width="23.28515625" customWidth="1"/>
    <col min="33" max="33" width="13.28515625" customWidth="1"/>
  </cols>
  <sheetData>
    <row r="1" spans="1:24">
      <c r="A1" s="184"/>
      <c r="B1" s="185"/>
      <c r="C1" s="504" t="s">
        <v>451</v>
      </c>
      <c r="D1" s="505"/>
      <c r="E1" s="505"/>
      <c r="F1" s="505"/>
      <c r="G1" s="505"/>
      <c r="H1" s="505"/>
      <c r="I1" s="505"/>
      <c r="J1" s="505"/>
      <c r="K1" s="506"/>
      <c r="L1" s="331"/>
      <c r="M1" s="501" t="s">
        <v>450</v>
      </c>
      <c r="N1" s="502"/>
      <c r="O1" s="502"/>
      <c r="P1" s="502"/>
      <c r="Q1" s="502"/>
      <c r="R1" s="502"/>
      <c r="S1" s="502"/>
      <c r="T1" s="502"/>
      <c r="U1" s="503"/>
    </row>
    <row r="2" spans="1:24" ht="15.75" thickBot="1">
      <c r="A2" s="184" t="s">
        <v>449</v>
      </c>
      <c r="B2" s="183" t="s">
        <v>448</v>
      </c>
      <c r="C2" s="182" t="s">
        <v>447</v>
      </c>
      <c r="D2" s="181" t="s">
        <v>34</v>
      </c>
      <c r="E2" s="181" t="s">
        <v>472</v>
      </c>
      <c r="F2" s="181" t="s">
        <v>446</v>
      </c>
      <c r="G2" s="181" t="s">
        <v>457</v>
      </c>
      <c r="H2" s="181" t="s">
        <v>459</v>
      </c>
      <c r="I2" s="181" t="s">
        <v>465</v>
      </c>
      <c r="J2" s="181" t="s">
        <v>33</v>
      </c>
      <c r="K2" s="180" t="s">
        <v>443</v>
      </c>
      <c r="L2" s="222" t="s">
        <v>456</v>
      </c>
      <c r="M2" s="179" t="s">
        <v>445</v>
      </c>
      <c r="N2" s="179" t="s">
        <v>34</v>
      </c>
      <c r="O2" s="179" t="s">
        <v>41</v>
      </c>
      <c r="P2" s="178" t="s">
        <v>444</v>
      </c>
      <c r="Q2" s="177" t="s">
        <v>457</v>
      </c>
      <c r="R2" s="177" t="s">
        <v>459</v>
      </c>
      <c r="S2" s="177" t="s">
        <v>33</v>
      </c>
      <c r="T2" s="177" t="s">
        <v>443</v>
      </c>
      <c r="U2" s="212" t="s">
        <v>478</v>
      </c>
      <c r="V2" s="177" t="s">
        <v>438</v>
      </c>
      <c r="W2" s="177" t="s">
        <v>480</v>
      </c>
    </row>
    <row r="3" spans="1:24" ht="15.75" thickBot="1">
      <c r="A3" s="153" t="s">
        <v>437</v>
      </c>
      <c r="B3" s="172" t="s">
        <v>436</v>
      </c>
      <c r="C3" s="171" t="s">
        <v>435</v>
      </c>
      <c r="D3" s="170">
        <v>386.9</v>
      </c>
      <c r="E3" s="83">
        <f>IF(D3&lt;135,300, IF(AND(D3&gt;135,D3&lt;288),250, IF(AND(D3&gt;288,D3&lt;537),200,IF(AND(D3&gt;537,D3&lt;1096),150,100))))</f>
        <v>200</v>
      </c>
      <c r="F3" s="170">
        <v>131.95400000000001</v>
      </c>
      <c r="G3" s="169">
        <v>0.75</v>
      </c>
      <c r="H3" s="252">
        <f>G3*F3</f>
        <v>98.965500000000006</v>
      </c>
      <c r="I3" s="82">
        <f>CEILING(H3/(0.84*E3),1)</f>
        <v>1</v>
      </c>
      <c r="J3" s="252">
        <f t="shared" ref="J3:J13" si="0">E3*I3</f>
        <v>200</v>
      </c>
      <c r="K3" s="170">
        <f t="shared" ref="K3:K56" si="1">J3-H3</f>
        <v>101.03449999999999</v>
      </c>
      <c r="L3" s="169">
        <f>H3/J3</f>
        <v>0.49482750000000003</v>
      </c>
      <c r="M3" s="168" t="s">
        <v>434</v>
      </c>
      <c r="N3" s="168">
        <v>598.85</v>
      </c>
      <c r="O3" s="167">
        <f>IF(N3&lt;135,300, IF(AND(N3&gt;135,N3&lt;288),250, IF(AND(N3&gt;288,N3&lt;537),200,IF(AND(N3&gt;537,N3&lt;1096),150,100))))</f>
        <v>150</v>
      </c>
      <c r="P3" s="167">
        <f t="shared" ref="P3:P13" si="2">F3</f>
        <v>131.95400000000001</v>
      </c>
      <c r="Q3" s="276">
        <v>0.75</v>
      </c>
      <c r="R3" s="98">
        <f>P3*Q3</f>
        <v>98.965500000000006</v>
      </c>
      <c r="S3" s="167">
        <f t="shared" ref="S3:S13" si="3">O3*I3</f>
        <v>150</v>
      </c>
      <c r="T3" s="287">
        <f t="shared" ref="T3:T13" si="4">S3-R3</f>
        <v>51.034499999999994</v>
      </c>
      <c r="U3" s="167">
        <f>IF(T3&lt;-1, CEILING((R3-S3)/O3,1),0)</f>
        <v>0</v>
      </c>
      <c r="V3" s="276">
        <f>U3*O3</f>
        <v>0</v>
      </c>
      <c r="W3" s="346"/>
    </row>
    <row r="4" spans="1:24" ht="15.75" thickBot="1">
      <c r="A4" s="491" t="s">
        <v>44</v>
      </c>
      <c r="B4" s="165" t="s">
        <v>3</v>
      </c>
      <c r="C4" s="164" t="s">
        <v>44</v>
      </c>
      <c r="D4" s="163">
        <v>424.31</v>
      </c>
      <c r="E4" s="235">
        <f t="shared" ref="E4:E56" si="5">IF(D4&lt;135,300, IF(AND(D4&gt;135,D4&lt;288),250, IF(AND(D4&gt;288,D4&lt;537),200,IF(AND(D4&gt;537,D4&lt;1096),150,100))))</f>
        <v>200</v>
      </c>
      <c r="F4" s="163">
        <v>79.758499999999998</v>
      </c>
      <c r="G4" s="92">
        <v>0.75</v>
      </c>
      <c r="H4" s="252">
        <f t="shared" ref="H4:H56" si="6">G4*F4</f>
        <v>59.818874999999998</v>
      </c>
      <c r="I4" s="82">
        <f t="shared" ref="I4:I56" si="7">CEILING(H4/(0.84*E4),1)</f>
        <v>1</v>
      </c>
      <c r="J4" s="252">
        <f t="shared" si="0"/>
        <v>200</v>
      </c>
      <c r="K4" s="93">
        <f t="shared" si="1"/>
        <v>140.18112500000001</v>
      </c>
      <c r="L4" s="92">
        <f t="shared" ref="L4:L56" si="8">H4/J4</f>
        <v>0.29909437499999997</v>
      </c>
      <c r="M4" s="162" t="s">
        <v>433</v>
      </c>
      <c r="N4" s="162">
        <v>561.44000000000005</v>
      </c>
      <c r="O4" s="90">
        <f t="shared" ref="O4:O56" si="9">IF(N4&lt;135,300, IF(AND(N4&gt;135,N4&lt;288),250, IF(AND(N4&gt;288,N4&lt;537),200,IF(AND(N4&gt;537,N4&lt;1096),150,100))))</f>
        <v>150</v>
      </c>
      <c r="P4" s="161">
        <f t="shared" si="2"/>
        <v>79.758499999999998</v>
      </c>
      <c r="Q4" s="90">
        <v>0.75</v>
      </c>
      <c r="R4" s="98">
        <f t="shared" ref="R4:R56" si="10">P4*Q4</f>
        <v>59.818874999999998</v>
      </c>
      <c r="S4" s="90">
        <f t="shared" si="3"/>
        <v>150</v>
      </c>
      <c r="T4" s="286">
        <f t="shared" si="4"/>
        <v>90.181125000000009</v>
      </c>
      <c r="U4" s="167">
        <f t="shared" ref="U4:U13" si="11">IF(T4&lt;-1, CEILING((R4-S4)/O4,1),0)</f>
        <v>0</v>
      </c>
      <c r="V4" s="276">
        <f t="shared" ref="V4:V56" si="12">U4*O4</f>
        <v>0</v>
      </c>
      <c r="W4" s="346"/>
    </row>
    <row r="5" spans="1:24" ht="15.75" thickBot="1">
      <c r="A5" s="484"/>
      <c r="B5" s="63" t="s">
        <v>25</v>
      </c>
      <c r="C5" s="109" t="s">
        <v>65</v>
      </c>
      <c r="D5" s="93">
        <v>645.40499999999997</v>
      </c>
      <c r="E5" s="237">
        <f t="shared" si="5"/>
        <v>150</v>
      </c>
      <c r="F5" s="92">
        <v>101.52370000000001</v>
      </c>
      <c r="G5" s="92">
        <v>0.75</v>
      </c>
      <c r="H5" s="251">
        <f t="shared" si="6"/>
        <v>76.142775</v>
      </c>
      <c r="I5" s="82">
        <f t="shared" si="7"/>
        <v>1</v>
      </c>
      <c r="J5" s="251">
        <f t="shared" si="0"/>
        <v>150</v>
      </c>
      <c r="K5" s="93">
        <f t="shared" si="1"/>
        <v>73.857225</v>
      </c>
      <c r="L5" s="92">
        <f t="shared" si="8"/>
        <v>0.50761849999999997</v>
      </c>
      <c r="M5" s="91" t="s">
        <v>428</v>
      </c>
      <c r="N5" s="91">
        <v>691.82</v>
      </c>
      <c r="O5" s="90">
        <f t="shared" si="9"/>
        <v>150</v>
      </c>
      <c r="P5" s="90">
        <f t="shared" si="2"/>
        <v>101.52370000000001</v>
      </c>
      <c r="Q5" s="90">
        <v>0.75</v>
      </c>
      <c r="R5" s="89">
        <f t="shared" si="10"/>
        <v>76.142775</v>
      </c>
      <c r="S5" s="90">
        <f t="shared" si="3"/>
        <v>150</v>
      </c>
      <c r="T5" s="286">
        <f t="shared" si="4"/>
        <v>73.857225</v>
      </c>
      <c r="U5" s="167">
        <f t="shared" si="11"/>
        <v>0</v>
      </c>
      <c r="V5" s="276">
        <f t="shared" si="12"/>
        <v>0</v>
      </c>
      <c r="W5" s="346"/>
    </row>
    <row r="6" spans="1:24" ht="15.75" thickBot="1">
      <c r="A6" s="483" t="s">
        <v>432</v>
      </c>
      <c r="B6" s="85" t="s">
        <v>431</v>
      </c>
      <c r="C6" s="84" t="s">
        <v>391</v>
      </c>
      <c r="D6" s="83">
        <v>774.56</v>
      </c>
      <c r="E6" s="235">
        <f t="shared" si="5"/>
        <v>150</v>
      </c>
      <c r="F6" s="83">
        <v>593.39</v>
      </c>
      <c r="G6" s="82">
        <v>0.75</v>
      </c>
      <c r="H6" s="252">
        <f t="shared" si="6"/>
        <v>445.04250000000002</v>
      </c>
      <c r="I6" s="82">
        <f t="shared" si="7"/>
        <v>4</v>
      </c>
      <c r="J6" s="252">
        <f t="shared" si="0"/>
        <v>600</v>
      </c>
      <c r="K6" s="83">
        <f t="shared" si="1"/>
        <v>154.95749999999998</v>
      </c>
      <c r="L6" s="82">
        <f t="shared" si="8"/>
        <v>0.74173750000000005</v>
      </c>
      <c r="M6" s="81" t="s">
        <v>430</v>
      </c>
      <c r="N6" s="81">
        <v>778.62</v>
      </c>
      <c r="O6" s="80">
        <f t="shared" si="9"/>
        <v>150</v>
      </c>
      <c r="P6" s="80">
        <f t="shared" si="2"/>
        <v>593.39</v>
      </c>
      <c r="Q6" s="80">
        <v>0.75</v>
      </c>
      <c r="R6" s="98">
        <f t="shared" si="10"/>
        <v>445.04250000000002</v>
      </c>
      <c r="S6" s="80">
        <f t="shared" si="3"/>
        <v>600</v>
      </c>
      <c r="T6" s="79">
        <f t="shared" si="4"/>
        <v>154.95749999999998</v>
      </c>
      <c r="U6" s="167">
        <f t="shared" si="11"/>
        <v>0</v>
      </c>
      <c r="V6" s="276">
        <f t="shared" si="12"/>
        <v>0</v>
      </c>
      <c r="W6" s="346"/>
    </row>
    <row r="7" spans="1:24" ht="15.75" thickBot="1">
      <c r="A7" s="484"/>
      <c r="B7" s="95" t="s">
        <v>4</v>
      </c>
      <c r="C7" s="94" t="s">
        <v>45</v>
      </c>
      <c r="D7" s="104">
        <v>221.095</v>
      </c>
      <c r="E7" s="237">
        <f t="shared" si="5"/>
        <v>250</v>
      </c>
      <c r="F7" s="104">
        <v>165.54</v>
      </c>
      <c r="G7" s="92">
        <v>0.75</v>
      </c>
      <c r="H7" s="251">
        <f t="shared" si="6"/>
        <v>124.155</v>
      </c>
      <c r="I7" s="82">
        <f t="shared" si="7"/>
        <v>1</v>
      </c>
      <c r="J7" s="251">
        <f t="shared" si="0"/>
        <v>250</v>
      </c>
      <c r="K7" s="93">
        <f t="shared" si="1"/>
        <v>125.845</v>
      </c>
      <c r="L7" s="92">
        <f t="shared" si="8"/>
        <v>0.49662000000000001</v>
      </c>
      <c r="M7" s="103" t="s">
        <v>429</v>
      </c>
      <c r="N7" s="103">
        <v>904.18</v>
      </c>
      <c r="O7" s="90">
        <f t="shared" si="9"/>
        <v>150</v>
      </c>
      <c r="P7" s="102">
        <f t="shared" si="2"/>
        <v>165.54</v>
      </c>
      <c r="Q7" s="90">
        <v>0.75</v>
      </c>
      <c r="R7" s="89">
        <f t="shared" si="10"/>
        <v>124.155</v>
      </c>
      <c r="S7" s="90">
        <f t="shared" si="3"/>
        <v>150</v>
      </c>
      <c r="T7" s="286">
        <f t="shared" si="4"/>
        <v>25.844999999999999</v>
      </c>
      <c r="U7" s="167">
        <f t="shared" si="11"/>
        <v>0</v>
      </c>
      <c r="V7" s="276">
        <f t="shared" si="12"/>
        <v>0</v>
      </c>
      <c r="W7" s="346"/>
    </row>
    <row r="8" spans="1:24" ht="15.75" thickBot="1">
      <c r="A8" s="484"/>
      <c r="B8" s="95" t="s">
        <v>25</v>
      </c>
      <c r="C8" s="94" t="s">
        <v>65</v>
      </c>
      <c r="D8" s="93">
        <v>645.40499999999997</v>
      </c>
      <c r="E8" s="237">
        <f t="shared" si="5"/>
        <v>150</v>
      </c>
      <c r="F8" s="93">
        <v>101.52370000000001</v>
      </c>
      <c r="G8" s="72">
        <v>0.75</v>
      </c>
      <c r="H8" s="251">
        <f t="shared" si="6"/>
        <v>76.142775</v>
      </c>
      <c r="I8" s="82">
        <f t="shared" si="7"/>
        <v>1</v>
      </c>
      <c r="J8" s="251">
        <f t="shared" si="0"/>
        <v>150</v>
      </c>
      <c r="K8" s="73">
        <f t="shared" si="1"/>
        <v>73.857225</v>
      </c>
      <c r="L8" s="72">
        <f t="shared" si="8"/>
        <v>0.50761849999999997</v>
      </c>
      <c r="M8" s="91" t="s">
        <v>428</v>
      </c>
      <c r="N8" s="91">
        <v>691.82</v>
      </c>
      <c r="O8" s="114">
        <f t="shared" si="9"/>
        <v>150</v>
      </c>
      <c r="P8" s="90">
        <f t="shared" si="2"/>
        <v>101.52370000000001</v>
      </c>
      <c r="Q8" s="114">
        <v>0.75</v>
      </c>
      <c r="R8" s="89">
        <f t="shared" si="10"/>
        <v>76.142775</v>
      </c>
      <c r="S8" s="114">
        <f t="shared" si="3"/>
        <v>150</v>
      </c>
      <c r="T8" s="288">
        <f t="shared" si="4"/>
        <v>73.857225</v>
      </c>
      <c r="U8" s="167">
        <f t="shared" si="11"/>
        <v>0</v>
      </c>
      <c r="V8" s="276">
        <f t="shared" si="12"/>
        <v>0</v>
      </c>
      <c r="W8" s="346"/>
    </row>
    <row r="9" spans="1:24" ht="15.75" thickBot="1">
      <c r="A9" s="483" t="s">
        <v>46</v>
      </c>
      <c r="B9" s="85" t="s">
        <v>5</v>
      </c>
      <c r="C9" s="84" t="s">
        <v>46</v>
      </c>
      <c r="D9" s="83">
        <v>87.444999999999993</v>
      </c>
      <c r="E9" s="235">
        <f t="shared" si="5"/>
        <v>300</v>
      </c>
      <c r="F9" s="83">
        <v>330.03719999999998</v>
      </c>
      <c r="G9" s="92">
        <v>0.75</v>
      </c>
      <c r="H9" s="252">
        <f t="shared" si="6"/>
        <v>247.52789999999999</v>
      </c>
      <c r="I9" s="82">
        <f t="shared" si="7"/>
        <v>1</v>
      </c>
      <c r="J9" s="252">
        <f t="shared" si="0"/>
        <v>300</v>
      </c>
      <c r="K9" s="93">
        <f t="shared" si="1"/>
        <v>52.472100000000012</v>
      </c>
      <c r="L9" s="92">
        <f t="shared" si="8"/>
        <v>0.82509299999999997</v>
      </c>
      <c r="M9" s="81" t="s">
        <v>427</v>
      </c>
      <c r="N9" s="81">
        <v>243.73500000000001</v>
      </c>
      <c r="O9" s="90">
        <f t="shared" si="9"/>
        <v>250</v>
      </c>
      <c r="P9" s="80">
        <f t="shared" si="2"/>
        <v>330.03719999999998</v>
      </c>
      <c r="Q9" s="90">
        <v>0.75</v>
      </c>
      <c r="R9" s="98">
        <f t="shared" si="10"/>
        <v>247.52789999999999</v>
      </c>
      <c r="S9" s="90">
        <f t="shared" si="3"/>
        <v>250</v>
      </c>
      <c r="T9" s="286">
        <f t="shared" si="4"/>
        <v>2.4721000000000117</v>
      </c>
      <c r="U9" s="167">
        <f t="shared" si="11"/>
        <v>0</v>
      </c>
      <c r="V9" s="276">
        <f t="shared" si="12"/>
        <v>0</v>
      </c>
      <c r="W9" s="346"/>
    </row>
    <row r="10" spans="1:24" ht="15.75" thickBot="1">
      <c r="A10" s="484"/>
      <c r="B10" s="95" t="s">
        <v>7</v>
      </c>
      <c r="C10" s="94" t="s">
        <v>48</v>
      </c>
      <c r="D10" s="104">
        <v>457.755</v>
      </c>
      <c r="E10" s="237">
        <f t="shared" si="5"/>
        <v>200</v>
      </c>
      <c r="F10" s="104">
        <v>200.11</v>
      </c>
      <c r="G10" s="92">
        <v>0.75</v>
      </c>
      <c r="H10" s="251">
        <f t="shared" si="6"/>
        <v>150.08250000000001</v>
      </c>
      <c r="I10" s="82">
        <f t="shared" si="7"/>
        <v>1</v>
      </c>
      <c r="J10" s="251">
        <f t="shared" si="0"/>
        <v>200</v>
      </c>
      <c r="K10" s="93">
        <f t="shared" si="1"/>
        <v>49.91749999999999</v>
      </c>
      <c r="L10" s="92">
        <f t="shared" si="8"/>
        <v>0.75041250000000004</v>
      </c>
      <c r="M10" s="103" t="s">
        <v>426</v>
      </c>
      <c r="N10" s="103">
        <v>614.06500000000005</v>
      </c>
      <c r="O10" s="90">
        <f t="shared" si="9"/>
        <v>150</v>
      </c>
      <c r="P10" s="102">
        <f t="shared" si="2"/>
        <v>200.11</v>
      </c>
      <c r="Q10" s="90">
        <v>0.75</v>
      </c>
      <c r="R10" s="89">
        <f t="shared" si="10"/>
        <v>150.08250000000001</v>
      </c>
      <c r="S10" s="90">
        <f t="shared" si="3"/>
        <v>150</v>
      </c>
      <c r="T10" s="286">
        <f t="shared" si="4"/>
        <v>-8.2500000000010232E-2</v>
      </c>
      <c r="U10" s="167">
        <f t="shared" si="11"/>
        <v>0</v>
      </c>
      <c r="V10" s="276">
        <f t="shared" si="12"/>
        <v>0</v>
      </c>
      <c r="W10" s="346">
        <f>IF(T10&lt;0, -1*T10, 0)</f>
        <v>8.2500000000010232E-2</v>
      </c>
      <c r="X10" t="s">
        <v>481</v>
      </c>
    </row>
    <row r="11" spans="1:24" ht="15.75" thickBot="1">
      <c r="A11" s="484"/>
      <c r="B11" s="95" t="s">
        <v>8</v>
      </c>
      <c r="C11" s="94" t="s">
        <v>74</v>
      </c>
      <c r="D11" s="104">
        <v>632.29</v>
      </c>
      <c r="E11" s="237">
        <f t="shared" si="5"/>
        <v>150</v>
      </c>
      <c r="F11" s="104">
        <v>416.14780000000002</v>
      </c>
      <c r="G11" s="92">
        <v>0.75</v>
      </c>
      <c r="H11" s="251">
        <f t="shared" si="6"/>
        <v>312.11085000000003</v>
      </c>
      <c r="I11" s="82">
        <f t="shared" si="7"/>
        <v>3</v>
      </c>
      <c r="J11" s="251">
        <f t="shared" si="0"/>
        <v>450</v>
      </c>
      <c r="K11" s="93">
        <f t="shared" si="1"/>
        <v>137.88914999999997</v>
      </c>
      <c r="L11" s="92">
        <f t="shared" si="8"/>
        <v>0.69357966666666671</v>
      </c>
      <c r="M11" s="103" t="s">
        <v>425</v>
      </c>
      <c r="N11" s="103">
        <v>692.19500000000005</v>
      </c>
      <c r="O11" s="90">
        <f t="shared" si="9"/>
        <v>150</v>
      </c>
      <c r="P11" s="102">
        <f t="shared" si="2"/>
        <v>416.14780000000002</v>
      </c>
      <c r="Q11" s="90">
        <v>0.75</v>
      </c>
      <c r="R11" s="89">
        <f t="shared" si="10"/>
        <v>312.11085000000003</v>
      </c>
      <c r="S11" s="90">
        <f t="shared" si="3"/>
        <v>450</v>
      </c>
      <c r="T11" s="286">
        <f t="shared" si="4"/>
        <v>137.88914999999997</v>
      </c>
      <c r="U11" s="167">
        <f t="shared" si="11"/>
        <v>0</v>
      </c>
      <c r="V11" s="276">
        <f t="shared" si="12"/>
        <v>0</v>
      </c>
      <c r="W11" s="346"/>
    </row>
    <row r="12" spans="1:24" ht="15.75" thickBot="1">
      <c r="A12" s="484"/>
      <c r="B12" s="95" t="s">
        <v>12</v>
      </c>
      <c r="C12" s="94" t="s">
        <v>52</v>
      </c>
      <c r="D12" s="104">
        <v>428.91</v>
      </c>
      <c r="E12" s="237">
        <f t="shared" si="5"/>
        <v>200</v>
      </c>
      <c r="F12" s="104">
        <v>320.77999999999997</v>
      </c>
      <c r="G12" s="92">
        <v>0.75</v>
      </c>
      <c r="H12" s="251">
        <f t="shared" si="6"/>
        <v>240.58499999999998</v>
      </c>
      <c r="I12" s="82">
        <f t="shared" si="7"/>
        <v>2</v>
      </c>
      <c r="J12" s="251">
        <f t="shared" si="0"/>
        <v>400</v>
      </c>
      <c r="K12" s="93">
        <f t="shared" si="1"/>
        <v>159.41500000000002</v>
      </c>
      <c r="L12" s="92">
        <f t="shared" si="8"/>
        <v>0.6014624999999999</v>
      </c>
      <c r="M12" s="103" t="s">
        <v>419</v>
      </c>
      <c r="N12" s="103">
        <v>440.09</v>
      </c>
      <c r="O12" s="90">
        <f t="shared" si="9"/>
        <v>200</v>
      </c>
      <c r="P12" s="102">
        <f t="shared" si="2"/>
        <v>320.77999999999997</v>
      </c>
      <c r="Q12" s="90">
        <v>0.75</v>
      </c>
      <c r="R12" s="89">
        <f t="shared" si="10"/>
        <v>240.58499999999998</v>
      </c>
      <c r="S12" s="90">
        <f t="shared" si="3"/>
        <v>400</v>
      </c>
      <c r="T12" s="286">
        <f t="shared" si="4"/>
        <v>159.41500000000002</v>
      </c>
      <c r="U12" s="167">
        <f t="shared" si="11"/>
        <v>0</v>
      </c>
      <c r="V12" s="276">
        <f t="shared" si="12"/>
        <v>0</v>
      </c>
      <c r="W12" s="346"/>
    </row>
    <row r="13" spans="1:24" ht="15.75" thickBot="1">
      <c r="A13" s="484"/>
      <c r="B13" s="95" t="s">
        <v>395</v>
      </c>
      <c r="C13" s="94" t="s">
        <v>63</v>
      </c>
      <c r="D13" s="93">
        <v>530.30999999999995</v>
      </c>
      <c r="E13" s="236">
        <f t="shared" si="5"/>
        <v>200</v>
      </c>
      <c r="F13" s="93">
        <v>22.35</v>
      </c>
      <c r="G13" s="92">
        <v>0.75</v>
      </c>
      <c r="H13" s="253">
        <f t="shared" si="6"/>
        <v>16.762500000000003</v>
      </c>
      <c r="I13" s="82">
        <f t="shared" si="7"/>
        <v>1</v>
      </c>
      <c r="J13" s="253">
        <f t="shared" si="0"/>
        <v>200</v>
      </c>
      <c r="K13" s="93">
        <f t="shared" si="1"/>
        <v>183.23750000000001</v>
      </c>
      <c r="L13" s="92">
        <f t="shared" si="8"/>
        <v>8.3812500000000012E-2</v>
      </c>
      <c r="M13" s="91" t="s">
        <v>417</v>
      </c>
      <c r="N13" s="91">
        <v>541.49</v>
      </c>
      <c r="O13" s="90">
        <f t="shared" si="9"/>
        <v>150</v>
      </c>
      <c r="P13" s="90">
        <f t="shared" si="2"/>
        <v>22.35</v>
      </c>
      <c r="Q13" s="90">
        <v>0.75</v>
      </c>
      <c r="R13" s="69">
        <f t="shared" si="10"/>
        <v>16.762500000000003</v>
      </c>
      <c r="S13" s="90">
        <f t="shared" si="3"/>
        <v>150</v>
      </c>
      <c r="T13" s="286">
        <f t="shared" si="4"/>
        <v>133.23750000000001</v>
      </c>
      <c r="U13" s="167">
        <f t="shared" si="11"/>
        <v>0</v>
      </c>
      <c r="V13" s="276">
        <f t="shared" si="12"/>
        <v>0</v>
      </c>
      <c r="W13" s="346"/>
    </row>
    <row r="14" spans="1:24" ht="15.75" thickBot="1">
      <c r="A14" s="330" t="s">
        <v>425</v>
      </c>
      <c r="B14" s="85" t="s">
        <v>351</v>
      </c>
      <c r="C14" s="152"/>
      <c r="D14" s="83"/>
      <c r="E14" s="93">
        <f t="shared" si="5"/>
        <v>300</v>
      </c>
      <c r="F14" s="83"/>
      <c r="G14" s="169">
        <v>0.75</v>
      </c>
      <c r="H14" s="251">
        <f t="shared" si="6"/>
        <v>0</v>
      </c>
      <c r="I14" s="82">
        <f t="shared" si="7"/>
        <v>0</v>
      </c>
      <c r="J14" s="251"/>
      <c r="K14" s="170"/>
      <c r="L14" s="169"/>
      <c r="M14" s="81"/>
      <c r="N14" s="81"/>
      <c r="O14" s="167">
        <f t="shared" si="9"/>
        <v>300</v>
      </c>
      <c r="P14" s="80"/>
      <c r="Q14" s="167">
        <v>0.75</v>
      </c>
      <c r="R14" s="89">
        <f t="shared" si="10"/>
        <v>0</v>
      </c>
      <c r="S14" s="167"/>
      <c r="T14" s="287"/>
      <c r="U14" s="80"/>
      <c r="V14" s="276">
        <f t="shared" si="12"/>
        <v>0</v>
      </c>
      <c r="W14" s="346"/>
    </row>
    <row r="15" spans="1:24" ht="15.75" thickBot="1">
      <c r="A15" s="483" t="s">
        <v>49</v>
      </c>
      <c r="B15" s="85" t="s">
        <v>424</v>
      </c>
      <c r="C15" s="84" t="s">
        <v>47</v>
      </c>
      <c r="D15" s="83">
        <v>341.36500000000001</v>
      </c>
      <c r="E15" s="235">
        <f t="shared" si="5"/>
        <v>200</v>
      </c>
      <c r="F15" s="83">
        <v>414.50749999999999</v>
      </c>
      <c r="G15" s="92">
        <v>0.75</v>
      </c>
      <c r="H15" s="252">
        <f t="shared" si="6"/>
        <v>310.88062500000001</v>
      </c>
      <c r="I15" s="82">
        <f t="shared" si="7"/>
        <v>2</v>
      </c>
      <c r="J15" s="252">
        <f t="shared" ref="J15:J24" si="13">I15*E15</f>
        <v>400</v>
      </c>
      <c r="K15" s="93">
        <f t="shared" si="1"/>
        <v>89.119374999999991</v>
      </c>
      <c r="L15" s="92">
        <f t="shared" si="8"/>
        <v>0.77720156250000005</v>
      </c>
      <c r="M15" s="81" t="s">
        <v>423</v>
      </c>
      <c r="N15" s="81">
        <v>527.53499999999997</v>
      </c>
      <c r="O15" s="90">
        <f t="shared" si="9"/>
        <v>200</v>
      </c>
      <c r="P15" s="80">
        <f t="shared" ref="P15:P24" si="14">F15</f>
        <v>414.50749999999999</v>
      </c>
      <c r="Q15" s="90">
        <v>0.75</v>
      </c>
      <c r="R15" s="98">
        <f t="shared" si="10"/>
        <v>310.88062500000001</v>
      </c>
      <c r="S15" s="90">
        <f t="shared" ref="S15:S24" si="15">O15*I15</f>
        <v>400</v>
      </c>
      <c r="T15" s="286">
        <f t="shared" ref="T15:T24" si="16">S15-R15</f>
        <v>89.119374999999991</v>
      </c>
      <c r="U15" s="80">
        <f>IF(T15&lt;-1, CEILING((R15-S15)/O15,1),0)</f>
        <v>0</v>
      </c>
      <c r="V15" s="276">
        <f t="shared" si="12"/>
        <v>0</v>
      </c>
      <c r="W15" s="346"/>
    </row>
    <row r="16" spans="1:24" ht="15.75" thickBot="1">
      <c r="A16" s="484"/>
      <c r="B16" s="95" t="s">
        <v>9</v>
      </c>
      <c r="C16" s="94" t="s">
        <v>422</v>
      </c>
      <c r="D16" s="104">
        <v>72.555000000000007</v>
      </c>
      <c r="E16" s="237">
        <f t="shared" si="5"/>
        <v>300</v>
      </c>
      <c r="F16" s="104">
        <v>249.06020000000001</v>
      </c>
      <c r="G16" s="92">
        <v>0.75</v>
      </c>
      <c r="H16" s="251">
        <f t="shared" si="6"/>
        <v>186.79515000000001</v>
      </c>
      <c r="I16" s="82">
        <f t="shared" si="7"/>
        <v>1</v>
      </c>
      <c r="J16" s="251">
        <f t="shared" si="13"/>
        <v>300</v>
      </c>
      <c r="K16" s="93">
        <f t="shared" si="1"/>
        <v>113.20484999999999</v>
      </c>
      <c r="L16" s="92">
        <f t="shared" si="8"/>
        <v>0.6226505</v>
      </c>
      <c r="M16" s="103" t="s">
        <v>421</v>
      </c>
      <c r="N16" s="103">
        <v>258.625</v>
      </c>
      <c r="O16" s="90">
        <f t="shared" si="9"/>
        <v>250</v>
      </c>
      <c r="P16" s="102">
        <f t="shared" si="14"/>
        <v>249.06020000000001</v>
      </c>
      <c r="Q16" s="90">
        <v>0.75</v>
      </c>
      <c r="R16" s="89">
        <f t="shared" si="10"/>
        <v>186.79515000000001</v>
      </c>
      <c r="S16" s="90">
        <f t="shared" si="15"/>
        <v>250</v>
      </c>
      <c r="T16" s="286">
        <f t="shared" si="16"/>
        <v>63.204849999999993</v>
      </c>
      <c r="U16" s="80">
        <f t="shared" ref="U16:U24" si="17">IF(T16&lt;-1, CEILING((R16-S16)/O16,1),0)</f>
        <v>0</v>
      </c>
      <c r="V16" s="276">
        <f t="shared" si="12"/>
        <v>0</v>
      </c>
      <c r="W16" s="346"/>
    </row>
    <row r="17" spans="1:35" ht="15.75" thickBot="1">
      <c r="A17" s="484"/>
      <c r="B17" s="95" t="s">
        <v>10</v>
      </c>
      <c r="C17" s="94" t="s">
        <v>385</v>
      </c>
      <c r="D17" s="104">
        <v>894.93</v>
      </c>
      <c r="E17" s="237">
        <f t="shared" si="5"/>
        <v>150</v>
      </c>
      <c r="F17" s="104">
        <v>185.4342</v>
      </c>
      <c r="G17" s="92">
        <v>0.75</v>
      </c>
      <c r="H17" s="251">
        <f t="shared" si="6"/>
        <v>139.07565</v>
      </c>
      <c r="I17" s="82">
        <f t="shared" si="7"/>
        <v>2</v>
      </c>
      <c r="J17" s="251">
        <f t="shared" si="13"/>
        <v>300</v>
      </c>
      <c r="K17" s="93">
        <f t="shared" si="1"/>
        <v>160.92435</v>
      </c>
      <c r="L17" s="92">
        <f t="shared" si="8"/>
        <v>0.46358549999999998</v>
      </c>
      <c r="M17" s="103" t="s">
        <v>384</v>
      </c>
      <c r="N17" s="103">
        <v>975.03499999999997</v>
      </c>
      <c r="O17" s="90">
        <f t="shared" si="9"/>
        <v>150</v>
      </c>
      <c r="P17" s="102">
        <f t="shared" si="14"/>
        <v>185.4342</v>
      </c>
      <c r="Q17" s="90">
        <v>0.75</v>
      </c>
      <c r="R17" s="89">
        <f t="shared" si="10"/>
        <v>139.07565</v>
      </c>
      <c r="S17" s="90">
        <f t="shared" si="15"/>
        <v>300</v>
      </c>
      <c r="T17" s="286">
        <f t="shared" si="16"/>
        <v>160.92435</v>
      </c>
      <c r="U17" s="80">
        <f t="shared" si="17"/>
        <v>0</v>
      </c>
      <c r="V17" s="276">
        <f t="shared" si="12"/>
        <v>0</v>
      </c>
      <c r="W17" s="346"/>
    </row>
    <row r="18" spans="1:35" ht="15.75" thickBot="1">
      <c r="A18" s="484"/>
      <c r="B18" s="95" t="s">
        <v>11</v>
      </c>
      <c r="C18" s="94" t="s">
        <v>378</v>
      </c>
      <c r="D18" s="104">
        <v>839.23</v>
      </c>
      <c r="E18" s="237">
        <f t="shared" si="5"/>
        <v>150</v>
      </c>
      <c r="F18" s="104">
        <v>213.84829999999999</v>
      </c>
      <c r="G18" s="92">
        <v>0.75</v>
      </c>
      <c r="H18" s="251">
        <f t="shared" si="6"/>
        <v>160.386225</v>
      </c>
      <c r="I18" s="82">
        <f t="shared" si="7"/>
        <v>2</v>
      </c>
      <c r="J18" s="251">
        <f t="shared" si="13"/>
        <v>300</v>
      </c>
      <c r="K18" s="93">
        <f t="shared" si="1"/>
        <v>139.613775</v>
      </c>
      <c r="L18" s="92">
        <f t="shared" si="8"/>
        <v>0.53462074999999998</v>
      </c>
      <c r="M18" s="103" t="s">
        <v>420</v>
      </c>
      <c r="N18" s="103">
        <v>1025.3</v>
      </c>
      <c r="O18" s="90">
        <f t="shared" si="9"/>
        <v>150</v>
      </c>
      <c r="P18" s="102">
        <f t="shared" si="14"/>
        <v>213.84829999999999</v>
      </c>
      <c r="Q18" s="90">
        <v>0.75</v>
      </c>
      <c r="R18" s="89">
        <f t="shared" si="10"/>
        <v>160.386225</v>
      </c>
      <c r="S18" s="90">
        <f t="shared" si="15"/>
        <v>300</v>
      </c>
      <c r="T18" s="286">
        <f t="shared" si="16"/>
        <v>139.613775</v>
      </c>
      <c r="U18" s="80">
        <f t="shared" si="17"/>
        <v>0</v>
      </c>
      <c r="V18" s="276">
        <f t="shared" si="12"/>
        <v>0</v>
      </c>
      <c r="W18" s="346"/>
      <c r="Y18" s="533" t="s">
        <v>453</v>
      </c>
      <c r="Z18" s="534"/>
      <c r="AA18" s="332"/>
    </row>
    <row r="19" spans="1:35" ht="15.75" thickBot="1">
      <c r="A19" s="484"/>
      <c r="B19" s="95" t="s">
        <v>12</v>
      </c>
      <c r="C19" s="94" t="s">
        <v>52</v>
      </c>
      <c r="D19" s="104">
        <v>428.91</v>
      </c>
      <c r="E19" s="237">
        <f t="shared" si="5"/>
        <v>200</v>
      </c>
      <c r="F19" s="104">
        <v>320.7817</v>
      </c>
      <c r="G19" s="92">
        <v>0.75</v>
      </c>
      <c r="H19" s="251">
        <f t="shared" si="6"/>
        <v>240.586275</v>
      </c>
      <c r="I19" s="82">
        <f t="shared" si="7"/>
        <v>2</v>
      </c>
      <c r="J19" s="251">
        <f t="shared" si="13"/>
        <v>400</v>
      </c>
      <c r="K19" s="93">
        <f t="shared" si="1"/>
        <v>159.413725</v>
      </c>
      <c r="L19" s="92">
        <f t="shared" si="8"/>
        <v>0.60146568749999996</v>
      </c>
      <c r="M19" s="103" t="s">
        <v>419</v>
      </c>
      <c r="N19" s="103">
        <v>440.09</v>
      </c>
      <c r="O19" s="90">
        <f t="shared" si="9"/>
        <v>200</v>
      </c>
      <c r="P19" s="102">
        <f t="shared" si="14"/>
        <v>320.7817</v>
      </c>
      <c r="Q19" s="90">
        <v>0.75</v>
      </c>
      <c r="R19" s="89">
        <f t="shared" si="10"/>
        <v>240.586275</v>
      </c>
      <c r="S19" s="90">
        <f t="shared" si="15"/>
        <v>400</v>
      </c>
      <c r="T19" s="286">
        <f t="shared" si="16"/>
        <v>159.413725</v>
      </c>
      <c r="U19" s="80">
        <f t="shared" si="17"/>
        <v>0</v>
      </c>
      <c r="V19" s="276">
        <f t="shared" si="12"/>
        <v>0</v>
      </c>
      <c r="W19" s="346"/>
      <c r="Y19" s="88"/>
      <c r="Z19" s="250"/>
      <c r="AA19" s="97"/>
    </row>
    <row r="20" spans="1:35" ht="15.75" thickBot="1">
      <c r="A20" s="484"/>
      <c r="B20" s="95" t="s">
        <v>418</v>
      </c>
      <c r="C20" s="94" t="s">
        <v>410</v>
      </c>
      <c r="D20" s="93">
        <v>530.30999999999995</v>
      </c>
      <c r="E20" s="237">
        <f t="shared" si="5"/>
        <v>200</v>
      </c>
      <c r="F20" s="93">
        <v>22.35</v>
      </c>
      <c r="G20" s="92">
        <v>0.75</v>
      </c>
      <c r="H20" s="251">
        <f t="shared" si="6"/>
        <v>16.762500000000003</v>
      </c>
      <c r="I20" s="82">
        <f t="shared" si="7"/>
        <v>1</v>
      </c>
      <c r="J20" s="251">
        <f t="shared" si="13"/>
        <v>200</v>
      </c>
      <c r="K20" s="93">
        <f t="shared" si="1"/>
        <v>183.23750000000001</v>
      </c>
      <c r="L20" s="92">
        <f t="shared" si="8"/>
        <v>8.3812500000000012E-2</v>
      </c>
      <c r="M20" s="91" t="s">
        <v>417</v>
      </c>
      <c r="N20" s="91">
        <v>541.49</v>
      </c>
      <c r="O20" s="90">
        <f t="shared" si="9"/>
        <v>150</v>
      </c>
      <c r="P20" s="90">
        <f t="shared" si="14"/>
        <v>22.35</v>
      </c>
      <c r="Q20" s="90">
        <v>0.75</v>
      </c>
      <c r="R20" s="89">
        <f t="shared" si="10"/>
        <v>16.762500000000003</v>
      </c>
      <c r="S20" s="90">
        <f t="shared" si="15"/>
        <v>150</v>
      </c>
      <c r="T20" s="286">
        <f t="shared" si="16"/>
        <v>133.23750000000001</v>
      </c>
      <c r="U20" s="80">
        <f t="shared" si="17"/>
        <v>0</v>
      </c>
      <c r="V20" s="276">
        <f t="shared" si="12"/>
        <v>0</v>
      </c>
      <c r="W20" s="346"/>
      <c r="Y20" s="243" t="s">
        <v>389</v>
      </c>
      <c r="Z20" s="184" t="s">
        <v>388</v>
      </c>
      <c r="AA20" s="244" t="s">
        <v>387</v>
      </c>
    </row>
    <row r="21" spans="1:35" ht="15.75" thickBot="1">
      <c r="A21" s="483" t="s">
        <v>412</v>
      </c>
      <c r="B21" s="85" t="s">
        <v>7</v>
      </c>
      <c r="C21" s="84" t="s">
        <v>48</v>
      </c>
      <c r="D21" s="83">
        <v>457.755</v>
      </c>
      <c r="E21" s="235">
        <f t="shared" si="5"/>
        <v>200</v>
      </c>
      <c r="F21" s="83">
        <v>200.1122</v>
      </c>
      <c r="G21" s="82">
        <v>0.75</v>
      </c>
      <c r="H21" s="252">
        <f t="shared" si="6"/>
        <v>150.08414999999999</v>
      </c>
      <c r="I21" s="82">
        <f t="shared" si="7"/>
        <v>1</v>
      </c>
      <c r="J21" s="252">
        <f t="shared" si="13"/>
        <v>200</v>
      </c>
      <c r="K21" s="83">
        <f t="shared" si="1"/>
        <v>49.915850000000006</v>
      </c>
      <c r="L21" s="82">
        <f t="shared" si="8"/>
        <v>0.75042074999999997</v>
      </c>
      <c r="M21" s="81" t="s">
        <v>415</v>
      </c>
      <c r="N21" s="81">
        <v>733.18499999999995</v>
      </c>
      <c r="O21" s="80">
        <f t="shared" si="9"/>
        <v>150</v>
      </c>
      <c r="P21" s="80">
        <f t="shared" si="14"/>
        <v>200.1122</v>
      </c>
      <c r="Q21" s="80">
        <v>0.75</v>
      </c>
      <c r="R21" s="98">
        <f t="shared" si="10"/>
        <v>150.08414999999999</v>
      </c>
      <c r="S21" s="80">
        <f t="shared" si="15"/>
        <v>150</v>
      </c>
      <c r="T21" s="79">
        <f t="shared" si="16"/>
        <v>-8.4149999999993952E-2</v>
      </c>
      <c r="U21" s="80">
        <f t="shared" si="17"/>
        <v>0</v>
      </c>
      <c r="V21" s="276">
        <f t="shared" si="12"/>
        <v>0</v>
      </c>
      <c r="W21" s="346">
        <f>IF(T21&lt;0, -1*T21, 0)</f>
        <v>8.4149999999993952E-2</v>
      </c>
      <c r="X21" t="s">
        <v>481</v>
      </c>
      <c r="Y21" s="334" t="s">
        <v>14</v>
      </c>
      <c r="Z21" s="335">
        <v>48.38</v>
      </c>
      <c r="AA21" s="97"/>
    </row>
    <row r="22" spans="1:35" ht="15.75" thickBot="1">
      <c r="A22" s="484"/>
      <c r="B22" s="95" t="s">
        <v>414</v>
      </c>
      <c r="C22" s="94" t="s">
        <v>74</v>
      </c>
      <c r="D22" s="104">
        <v>632.29</v>
      </c>
      <c r="E22" s="237">
        <f t="shared" si="5"/>
        <v>150</v>
      </c>
      <c r="F22" s="104">
        <v>416.14780000000002</v>
      </c>
      <c r="G22" s="92">
        <v>0.75</v>
      </c>
      <c r="H22" s="251">
        <f t="shared" si="6"/>
        <v>312.11085000000003</v>
      </c>
      <c r="I22" s="82">
        <f t="shared" si="7"/>
        <v>3</v>
      </c>
      <c r="J22" s="251">
        <f t="shared" si="13"/>
        <v>450</v>
      </c>
      <c r="K22" s="93">
        <f t="shared" si="1"/>
        <v>137.88914999999997</v>
      </c>
      <c r="L22" s="92">
        <f t="shared" si="8"/>
        <v>0.69357966666666671</v>
      </c>
      <c r="M22" s="103" t="s">
        <v>361</v>
      </c>
      <c r="N22" s="103">
        <v>692.19500000000005</v>
      </c>
      <c r="O22" s="90">
        <f t="shared" si="9"/>
        <v>150</v>
      </c>
      <c r="P22" s="102">
        <f t="shared" si="14"/>
        <v>416.14780000000002</v>
      </c>
      <c r="Q22" s="90">
        <v>0.75</v>
      </c>
      <c r="R22" s="89">
        <f t="shared" si="10"/>
        <v>312.11085000000003</v>
      </c>
      <c r="S22" s="90">
        <f t="shared" si="15"/>
        <v>450</v>
      </c>
      <c r="T22" s="286">
        <f t="shared" si="16"/>
        <v>137.88914999999997</v>
      </c>
      <c r="U22" s="80">
        <f t="shared" si="17"/>
        <v>0</v>
      </c>
      <c r="V22" s="276">
        <f t="shared" si="12"/>
        <v>0</v>
      </c>
      <c r="W22" s="346"/>
      <c r="Y22" s="334" t="s">
        <v>6</v>
      </c>
      <c r="Z22" s="335">
        <v>10.88</v>
      </c>
      <c r="AA22" s="97"/>
    </row>
    <row r="23" spans="1:35" ht="15.75" thickBot="1">
      <c r="A23" s="484"/>
      <c r="B23" s="95" t="s">
        <v>413</v>
      </c>
      <c r="C23" s="94" t="s">
        <v>412</v>
      </c>
      <c r="D23" s="104">
        <v>370.31</v>
      </c>
      <c r="E23" s="237">
        <f t="shared" si="5"/>
        <v>200</v>
      </c>
      <c r="F23" s="104">
        <v>24.103000000000002</v>
      </c>
      <c r="G23" s="92">
        <v>0.75</v>
      </c>
      <c r="H23" s="251">
        <f t="shared" si="6"/>
        <v>18.077249999999999</v>
      </c>
      <c r="I23" s="82">
        <f t="shared" si="7"/>
        <v>1</v>
      </c>
      <c r="J23" s="251">
        <f t="shared" si="13"/>
        <v>200</v>
      </c>
      <c r="K23" s="93">
        <f t="shared" si="1"/>
        <v>181.92275000000001</v>
      </c>
      <c r="L23" s="92">
        <f t="shared" si="8"/>
        <v>9.0386250000000001E-2</v>
      </c>
      <c r="M23" s="103" t="s">
        <v>411</v>
      </c>
      <c r="N23" s="103">
        <v>820.63</v>
      </c>
      <c r="O23" s="90">
        <f t="shared" si="9"/>
        <v>150</v>
      </c>
      <c r="P23" s="102">
        <f t="shared" si="14"/>
        <v>24.103000000000002</v>
      </c>
      <c r="Q23" s="90">
        <v>0.75</v>
      </c>
      <c r="R23" s="89">
        <f t="shared" si="10"/>
        <v>18.077249999999999</v>
      </c>
      <c r="S23" s="90">
        <f t="shared" si="15"/>
        <v>150</v>
      </c>
      <c r="T23" s="286">
        <f t="shared" si="16"/>
        <v>131.92275000000001</v>
      </c>
      <c r="U23" s="80">
        <f t="shared" si="17"/>
        <v>0</v>
      </c>
      <c r="V23" s="276">
        <f t="shared" si="12"/>
        <v>0</v>
      </c>
      <c r="W23" s="346"/>
      <c r="Y23" s="334" t="s">
        <v>394</v>
      </c>
      <c r="Z23" s="335">
        <v>58.18</v>
      </c>
      <c r="AA23" s="97"/>
    </row>
    <row r="24" spans="1:35" ht="15.75" thickBot="1">
      <c r="A24" s="484"/>
      <c r="B24" s="95" t="s">
        <v>395</v>
      </c>
      <c r="C24" s="94" t="s">
        <v>410</v>
      </c>
      <c r="D24" s="93">
        <v>530.30999999999995</v>
      </c>
      <c r="E24" s="236">
        <f t="shared" si="5"/>
        <v>200</v>
      </c>
      <c r="F24" s="93">
        <v>22.35</v>
      </c>
      <c r="G24" s="72">
        <v>0.75</v>
      </c>
      <c r="H24" s="253">
        <f t="shared" si="6"/>
        <v>16.762500000000003</v>
      </c>
      <c r="I24" s="82">
        <f t="shared" si="7"/>
        <v>1</v>
      </c>
      <c r="J24" s="253">
        <f t="shared" si="13"/>
        <v>200</v>
      </c>
      <c r="K24" s="73">
        <f t="shared" si="1"/>
        <v>183.23750000000001</v>
      </c>
      <c r="L24" s="72">
        <f t="shared" si="8"/>
        <v>8.3812500000000012E-2</v>
      </c>
      <c r="M24" s="91" t="s">
        <v>409</v>
      </c>
      <c r="N24" s="91">
        <v>660.63</v>
      </c>
      <c r="O24" s="114">
        <f t="shared" si="9"/>
        <v>150</v>
      </c>
      <c r="P24" s="90">
        <f t="shared" si="14"/>
        <v>22.35</v>
      </c>
      <c r="Q24" s="114">
        <v>0.75</v>
      </c>
      <c r="R24" s="69">
        <f t="shared" si="10"/>
        <v>16.762500000000003</v>
      </c>
      <c r="S24" s="114">
        <f t="shared" si="15"/>
        <v>150</v>
      </c>
      <c r="T24" s="288">
        <f t="shared" si="16"/>
        <v>133.23750000000001</v>
      </c>
      <c r="U24" s="80">
        <f t="shared" si="17"/>
        <v>0</v>
      </c>
      <c r="V24" s="276">
        <f t="shared" si="12"/>
        <v>0</v>
      </c>
      <c r="W24" s="346"/>
      <c r="Y24" s="334" t="s">
        <v>19</v>
      </c>
      <c r="Z24" s="335">
        <v>134.63999999999999</v>
      </c>
      <c r="AA24" s="97"/>
    </row>
    <row r="25" spans="1:35" ht="15.75" thickBot="1">
      <c r="A25" s="153" t="s">
        <v>408</v>
      </c>
      <c r="B25" s="85" t="s">
        <v>407</v>
      </c>
      <c r="C25" s="152"/>
      <c r="D25" s="83"/>
      <c r="E25" s="93">
        <f t="shared" si="5"/>
        <v>300</v>
      </c>
      <c r="F25" s="83"/>
      <c r="G25" s="92">
        <v>0.75</v>
      </c>
      <c r="H25" s="251">
        <f t="shared" si="6"/>
        <v>0</v>
      </c>
      <c r="I25" s="82">
        <f t="shared" si="7"/>
        <v>0</v>
      </c>
      <c r="J25" s="251"/>
      <c r="K25" s="93"/>
      <c r="L25" s="92"/>
      <c r="M25" s="81"/>
      <c r="N25" s="81"/>
      <c r="O25" s="90">
        <f t="shared" si="9"/>
        <v>300</v>
      </c>
      <c r="P25" s="80"/>
      <c r="Q25" s="90">
        <v>0.75</v>
      </c>
      <c r="R25" s="89">
        <f t="shared" si="10"/>
        <v>0</v>
      </c>
      <c r="S25" s="90"/>
      <c r="T25" s="286"/>
      <c r="U25" s="80"/>
      <c r="V25" s="276">
        <f t="shared" si="12"/>
        <v>0</v>
      </c>
      <c r="W25" s="346"/>
      <c r="Y25" s="336" t="s">
        <v>20</v>
      </c>
      <c r="Z25" s="337">
        <v>64.61</v>
      </c>
      <c r="AA25" s="87"/>
    </row>
    <row r="26" spans="1:35" ht="15.75" thickBot="1">
      <c r="A26" s="491" t="s">
        <v>406</v>
      </c>
      <c r="B26" s="150" t="s">
        <v>14</v>
      </c>
      <c r="C26" s="84" t="s">
        <v>405</v>
      </c>
      <c r="D26" s="83">
        <v>391.72</v>
      </c>
      <c r="E26" s="235">
        <f t="shared" si="5"/>
        <v>200</v>
      </c>
      <c r="F26" s="83">
        <v>664.51419999999996</v>
      </c>
      <c r="G26" s="82">
        <v>0.75</v>
      </c>
      <c r="H26" s="252">
        <f t="shared" si="6"/>
        <v>498.38564999999994</v>
      </c>
      <c r="I26" s="82">
        <f t="shared" si="7"/>
        <v>3</v>
      </c>
      <c r="J26" s="252">
        <f t="shared" ref="J26:J56" si="18">I26*E26</f>
        <v>600</v>
      </c>
      <c r="K26" s="83">
        <f t="shared" si="1"/>
        <v>101.61435000000006</v>
      </c>
      <c r="L26" s="82">
        <f t="shared" si="8"/>
        <v>0.83064274999999987</v>
      </c>
      <c r="M26" s="81" t="s">
        <v>404</v>
      </c>
      <c r="N26" s="81">
        <v>799.22</v>
      </c>
      <c r="O26" s="80">
        <f t="shared" si="9"/>
        <v>150</v>
      </c>
      <c r="P26" s="80">
        <f t="shared" ref="P26:P56" si="19">F26</f>
        <v>664.51419999999996</v>
      </c>
      <c r="Q26" s="80">
        <v>0.75</v>
      </c>
      <c r="R26" s="98">
        <f t="shared" si="10"/>
        <v>498.38564999999994</v>
      </c>
      <c r="S26" s="80">
        <f t="shared" ref="S26:S56" si="20">O26*I26</f>
        <v>450</v>
      </c>
      <c r="T26" s="79">
        <f t="shared" ref="T26:T56" si="21">S26-R26</f>
        <v>-48.385649999999941</v>
      </c>
      <c r="U26" s="80">
        <f>IF(T26&lt;-1, CEILING((R26-S26)/O26,1),0)</f>
        <v>1</v>
      </c>
      <c r="V26" s="276">
        <f t="shared" si="12"/>
        <v>150</v>
      </c>
      <c r="W26" s="346">
        <f>IF(T26&lt;0, -1*T26, 0)</f>
        <v>48.385649999999941</v>
      </c>
      <c r="Y26" s="338" t="s">
        <v>369</v>
      </c>
      <c r="Z26" s="339">
        <f>SUM(Z21:Z25)</f>
        <v>316.69</v>
      </c>
      <c r="AA26" s="340"/>
    </row>
    <row r="27" spans="1:35" ht="15.75" thickBot="1">
      <c r="A27" s="492"/>
      <c r="B27" s="75" t="s">
        <v>360</v>
      </c>
      <c r="C27" s="74" t="s">
        <v>55</v>
      </c>
      <c r="D27" s="147">
        <v>566.26</v>
      </c>
      <c r="E27" s="237">
        <f t="shared" si="5"/>
        <v>150</v>
      </c>
      <c r="F27" s="147">
        <v>424.66829999999999</v>
      </c>
      <c r="G27" s="72">
        <v>0.75</v>
      </c>
      <c r="H27" s="251">
        <f t="shared" si="6"/>
        <v>318.50122499999998</v>
      </c>
      <c r="I27" s="82">
        <f t="shared" si="7"/>
        <v>3</v>
      </c>
      <c r="J27" s="251">
        <f t="shared" si="18"/>
        <v>450</v>
      </c>
      <c r="K27" s="73">
        <f t="shared" si="1"/>
        <v>131.49877500000002</v>
      </c>
      <c r="L27" s="72">
        <f t="shared" si="8"/>
        <v>0.70778049999999992</v>
      </c>
      <c r="M27" s="146" t="s">
        <v>403</v>
      </c>
      <c r="N27" s="146">
        <v>973.76</v>
      </c>
      <c r="O27" s="114">
        <f t="shared" si="9"/>
        <v>150</v>
      </c>
      <c r="P27" s="70">
        <f t="shared" si="19"/>
        <v>424.66829999999999</v>
      </c>
      <c r="Q27" s="114">
        <v>0.75</v>
      </c>
      <c r="R27" s="89">
        <f t="shared" si="10"/>
        <v>318.50122499999998</v>
      </c>
      <c r="S27" s="114">
        <f t="shared" si="20"/>
        <v>450</v>
      </c>
      <c r="T27" s="288">
        <f t="shared" si="21"/>
        <v>131.49877500000002</v>
      </c>
      <c r="U27" s="80">
        <f t="shared" ref="U27:U56" si="22">IF(T27&lt;-1, CEILING((R27-S27)/O27,1),0)</f>
        <v>0</v>
      </c>
      <c r="V27" s="276">
        <f t="shared" si="12"/>
        <v>0</v>
      </c>
      <c r="W27" s="346"/>
    </row>
    <row r="28" spans="1:35" ht="15.75" thickBot="1">
      <c r="A28" s="484" t="s">
        <v>402</v>
      </c>
      <c r="B28" s="63" t="s">
        <v>6</v>
      </c>
      <c r="C28" s="109" t="s">
        <v>47</v>
      </c>
      <c r="D28" s="93">
        <v>341.46499999999997</v>
      </c>
      <c r="E28" s="235">
        <f t="shared" si="5"/>
        <v>200</v>
      </c>
      <c r="F28" s="93">
        <v>414.50749999999999</v>
      </c>
      <c r="G28" s="92">
        <v>0.75</v>
      </c>
      <c r="H28" s="252">
        <f t="shared" si="6"/>
        <v>310.88062500000001</v>
      </c>
      <c r="I28" s="82">
        <f t="shared" si="7"/>
        <v>2</v>
      </c>
      <c r="J28" s="252">
        <f t="shared" si="18"/>
        <v>400</v>
      </c>
      <c r="K28" s="93">
        <f t="shared" si="1"/>
        <v>89.119374999999991</v>
      </c>
      <c r="L28" s="92">
        <f t="shared" si="8"/>
        <v>0.77720156250000005</v>
      </c>
      <c r="M28" s="91" t="s">
        <v>401</v>
      </c>
      <c r="N28" s="91">
        <v>849.47500000000002</v>
      </c>
      <c r="O28" s="90">
        <f t="shared" si="9"/>
        <v>150</v>
      </c>
      <c r="P28" s="90">
        <f t="shared" si="19"/>
        <v>414.50749999999999</v>
      </c>
      <c r="Q28" s="90">
        <v>0.75</v>
      </c>
      <c r="R28" s="98">
        <f t="shared" si="10"/>
        <v>310.88062500000001</v>
      </c>
      <c r="S28" s="90">
        <f t="shared" si="20"/>
        <v>300</v>
      </c>
      <c r="T28" s="286">
        <f t="shared" si="21"/>
        <v>-10.880625000000009</v>
      </c>
      <c r="U28" s="80">
        <f t="shared" si="22"/>
        <v>1</v>
      </c>
      <c r="V28" s="276">
        <f t="shared" si="12"/>
        <v>150</v>
      </c>
      <c r="W28" s="346">
        <f>IF(T28&lt;0, -1*T28, 0)</f>
        <v>10.880625000000009</v>
      </c>
      <c r="Y28" s="497" t="s">
        <v>558</v>
      </c>
      <c r="Z28" s="498"/>
      <c r="AA28" s="498"/>
      <c r="AB28" s="498"/>
      <c r="AC28" s="498"/>
      <c r="AD28" s="499"/>
      <c r="AE28" s="155"/>
      <c r="AF28" s="5"/>
      <c r="AG28" s="5"/>
      <c r="AH28" s="5"/>
      <c r="AI28" s="5"/>
    </row>
    <row r="29" spans="1:35" ht="15.75" thickBot="1">
      <c r="A29" s="484"/>
      <c r="B29" s="63" t="s">
        <v>400</v>
      </c>
      <c r="C29" s="109" t="s">
        <v>385</v>
      </c>
      <c r="D29" s="93">
        <v>894.93</v>
      </c>
      <c r="E29" s="237">
        <f t="shared" si="5"/>
        <v>150</v>
      </c>
      <c r="F29" s="93">
        <v>185.4342</v>
      </c>
      <c r="G29" s="92">
        <v>0.75</v>
      </c>
      <c r="H29" s="251">
        <f t="shared" si="6"/>
        <v>139.07565</v>
      </c>
      <c r="I29" s="82">
        <f t="shared" si="7"/>
        <v>2</v>
      </c>
      <c r="J29" s="251">
        <f t="shared" si="18"/>
        <v>300</v>
      </c>
      <c r="K29" s="93">
        <f t="shared" si="1"/>
        <v>160.92435</v>
      </c>
      <c r="L29" s="92">
        <f t="shared" si="8"/>
        <v>0.46358549999999998</v>
      </c>
      <c r="M29" s="91" t="s">
        <v>384</v>
      </c>
      <c r="N29" s="91">
        <v>975.03499999999997</v>
      </c>
      <c r="O29" s="90">
        <f t="shared" si="9"/>
        <v>150</v>
      </c>
      <c r="P29" s="90">
        <f t="shared" si="19"/>
        <v>185.4342</v>
      </c>
      <c r="Q29" s="90">
        <v>0.75</v>
      </c>
      <c r="R29" s="89">
        <f t="shared" si="10"/>
        <v>139.07565</v>
      </c>
      <c r="S29" s="90">
        <f t="shared" si="20"/>
        <v>300</v>
      </c>
      <c r="T29" s="286">
        <f t="shared" si="21"/>
        <v>160.92435</v>
      </c>
      <c r="U29" s="80">
        <f t="shared" si="22"/>
        <v>0</v>
      </c>
      <c r="V29" s="276">
        <f t="shared" si="12"/>
        <v>0</v>
      </c>
      <c r="W29" s="346"/>
      <c r="Y29" s="355" t="s">
        <v>484</v>
      </c>
      <c r="Z29" s="357" t="s">
        <v>485</v>
      </c>
      <c r="AA29" s="357" t="s">
        <v>486</v>
      </c>
      <c r="AB29" s="357" t="s">
        <v>487</v>
      </c>
      <c r="AC29" s="357" t="s">
        <v>488</v>
      </c>
      <c r="AD29" s="358" t="s">
        <v>489</v>
      </c>
      <c r="AE29" s="270" t="s">
        <v>416</v>
      </c>
      <c r="AF29" s="5"/>
      <c r="AG29" s="5"/>
      <c r="AH29" s="5"/>
      <c r="AI29" s="5"/>
    </row>
    <row r="30" spans="1:35" ht="15.75" thickBot="1">
      <c r="A30" s="484"/>
      <c r="B30" s="95" t="s">
        <v>399</v>
      </c>
      <c r="C30" s="94" t="s">
        <v>378</v>
      </c>
      <c r="D30" s="104">
        <v>839.23</v>
      </c>
      <c r="E30" s="237">
        <f t="shared" si="5"/>
        <v>150</v>
      </c>
      <c r="F30" s="104">
        <v>213.84829999999999</v>
      </c>
      <c r="G30" s="92">
        <v>0.75</v>
      </c>
      <c r="H30" s="251">
        <f t="shared" si="6"/>
        <v>160.386225</v>
      </c>
      <c r="I30" s="82">
        <f t="shared" si="7"/>
        <v>2</v>
      </c>
      <c r="J30" s="251">
        <f t="shared" si="18"/>
        <v>300</v>
      </c>
      <c r="K30" s="93">
        <f t="shared" si="1"/>
        <v>139.613775</v>
      </c>
      <c r="L30" s="92">
        <f t="shared" si="8"/>
        <v>0.53462074999999998</v>
      </c>
      <c r="M30" s="103" t="s">
        <v>398</v>
      </c>
      <c r="N30" s="103">
        <v>1347.24</v>
      </c>
      <c r="O30" s="90">
        <f t="shared" si="9"/>
        <v>100</v>
      </c>
      <c r="P30" s="102">
        <f t="shared" si="19"/>
        <v>213.84829999999999</v>
      </c>
      <c r="Q30" s="90">
        <v>0.75</v>
      </c>
      <c r="R30" s="89">
        <f t="shared" si="10"/>
        <v>160.386225</v>
      </c>
      <c r="S30" s="90">
        <f t="shared" si="20"/>
        <v>200</v>
      </c>
      <c r="T30" s="286">
        <f t="shared" si="21"/>
        <v>39.613775000000004</v>
      </c>
      <c r="U30" s="80">
        <f t="shared" si="22"/>
        <v>0</v>
      </c>
      <c r="V30" s="276">
        <f t="shared" si="12"/>
        <v>0</v>
      </c>
      <c r="W30" s="346"/>
      <c r="Y30" s="60" t="s">
        <v>84</v>
      </c>
      <c r="Z30" s="359">
        <v>0</v>
      </c>
      <c r="AA30" s="359">
        <v>0</v>
      </c>
      <c r="AB30" s="360">
        <v>0</v>
      </c>
      <c r="AC30" s="360">
        <v>0</v>
      </c>
      <c r="AD30" s="292">
        <v>0</v>
      </c>
      <c r="AE30" s="361">
        <f>SUM(Z30:AD30)</f>
        <v>0</v>
      </c>
      <c r="AF30" s="5"/>
      <c r="AG30" s="5"/>
      <c r="AH30" s="5"/>
      <c r="AI30" s="5"/>
    </row>
    <row r="31" spans="1:35" ht="15.75" thickBot="1">
      <c r="A31" s="484"/>
      <c r="B31" s="95" t="s">
        <v>397</v>
      </c>
      <c r="C31" s="94" t="s">
        <v>52</v>
      </c>
      <c r="D31" s="93">
        <v>428.91</v>
      </c>
      <c r="E31" s="237">
        <f t="shared" si="5"/>
        <v>200</v>
      </c>
      <c r="F31" s="93">
        <v>320.7817</v>
      </c>
      <c r="G31" s="92">
        <v>0.75</v>
      </c>
      <c r="H31" s="251">
        <f t="shared" si="6"/>
        <v>240.586275</v>
      </c>
      <c r="I31" s="82">
        <f t="shared" si="7"/>
        <v>2</v>
      </c>
      <c r="J31" s="251">
        <f t="shared" si="18"/>
        <v>400</v>
      </c>
      <c r="K31" s="93">
        <f t="shared" si="1"/>
        <v>159.413725</v>
      </c>
      <c r="L31" s="92">
        <f t="shared" si="8"/>
        <v>0.60146568749999996</v>
      </c>
      <c r="M31" s="91" t="s">
        <v>396</v>
      </c>
      <c r="N31" s="91">
        <v>762.03</v>
      </c>
      <c r="O31" s="90">
        <f t="shared" si="9"/>
        <v>150</v>
      </c>
      <c r="P31" s="90">
        <f t="shared" si="19"/>
        <v>320.7817</v>
      </c>
      <c r="Q31" s="90">
        <v>0.75</v>
      </c>
      <c r="R31" s="89">
        <f t="shared" si="10"/>
        <v>240.586275</v>
      </c>
      <c r="S31" s="90">
        <f t="shared" si="20"/>
        <v>300</v>
      </c>
      <c r="T31" s="286">
        <f t="shared" si="21"/>
        <v>59.413724999999999</v>
      </c>
      <c r="U31" s="80">
        <f t="shared" si="22"/>
        <v>0</v>
      </c>
      <c r="V31" s="276">
        <f t="shared" si="12"/>
        <v>0</v>
      </c>
      <c r="W31" s="346"/>
      <c r="Y31" s="60" t="s">
        <v>85</v>
      </c>
      <c r="Z31" s="359">
        <v>1</v>
      </c>
      <c r="AA31" s="359">
        <v>0</v>
      </c>
      <c r="AB31" s="359">
        <v>0</v>
      </c>
      <c r="AC31" s="359">
        <v>0</v>
      </c>
      <c r="AD31" s="292">
        <v>0</v>
      </c>
      <c r="AE31" s="60">
        <f t="shared" ref="AE31:AE41" si="23">SUM(Z31:AD31)</f>
        <v>1</v>
      </c>
      <c r="AF31" s="5"/>
      <c r="AG31" s="5"/>
      <c r="AH31" s="5"/>
      <c r="AI31" s="5"/>
    </row>
    <row r="32" spans="1:35" ht="15.75" thickBot="1">
      <c r="A32" s="484"/>
      <c r="B32" s="95" t="s">
        <v>394</v>
      </c>
      <c r="C32" s="94" t="s">
        <v>56</v>
      </c>
      <c r="D32" s="93">
        <v>268.91000000000003</v>
      </c>
      <c r="E32" s="237">
        <f t="shared" si="5"/>
        <v>250</v>
      </c>
      <c r="F32" s="93">
        <v>277.57420000000002</v>
      </c>
      <c r="G32" s="92">
        <v>0.75</v>
      </c>
      <c r="H32" s="251">
        <f t="shared" si="6"/>
        <v>208.18065000000001</v>
      </c>
      <c r="I32" s="82">
        <f t="shared" si="7"/>
        <v>1</v>
      </c>
      <c r="J32" s="251">
        <f t="shared" si="18"/>
        <v>250</v>
      </c>
      <c r="K32" s="93">
        <f t="shared" si="1"/>
        <v>41.819349999999986</v>
      </c>
      <c r="L32" s="92">
        <f t="shared" si="8"/>
        <v>0.83272260000000009</v>
      </c>
      <c r="M32" s="91" t="s">
        <v>393</v>
      </c>
      <c r="N32" s="91">
        <v>922.03</v>
      </c>
      <c r="O32" s="90">
        <f t="shared" si="9"/>
        <v>150</v>
      </c>
      <c r="P32" s="102">
        <f t="shared" si="19"/>
        <v>277.57420000000002</v>
      </c>
      <c r="Q32" s="90">
        <v>0.75</v>
      </c>
      <c r="R32" s="89">
        <f t="shared" si="10"/>
        <v>208.18065000000001</v>
      </c>
      <c r="S32" s="90">
        <f t="shared" si="20"/>
        <v>150</v>
      </c>
      <c r="T32" s="286">
        <f t="shared" si="21"/>
        <v>-58.180650000000014</v>
      </c>
      <c r="U32" s="80">
        <f t="shared" si="22"/>
        <v>1</v>
      </c>
      <c r="V32" s="276">
        <f t="shared" si="12"/>
        <v>150</v>
      </c>
      <c r="W32" s="346">
        <f>IF(T32&lt;0, -1*T32, 0)</f>
        <v>58.180650000000014</v>
      </c>
      <c r="Y32" s="60" t="s">
        <v>86</v>
      </c>
      <c r="Z32" s="359">
        <v>0</v>
      </c>
      <c r="AA32" s="359">
        <v>0</v>
      </c>
      <c r="AB32" s="359">
        <v>0</v>
      </c>
      <c r="AC32" s="359">
        <v>0</v>
      </c>
      <c r="AD32" s="292">
        <v>0</v>
      </c>
      <c r="AE32" s="60">
        <f t="shared" si="23"/>
        <v>0</v>
      </c>
      <c r="AF32" s="5"/>
      <c r="AG32" s="471" t="s">
        <v>490</v>
      </c>
      <c r="AH32" s="471" t="s">
        <v>491</v>
      </c>
      <c r="AI32" s="363" t="s">
        <v>492</v>
      </c>
    </row>
    <row r="33" spans="1:39" ht="15.75" thickBot="1">
      <c r="A33" s="483" t="s">
        <v>381</v>
      </c>
      <c r="B33" s="85" t="s">
        <v>392</v>
      </c>
      <c r="C33" s="84" t="s">
        <v>391</v>
      </c>
      <c r="D33" s="83">
        <v>774.56</v>
      </c>
      <c r="E33" s="235">
        <f t="shared" si="5"/>
        <v>150</v>
      </c>
      <c r="F33" s="83">
        <v>593.39</v>
      </c>
      <c r="G33" s="82">
        <v>0.75</v>
      </c>
      <c r="H33" s="252">
        <f t="shared" si="6"/>
        <v>445.04250000000002</v>
      </c>
      <c r="I33" s="82">
        <f t="shared" si="7"/>
        <v>4</v>
      </c>
      <c r="J33" s="252">
        <f t="shared" si="18"/>
        <v>600</v>
      </c>
      <c r="K33" s="83">
        <f t="shared" si="1"/>
        <v>154.95749999999998</v>
      </c>
      <c r="L33" s="82">
        <f t="shared" si="8"/>
        <v>0.74173750000000005</v>
      </c>
      <c r="M33" s="81" t="s">
        <v>390</v>
      </c>
      <c r="N33" s="81">
        <v>778.62</v>
      </c>
      <c r="O33" s="80">
        <f t="shared" si="9"/>
        <v>150</v>
      </c>
      <c r="P33" s="80">
        <f t="shared" si="19"/>
        <v>593.39</v>
      </c>
      <c r="Q33" s="80">
        <v>0.75</v>
      </c>
      <c r="R33" s="98">
        <f t="shared" si="10"/>
        <v>445.04250000000002</v>
      </c>
      <c r="S33" s="80">
        <f t="shared" si="20"/>
        <v>600</v>
      </c>
      <c r="T33" s="79">
        <f t="shared" si="21"/>
        <v>154.95749999999998</v>
      </c>
      <c r="U33" s="80">
        <f t="shared" si="22"/>
        <v>0</v>
      </c>
      <c r="V33" s="276">
        <f t="shared" si="12"/>
        <v>0</v>
      </c>
      <c r="W33" s="346"/>
      <c r="Y33" s="60" t="s">
        <v>87</v>
      </c>
      <c r="Z33" s="359">
        <v>1</v>
      </c>
      <c r="AA33" s="359">
        <v>1</v>
      </c>
      <c r="AB33" s="359">
        <v>0</v>
      </c>
      <c r="AC33" s="359">
        <v>0</v>
      </c>
      <c r="AD33" s="292">
        <v>0</v>
      </c>
      <c r="AE33" s="60">
        <f t="shared" si="23"/>
        <v>2</v>
      </c>
      <c r="AF33" s="5"/>
      <c r="AG33" s="61" t="s">
        <v>485</v>
      </c>
      <c r="AH33" s="61">
        <v>100</v>
      </c>
      <c r="AI33" s="420">
        <v>15</v>
      </c>
    </row>
    <row r="34" spans="1:39" ht="15.75" thickBot="1">
      <c r="A34" s="484"/>
      <c r="B34" s="95" t="s">
        <v>386</v>
      </c>
      <c r="C34" s="94" t="s">
        <v>385</v>
      </c>
      <c r="D34" s="104">
        <v>894.93</v>
      </c>
      <c r="E34" s="237">
        <f t="shared" si="5"/>
        <v>150</v>
      </c>
      <c r="F34" s="104">
        <v>185.4342</v>
      </c>
      <c r="G34" s="92">
        <v>0.75</v>
      </c>
      <c r="H34" s="251">
        <f t="shared" si="6"/>
        <v>139.07565</v>
      </c>
      <c r="I34" s="82">
        <f t="shared" si="7"/>
        <v>2</v>
      </c>
      <c r="J34" s="251">
        <f t="shared" si="18"/>
        <v>300</v>
      </c>
      <c r="K34" s="93">
        <f t="shared" si="1"/>
        <v>160.92435</v>
      </c>
      <c r="L34" s="92">
        <f t="shared" si="8"/>
        <v>0.46358549999999998</v>
      </c>
      <c r="M34" s="103" t="s">
        <v>384</v>
      </c>
      <c r="N34" s="103">
        <v>975.03499999999997</v>
      </c>
      <c r="O34" s="90">
        <f t="shared" si="9"/>
        <v>150</v>
      </c>
      <c r="P34" s="102">
        <f t="shared" si="19"/>
        <v>185.4342</v>
      </c>
      <c r="Q34" s="90">
        <v>0.75</v>
      </c>
      <c r="R34" s="89">
        <f t="shared" si="10"/>
        <v>139.07565</v>
      </c>
      <c r="S34" s="90">
        <f t="shared" si="20"/>
        <v>300</v>
      </c>
      <c r="T34" s="286">
        <f t="shared" si="21"/>
        <v>160.92435</v>
      </c>
      <c r="U34" s="80">
        <f t="shared" si="22"/>
        <v>0</v>
      </c>
      <c r="V34" s="276">
        <f t="shared" si="12"/>
        <v>0</v>
      </c>
      <c r="W34" s="346"/>
      <c r="Y34" s="60" t="s">
        <v>88</v>
      </c>
      <c r="Z34" s="359">
        <v>1</v>
      </c>
      <c r="AA34" s="359">
        <v>0</v>
      </c>
      <c r="AB34" s="359">
        <v>0</v>
      </c>
      <c r="AC34" s="359">
        <v>0</v>
      </c>
      <c r="AD34" s="292">
        <v>0</v>
      </c>
      <c r="AE34" s="60">
        <f t="shared" si="23"/>
        <v>1</v>
      </c>
      <c r="AF34" s="351"/>
      <c r="AG34" s="364" t="s">
        <v>486</v>
      </c>
      <c r="AH34" s="364">
        <v>150</v>
      </c>
      <c r="AI34" s="421">
        <v>16.3689</v>
      </c>
    </row>
    <row r="35" spans="1:39" ht="15.75" thickBot="1">
      <c r="A35" s="484"/>
      <c r="B35" s="95" t="s">
        <v>382</v>
      </c>
      <c r="C35" s="94" t="s">
        <v>381</v>
      </c>
      <c r="D35" s="93">
        <v>553.46500000000003</v>
      </c>
      <c r="E35" s="237">
        <f t="shared" si="5"/>
        <v>150</v>
      </c>
      <c r="F35" s="93">
        <v>491.47570000000002</v>
      </c>
      <c r="G35" s="72">
        <v>0.75</v>
      </c>
      <c r="H35" s="251">
        <f t="shared" si="6"/>
        <v>368.60677500000003</v>
      </c>
      <c r="I35" s="82">
        <f t="shared" si="7"/>
        <v>3</v>
      </c>
      <c r="J35" s="251">
        <f t="shared" si="18"/>
        <v>450</v>
      </c>
      <c r="K35" s="73">
        <f t="shared" si="1"/>
        <v>81.393224999999973</v>
      </c>
      <c r="L35" s="72">
        <f t="shared" si="8"/>
        <v>0.81912616666666671</v>
      </c>
      <c r="M35" s="91" t="s">
        <v>380</v>
      </c>
      <c r="N35" s="91">
        <v>660.12</v>
      </c>
      <c r="O35" s="114">
        <f t="shared" si="9"/>
        <v>150</v>
      </c>
      <c r="P35" s="90">
        <f t="shared" si="19"/>
        <v>491.47570000000002</v>
      </c>
      <c r="Q35" s="114">
        <v>0.75</v>
      </c>
      <c r="R35" s="89">
        <f t="shared" si="10"/>
        <v>368.60677500000003</v>
      </c>
      <c r="S35" s="114">
        <f t="shared" si="20"/>
        <v>450</v>
      </c>
      <c r="T35" s="288">
        <f t="shared" si="21"/>
        <v>81.393224999999973</v>
      </c>
      <c r="U35" s="80">
        <f t="shared" si="22"/>
        <v>0</v>
      </c>
      <c r="V35" s="276">
        <f t="shared" si="12"/>
        <v>0</v>
      </c>
      <c r="W35" s="346"/>
      <c r="Y35" s="60" t="s">
        <v>89</v>
      </c>
      <c r="Z35" s="359">
        <v>0</v>
      </c>
      <c r="AA35" s="359">
        <v>0</v>
      </c>
      <c r="AB35" s="359">
        <v>0</v>
      </c>
      <c r="AC35" s="359">
        <v>0</v>
      </c>
      <c r="AD35" s="292">
        <v>0</v>
      </c>
      <c r="AE35" s="60">
        <f t="shared" si="23"/>
        <v>0</v>
      </c>
      <c r="AF35" s="352"/>
      <c r="AG35" s="364" t="s">
        <v>487</v>
      </c>
      <c r="AH35" s="364">
        <v>200</v>
      </c>
      <c r="AI35" s="421">
        <v>16.746700000000001</v>
      </c>
    </row>
    <row r="36" spans="1:39" ht="15.75" thickBot="1">
      <c r="A36" s="483" t="s">
        <v>375</v>
      </c>
      <c r="B36" s="85" t="s">
        <v>379</v>
      </c>
      <c r="C36" s="84" t="s">
        <v>378</v>
      </c>
      <c r="D36" s="83">
        <v>839.23</v>
      </c>
      <c r="E36" s="235">
        <f t="shared" si="5"/>
        <v>150</v>
      </c>
      <c r="F36" s="83">
        <v>213.84829999999999</v>
      </c>
      <c r="G36" s="92">
        <v>0.75</v>
      </c>
      <c r="H36" s="252">
        <f t="shared" si="6"/>
        <v>160.386225</v>
      </c>
      <c r="I36" s="82">
        <f t="shared" si="7"/>
        <v>2</v>
      </c>
      <c r="J36" s="252">
        <f t="shared" si="18"/>
        <v>300</v>
      </c>
      <c r="K36" s="93">
        <f t="shared" si="1"/>
        <v>139.613775</v>
      </c>
      <c r="L36" s="92">
        <f t="shared" si="8"/>
        <v>0.53462074999999998</v>
      </c>
      <c r="M36" s="81" t="s">
        <v>377</v>
      </c>
      <c r="N36" s="81">
        <v>844.89</v>
      </c>
      <c r="O36" s="90">
        <f t="shared" si="9"/>
        <v>150</v>
      </c>
      <c r="P36" s="80">
        <f t="shared" si="19"/>
        <v>213.84829999999999</v>
      </c>
      <c r="Q36" s="90">
        <v>0.75</v>
      </c>
      <c r="R36" s="98">
        <f t="shared" si="10"/>
        <v>160.386225</v>
      </c>
      <c r="S36" s="90">
        <f t="shared" si="20"/>
        <v>300</v>
      </c>
      <c r="T36" s="286">
        <f t="shared" si="21"/>
        <v>139.613775</v>
      </c>
      <c r="U36" s="80">
        <f t="shared" si="22"/>
        <v>0</v>
      </c>
      <c r="V36" s="276">
        <f t="shared" si="12"/>
        <v>0</v>
      </c>
      <c r="W36" s="346"/>
      <c r="Y36" s="60" t="s">
        <v>90</v>
      </c>
      <c r="Z36" s="359">
        <v>1</v>
      </c>
      <c r="AA36" s="359">
        <v>0</v>
      </c>
      <c r="AB36" s="359">
        <v>0</v>
      </c>
      <c r="AC36" s="359">
        <v>0</v>
      </c>
      <c r="AD36" s="292">
        <v>0</v>
      </c>
      <c r="AE36" s="60">
        <f t="shared" si="23"/>
        <v>1</v>
      </c>
      <c r="AF36" s="352"/>
      <c r="AG36" s="364" t="s">
        <v>488</v>
      </c>
      <c r="AH36" s="364">
        <v>250</v>
      </c>
      <c r="AI36" s="421">
        <v>16.886600000000001</v>
      </c>
    </row>
    <row r="37" spans="1:39" ht="15.75" thickBot="1">
      <c r="A37" s="484"/>
      <c r="B37" s="95" t="s">
        <v>376</v>
      </c>
      <c r="C37" s="94" t="s">
        <v>375</v>
      </c>
      <c r="D37" s="93">
        <v>497.76499999999999</v>
      </c>
      <c r="E37" s="236">
        <f t="shared" si="5"/>
        <v>200</v>
      </c>
      <c r="F37" s="93">
        <v>1151.328</v>
      </c>
      <c r="G37" s="92">
        <v>0.75</v>
      </c>
      <c r="H37" s="253">
        <f t="shared" si="6"/>
        <v>863.49599999999998</v>
      </c>
      <c r="I37" s="82">
        <f t="shared" si="7"/>
        <v>6</v>
      </c>
      <c r="J37" s="253">
        <f t="shared" si="18"/>
        <v>1200</v>
      </c>
      <c r="K37" s="93">
        <f t="shared" si="1"/>
        <v>336.50400000000002</v>
      </c>
      <c r="L37" s="92">
        <f t="shared" si="8"/>
        <v>0.71958</v>
      </c>
      <c r="M37" s="91" t="s">
        <v>374</v>
      </c>
      <c r="N37" s="91">
        <v>503.42500000000001</v>
      </c>
      <c r="O37" s="90">
        <f t="shared" si="9"/>
        <v>200</v>
      </c>
      <c r="P37" s="90">
        <f t="shared" si="19"/>
        <v>1151.328</v>
      </c>
      <c r="Q37" s="90">
        <v>0.75</v>
      </c>
      <c r="R37" s="69">
        <f t="shared" si="10"/>
        <v>863.49599999999998</v>
      </c>
      <c r="S37" s="90">
        <f t="shared" si="20"/>
        <v>1200</v>
      </c>
      <c r="T37" s="286">
        <f t="shared" si="21"/>
        <v>336.50400000000002</v>
      </c>
      <c r="U37" s="80">
        <f t="shared" si="22"/>
        <v>0</v>
      </c>
      <c r="V37" s="276">
        <f t="shared" si="12"/>
        <v>0</v>
      </c>
      <c r="W37" s="346"/>
      <c r="Y37" s="60" t="s">
        <v>91</v>
      </c>
      <c r="Z37" s="359">
        <v>0</v>
      </c>
      <c r="AA37" s="359">
        <v>0</v>
      </c>
      <c r="AB37" s="292">
        <v>0</v>
      </c>
      <c r="AC37" s="292">
        <v>0</v>
      </c>
      <c r="AD37" s="292">
        <v>0</v>
      </c>
      <c r="AE37" s="60">
        <f t="shared" si="23"/>
        <v>0</v>
      </c>
      <c r="AF37" s="351"/>
      <c r="AG37" s="365" t="s">
        <v>525</v>
      </c>
      <c r="AH37" s="365">
        <v>300</v>
      </c>
      <c r="AI37" s="422">
        <v>17</v>
      </c>
    </row>
    <row r="38" spans="1:39" ht="15.75" thickBot="1">
      <c r="A38" s="330" t="s">
        <v>372</v>
      </c>
      <c r="B38" s="85" t="s">
        <v>373</v>
      </c>
      <c r="C38" s="84" t="s">
        <v>372</v>
      </c>
      <c r="D38" s="83">
        <v>285.27999999999997</v>
      </c>
      <c r="E38" s="93">
        <f t="shared" si="5"/>
        <v>250</v>
      </c>
      <c r="F38" s="83">
        <v>779.52329999999995</v>
      </c>
      <c r="G38" s="169">
        <v>0.75</v>
      </c>
      <c r="H38" s="251">
        <f t="shared" si="6"/>
        <v>584.64247499999999</v>
      </c>
      <c r="I38" s="82">
        <f t="shared" si="7"/>
        <v>3</v>
      </c>
      <c r="J38" s="251">
        <f t="shared" si="18"/>
        <v>750</v>
      </c>
      <c r="K38" s="170">
        <f t="shared" si="1"/>
        <v>165.35752500000001</v>
      </c>
      <c r="L38" s="169">
        <f t="shared" si="8"/>
        <v>0.77952330000000003</v>
      </c>
      <c r="M38" s="81" t="s">
        <v>371</v>
      </c>
      <c r="N38" s="81">
        <v>539.80499999999995</v>
      </c>
      <c r="O38" s="167">
        <f t="shared" si="9"/>
        <v>150</v>
      </c>
      <c r="P38" s="80">
        <f t="shared" si="19"/>
        <v>779.52329999999995</v>
      </c>
      <c r="Q38" s="167">
        <v>0.75</v>
      </c>
      <c r="R38" s="89">
        <f t="shared" si="10"/>
        <v>584.64247499999999</v>
      </c>
      <c r="S38" s="167">
        <f t="shared" si="20"/>
        <v>450</v>
      </c>
      <c r="T38" s="287">
        <f t="shared" si="21"/>
        <v>-134.64247499999999</v>
      </c>
      <c r="U38" s="80">
        <f t="shared" si="22"/>
        <v>1</v>
      </c>
      <c r="V38" s="276">
        <f t="shared" si="12"/>
        <v>150</v>
      </c>
      <c r="W38" s="346">
        <f>IF(T38&lt;0, -1*T38, 0)</f>
        <v>134.64247499999999</v>
      </c>
      <c r="Y38" s="60" t="s">
        <v>92</v>
      </c>
      <c r="Z38" s="292">
        <v>0</v>
      </c>
      <c r="AA38" s="292">
        <v>0</v>
      </c>
      <c r="AB38" s="292">
        <v>0</v>
      </c>
      <c r="AC38" s="292">
        <v>0</v>
      </c>
      <c r="AD38" s="292">
        <v>0</v>
      </c>
      <c r="AE38" s="60">
        <f t="shared" si="23"/>
        <v>0</v>
      </c>
      <c r="AF38" s="351"/>
      <c r="AG38" s="351"/>
      <c r="AH38" s="351"/>
      <c r="AI38" s="5"/>
    </row>
    <row r="39" spans="1:39" ht="15.75" thickBot="1">
      <c r="A39" s="483" t="s">
        <v>60</v>
      </c>
      <c r="B39" s="85" t="s">
        <v>368</v>
      </c>
      <c r="C39" s="84" t="s">
        <v>367</v>
      </c>
      <c r="D39" s="83">
        <v>239.47</v>
      </c>
      <c r="E39" s="235">
        <f t="shared" si="5"/>
        <v>250</v>
      </c>
      <c r="F39" s="83">
        <v>886.15449999999998</v>
      </c>
      <c r="G39" s="92">
        <v>0.75</v>
      </c>
      <c r="H39" s="252">
        <f t="shared" si="6"/>
        <v>664.61587499999996</v>
      </c>
      <c r="I39" s="82">
        <f t="shared" si="7"/>
        <v>4</v>
      </c>
      <c r="J39" s="252">
        <f t="shared" si="18"/>
        <v>1000</v>
      </c>
      <c r="K39" s="93">
        <f t="shared" si="1"/>
        <v>335.38412500000004</v>
      </c>
      <c r="L39" s="92">
        <f t="shared" si="8"/>
        <v>0.66461587499999997</v>
      </c>
      <c r="M39" s="81" t="s">
        <v>366</v>
      </c>
      <c r="N39" s="81">
        <v>585.61500000000001</v>
      </c>
      <c r="O39" s="90">
        <f t="shared" si="9"/>
        <v>150</v>
      </c>
      <c r="P39" s="80">
        <f t="shared" si="19"/>
        <v>886.15449999999998</v>
      </c>
      <c r="Q39" s="90">
        <v>0.75</v>
      </c>
      <c r="R39" s="98">
        <f t="shared" si="10"/>
        <v>664.61587499999996</v>
      </c>
      <c r="S39" s="90">
        <f t="shared" si="20"/>
        <v>600</v>
      </c>
      <c r="T39" s="286">
        <f t="shared" si="21"/>
        <v>-64.61587499999996</v>
      </c>
      <c r="U39" s="80">
        <f t="shared" si="22"/>
        <v>1</v>
      </c>
      <c r="V39" s="276">
        <f t="shared" si="12"/>
        <v>150</v>
      </c>
      <c r="W39" s="346">
        <f>IF(T39&lt;0, -1*T39, 0)</f>
        <v>64.61587499999996</v>
      </c>
      <c r="Y39" s="60" t="s">
        <v>93</v>
      </c>
      <c r="Z39" s="292">
        <v>0</v>
      </c>
      <c r="AA39" s="359">
        <v>1</v>
      </c>
      <c r="AB39" s="292">
        <v>0</v>
      </c>
      <c r="AC39" s="292">
        <v>0</v>
      </c>
      <c r="AD39" s="292">
        <v>0</v>
      </c>
      <c r="AE39" s="60">
        <f t="shared" si="23"/>
        <v>1</v>
      </c>
      <c r="AF39" s="351"/>
      <c r="AG39" s="351"/>
      <c r="AH39" s="351"/>
      <c r="AI39" s="5"/>
    </row>
    <row r="40" spans="1:39" ht="15.75" thickBot="1">
      <c r="A40" s="507"/>
      <c r="B40" s="75" t="s">
        <v>364</v>
      </c>
      <c r="C40" s="74" t="s">
        <v>61</v>
      </c>
      <c r="D40" s="73">
        <v>381.34</v>
      </c>
      <c r="E40" s="237">
        <f t="shared" si="5"/>
        <v>200</v>
      </c>
      <c r="F40" s="73">
        <v>233.80699999999999</v>
      </c>
      <c r="G40" s="92">
        <v>0.75</v>
      </c>
      <c r="H40" s="251">
        <f t="shared" si="6"/>
        <v>175.35524999999998</v>
      </c>
      <c r="I40" s="82">
        <f t="shared" si="7"/>
        <v>2</v>
      </c>
      <c r="J40" s="251">
        <f t="shared" si="18"/>
        <v>400</v>
      </c>
      <c r="K40" s="93">
        <f t="shared" si="1"/>
        <v>224.64475000000002</v>
      </c>
      <c r="L40" s="92">
        <f t="shared" si="8"/>
        <v>0.43838812499999996</v>
      </c>
      <c r="M40" s="71" t="s">
        <v>328</v>
      </c>
      <c r="N40" s="71">
        <v>673.16499999999996</v>
      </c>
      <c r="O40" s="90">
        <f t="shared" si="9"/>
        <v>150</v>
      </c>
      <c r="P40" s="114">
        <f t="shared" si="19"/>
        <v>233.80699999999999</v>
      </c>
      <c r="Q40" s="90">
        <v>0.75</v>
      </c>
      <c r="R40" s="89">
        <f t="shared" si="10"/>
        <v>175.35524999999998</v>
      </c>
      <c r="S40" s="90">
        <f t="shared" si="20"/>
        <v>300</v>
      </c>
      <c r="T40" s="286">
        <f t="shared" si="21"/>
        <v>124.64475000000002</v>
      </c>
      <c r="U40" s="80">
        <f t="shared" si="22"/>
        <v>0</v>
      </c>
      <c r="V40" s="276">
        <f t="shared" si="12"/>
        <v>0</v>
      </c>
      <c r="W40" s="346"/>
      <c r="Y40" s="60" t="s">
        <v>94</v>
      </c>
      <c r="Z40" s="292">
        <v>1</v>
      </c>
      <c r="AA40" s="359">
        <v>0</v>
      </c>
      <c r="AB40" s="292">
        <v>0</v>
      </c>
      <c r="AC40" s="292">
        <v>0</v>
      </c>
      <c r="AD40" s="292">
        <v>0</v>
      </c>
      <c r="AE40" s="60">
        <f t="shared" si="23"/>
        <v>1</v>
      </c>
      <c r="AF40" s="18"/>
      <c r="AG40" s="18"/>
      <c r="AH40" s="351"/>
      <c r="AI40" s="5"/>
    </row>
    <row r="41" spans="1:39" ht="15.75" thickBot="1">
      <c r="A41" s="484" t="s">
        <v>363</v>
      </c>
      <c r="B41" s="63" t="s">
        <v>362</v>
      </c>
      <c r="C41" s="109" t="s">
        <v>74</v>
      </c>
      <c r="D41" s="93">
        <v>632.29499999999996</v>
      </c>
      <c r="E41" s="235">
        <f t="shared" si="5"/>
        <v>150</v>
      </c>
      <c r="F41" s="93">
        <v>416.14780000000002</v>
      </c>
      <c r="G41" s="82">
        <v>0.75</v>
      </c>
      <c r="H41" s="252">
        <f t="shared" si="6"/>
        <v>312.11085000000003</v>
      </c>
      <c r="I41" s="82">
        <f t="shared" si="7"/>
        <v>3</v>
      </c>
      <c r="J41" s="252">
        <f t="shared" si="18"/>
        <v>450</v>
      </c>
      <c r="K41" s="83">
        <f t="shared" si="1"/>
        <v>137.88914999999997</v>
      </c>
      <c r="L41" s="82">
        <f t="shared" si="8"/>
        <v>0.69357966666666671</v>
      </c>
      <c r="M41" s="91" t="s">
        <v>361</v>
      </c>
      <c r="N41" s="91">
        <v>692.19500000000005</v>
      </c>
      <c r="O41" s="80">
        <f t="shared" si="9"/>
        <v>150</v>
      </c>
      <c r="P41" s="90">
        <f t="shared" si="19"/>
        <v>416.14780000000002</v>
      </c>
      <c r="Q41" s="80">
        <v>0.75</v>
      </c>
      <c r="R41" s="98">
        <f t="shared" si="10"/>
        <v>312.11085000000003</v>
      </c>
      <c r="S41" s="80">
        <f t="shared" si="20"/>
        <v>450</v>
      </c>
      <c r="T41" s="79">
        <f t="shared" si="21"/>
        <v>137.88914999999997</v>
      </c>
      <c r="U41" s="80">
        <f t="shared" si="22"/>
        <v>0</v>
      </c>
      <c r="V41" s="276">
        <f t="shared" si="12"/>
        <v>0</v>
      </c>
      <c r="W41" s="346"/>
      <c r="Y41" s="366" t="s">
        <v>482</v>
      </c>
      <c r="Z41" s="367">
        <v>0</v>
      </c>
      <c r="AA41" s="367">
        <v>0</v>
      </c>
      <c r="AB41" s="367">
        <v>0</v>
      </c>
      <c r="AC41" s="367">
        <v>0</v>
      </c>
      <c r="AD41" s="367">
        <v>0</v>
      </c>
      <c r="AE41" s="366">
        <f t="shared" si="23"/>
        <v>0</v>
      </c>
      <c r="AF41" s="351"/>
      <c r="AG41" s="497" t="s">
        <v>560</v>
      </c>
      <c r="AH41" s="498"/>
      <c r="AI41" s="498"/>
      <c r="AJ41" s="498"/>
      <c r="AK41" s="498"/>
      <c r="AL41" s="499"/>
      <c r="AM41" s="155"/>
    </row>
    <row r="42" spans="1:39" ht="15.75" thickBot="1">
      <c r="A42" s="484"/>
      <c r="B42" s="95" t="s">
        <v>360</v>
      </c>
      <c r="C42" s="94" t="s">
        <v>55</v>
      </c>
      <c r="D42" s="104">
        <v>566.26</v>
      </c>
      <c r="E42" s="237">
        <f t="shared" si="5"/>
        <v>150</v>
      </c>
      <c r="F42" s="104">
        <v>424.66829999999999</v>
      </c>
      <c r="G42" s="92">
        <v>0.75</v>
      </c>
      <c r="H42" s="251">
        <f t="shared" si="6"/>
        <v>318.50122499999998</v>
      </c>
      <c r="I42" s="82">
        <f t="shared" si="7"/>
        <v>3</v>
      </c>
      <c r="J42" s="251">
        <f t="shared" si="18"/>
        <v>450</v>
      </c>
      <c r="K42" s="93">
        <f t="shared" si="1"/>
        <v>131.49877500000002</v>
      </c>
      <c r="L42" s="92">
        <f t="shared" si="8"/>
        <v>0.70778049999999992</v>
      </c>
      <c r="M42" s="103" t="s">
        <v>359</v>
      </c>
      <c r="N42" s="103">
        <v>1033.6600000000001</v>
      </c>
      <c r="O42" s="90">
        <f t="shared" si="9"/>
        <v>150</v>
      </c>
      <c r="P42" s="102">
        <f t="shared" si="19"/>
        <v>424.66829999999999</v>
      </c>
      <c r="Q42" s="90">
        <v>0.75</v>
      </c>
      <c r="R42" s="89">
        <f t="shared" si="10"/>
        <v>318.50122499999998</v>
      </c>
      <c r="S42" s="90">
        <f t="shared" si="20"/>
        <v>450</v>
      </c>
      <c r="T42" s="286">
        <f t="shared" si="21"/>
        <v>131.49877500000002</v>
      </c>
      <c r="U42" s="80">
        <f t="shared" si="22"/>
        <v>0</v>
      </c>
      <c r="V42" s="276">
        <f t="shared" si="12"/>
        <v>0</v>
      </c>
      <c r="W42" s="346"/>
      <c r="Y42" s="270" t="s">
        <v>493</v>
      </c>
      <c r="Z42" s="368">
        <f t="shared" ref="Z42:AE42" si="24">SUM(Z30:Z41)</f>
        <v>5</v>
      </c>
      <c r="AA42" s="368">
        <f t="shared" si="24"/>
        <v>2</v>
      </c>
      <c r="AB42" s="368">
        <f t="shared" si="24"/>
        <v>0</v>
      </c>
      <c r="AC42" s="368">
        <f t="shared" si="24"/>
        <v>0</v>
      </c>
      <c r="AD42" s="368">
        <f t="shared" si="24"/>
        <v>0</v>
      </c>
      <c r="AE42" s="369">
        <f t="shared" si="24"/>
        <v>7</v>
      </c>
      <c r="AF42" s="351"/>
      <c r="AG42" s="355" t="s">
        <v>484</v>
      </c>
      <c r="AH42" s="357" t="s">
        <v>485</v>
      </c>
      <c r="AI42" s="357" t="s">
        <v>486</v>
      </c>
      <c r="AJ42" s="357" t="s">
        <v>487</v>
      </c>
      <c r="AK42" s="357" t="s">
        <v>488</v>
      </c>
      <c r="AL42" s="358" t="s">
        <v>525</v>
      </c>
      <c r="AM42" s="270" t="s">
        <v>416</v>
      </c>
    </row>
    <row r="43" spans="1:39" ht="15.75" thickBot="1">
      <c r="A43" s="484"/>
      <c r="B43" s="95" t="s">
        <v>358</v>
      </c>
      <c r="C43" s="94" t="s">
        <v>62</v>
      </c>
      <c r="D43" s="93">
        <v>174.54</v>
      </c>
      <c r="E43" s="236">
        <f t="shared" si="5"/>
        <v>250</v>
      </c>
      <c r="F43" s="93">
        <v>80.336669999999998</v>
      </c>
      <c r="G43" s="72">
        <v>0.75</v>
      </c>
      <c r="H43" s="253">
        <f t="shared" si="6"/>
        <v>60.252502499999999</v>
      </c>
      <c r="I43" s="82">
        <f t="shared" si="7"/>
        <v>1</v>
      </c>
      <c r="J43" s="253">
        <f t="shared" si="18"/>
        <v>250</v>
      </c>
      <c r="K43" s="73">
        <f t="shared" si="1"/>
        <v>189.74749750000001</v>
      </c>
      <c r="L43" s="72">
        <f t="shared" si="8"/>
        <v>0.24101001</v>
      </c>
      <c r="M43" s="91" t="s">
        <v>357</v>
      </c>
      <c r="N43" s="91">
        <v>811.21</v>
      </c>
      <c r="O43" s="114">
        <f t="shared" si="9"/>
        <v>150</v>
      </c>
      <c r="P43" s="102">
        <f t="shared" si="19"/>
        <v>80.336669999999998</v>
      </c>
      <c r="Q43" s="114">
        <v>0.75</v>
      </c>
      <c r="R43" s="69">
        <f t="shared" si="10"/>
        <v>60.252502499999999</v>
      </c>
      <c r="S43" s="114">
        <f t="shared" si="20"/>
        <v>150</v>
      </c>
      <c r="T43" s="288">
        <f t="shared" si="21"/>
        <v>89.747497500000009</v>
      </c>
      <c r="U43" s="80">
        <f t="shared" si="22"/>
        <v>0</v>
      </c>
      <c r="V43" s="276">
        <f t="shared" si="12"/>
        <v>0</v>
      </c>
      <c r="W43" s="346"/>
      <c r="Y43" s="270" t="s">
        <v>492</v>
      </c>
      <c r="Z43" s="370">
        <f>PRODUCT(Z42*AI33)</f>
        <v>75</v>
      </c>
      <c r="AA43" s="418">
        <f>PRODUCT(AA42*AI34)</f>
        <v>32.7378</v>
      </c>
      <c r="AB43" s="418">
        <f>PRODUCT(AB42*AI35)</f>
        <v>0</v>
      </c>
      <c r="AC43" s="418">
        <f>PRODUCT(AC42*AI36)</f>
        <v>0</v>
      </c>
      <c r="AD43" s="418">
        <f>PRODUCT(AD42*AI37)</f>
        <v>0</v>
      </c>
      <c r="AE43" s="419">
        <f>SUM(Z43:AD43)</f>
        <v>107.73779999999999</v>
      </c>
      <c r="AF43" s="351"/>
      <c r="AG43" s="60" t="s">
        <v>84</v>
      </c>
      <c r="AH43" s="470">
        <f>Z30+Z50</f>
        <v>0</v>
      </c>
      <c r="AI43" s="470">
        <f t="shared" ref="AI43:AL54" si="25">AA30+AA50</f>
        <v>4</v>
      </c>
      <c r="AJ43" s="470">
        <f t="shared" si="25"/>
        <v>2</v>
      </c>
      <c r="AK43" s="470">
        <f t="shared" si="25"/>
        <v>1</v>
      </c>
      <c r="AL43" s="470">
        <f t="shared" si="25"/>
        <v>0</v>
      </c>
      <c r="AM43" s="361">
        <f>SUM(AH43:AL43)</f>
        <v>7</v>
      </c>
    </row>
    <row r="44" spans="1:39" ht="15.75" thickBot="1">
      <c r="A44" s="330" t="s">
        <v>355</v>
      </c>
      <c r="B44" s="85" t="s">
        <v>356</v>
      </c>
      <c r="C44" s="84" t="s">
        <v>355</v>
      </c>
      <c r="D44" s="83">
        <v>517.28</v>
      </c>
      <c r="E44" s="93">
        <f t="shared" si="5"/>
        <v>200</v>
      </c>
      <c r="F44" s="83">
        <v>67.241829999999993</v>
      </c>
      <c r="G44" s="92">
        <v>0.75</v>
      </c>
      <c r="H44" s="251">
        <f t="shared" si="6"/>
        <v>50.431372499999995</v>
      </c>
      <c r="I44" s="82">
        <f t="shared" si="7"/>
        <v>1</v>
      </c>
      <c r="J44" s="251">
        <f t="shared" si="18"/>
        <v>200</v>
      </c>
      <c r="K44" s="93">
        <f t="shared" si="1"/>
        <v>149.56862749999999</v>
      </c>
      <c r="L44" s="92">
        <f t="shared" si="8"/>
        <v>0.25215686249999997</v>
      </c>
      <c r="M44" s="81" t="s">
        <v>354</v>
      </c>
      <c r="N44" s="81">
        <v>607.995</v>
      </c>
      <c r="O44" s="90">
        <f t="shared" si="9"/>
        <v>150</v>
      </c>
      <c r="P44" s="80">
        <f t="shared" si="19"/>
        <v>67.241829999999993</v>
      </c>
      <c r="Q44" s="90">
        <v>0.75</v>
      </c>
      <c r="R44" s="89">
        <f t="shared" si="10"/>
        <v>50.431372499999995</v>
      </c>
      <c r="S44" s="90">
        <f t="shared" si="20"/>
        <v>150</v>
      </c>
      <c r="T44" s="286">
        <f t="shared" si="21"/>
        <v>99.568627500000005</v>
      </c>
      <c r="U44" s="80">
        <f t="shared" si="22"/>
        <v>0</v>
      </c>
      <c r="V44" s="276">
        <f t="shared" si="12"/>
        <v>0</v>
      </c>
      <c r="W44" s="346"/>
      <c r="Y44" s="270" t="s">
        <v>491</v>
      </c>
      <c r="Z44" s="370">
        <f>Z42*AH33</f>
        <v>500</v>
      </c>
      <c r="AA44" s="370">
        <f>AA42*AH34</f>
        <v>300</v>
      </c>
      <c r="AB44" s="370">
        <f>AB42*AH35</f>
        <v>0</v>
      </c>
      <c r="AC44" s="370">
        <f>AC42*AH36</f>
        <v>0</v>
      </c>
      <c r="AD44" s="370">
        <f>AD42*AH37</f>
        <v>0</v>
      </c>
      <c r="AE44" s="270">
        <f>SUM(Z44:AD44)</f>
        <v>800</v>
      </c>
      <c r="AF44" s="351"/>
      <c r="AG44" s="60" t="s">
        <v>85</v>
      </c>
      <c r="AH44" s="470">
        <f t="shared" ref="AH44:AH54" si="26">Z31+Z51</f>
        <v>1</v>
      </c>
      <c r="AI44" s="470">
        <f t="shared" si="25"/>
        <v>7</v>
      </c>
      <c r="AJ44" s="470">
        <f t="shared" si="25"/>
        <v>3</v>
      </c>
      <c r="AK44" s="470">
        <f t="shared" si="25"/>
        <v>0</v>
      </c>
      <c r="AL44" s="470">
        <f t="shared" si="25"/>
        <v>2</v>
      </c>
      <c r="AM44" s="60">
        <f t="shared" ref="AM44:AM54" si="27">SUM(AH44:AL44)</f>
        <v>13</v>
      </c>
    </row>
    <row r="45" spans="1:39" ht="15.75" thickBot="1">
      <c r="A45" s="483" t="s">
        <v>349</v>
      </c>
      <c r="B45" s="85" t="s">
        <v>353</v>
      </c>
      <c r="C45" s="84" t="s">
        <v>342</v>
      </c>
      <c r="D45" s="83">
        <v>592.98500000000001</v>
      </c>
      <c r="E45" s="235">
        <f t="shared" si="5"/>
        <v>150</v>
      </c>
      <c r="F45" s="83">
        <v>175.91919999999999</v>
      </c>
      <c r="G45" s="92">
        <v>0.75</v>
      </c>
      <c r="H45" s="252">
        <f t="shared" si="6"/>
        <v>131.93939999999998</v>
      </c>
      <c r="I45" s="82">
        <f t="shared" si="7"/>
        <v>2</v>
      </c>
      <c r="J45" s="252">
        <f t="shared" si="18"/>
        <v>300</v>
      </c>
      <c r="K45" s="83">
        <f t="shared" si="1"/>
        <v>168.06060000000002</v>
      </c>
      <c r="L45" s="82">
        <f t="shared" si="8"/>
        <v>0.43979799999999991</v>
      </c>
      <c r="M45" s="81" t="s">
        <v>352</v>
      </c>
      <c r="N45" s="81">
        <v>1051.23</v>
      </c>
      <c r="O45" s="80">
        <f t="shared" si="9"/>
        <v>150</v>
      </c>
      <c r="P45" s="80">
        <f t="shared" si="19"/>
        <v>175.91919999999999</v>
      </c>
      <c r="Q45" s="80">
        <v>0.75</v>
      </c>
      <c r="R45" s="98">
        <f t="shared" si="10"/>
        <v>131.93939999999998</v>
      </c>
      <c r="S45" s="80">
        <f t="shared" si="20"/>
        <v>300</v>
      </c>
      <c r="T45" s="79">
        <f t="shared" si="21"/>
        <v>168.06060000000002</v>
      </c>
      <c r="U45" s="80">
        <f t="shared" si="22"/>
        <v>0</v>
      </c>
      <c r="V45" s="276">
        <f t="shared" si="12"/>
        <v>0</v>
      </c>
      <c r="W45" s="346"/>
      <c r="Y45" s="351"/>
      <c r="Z45" s="351"/>
      <c r="AA45" s="18"/>
      <c r="AB45" s="351"/>
      <c r="AC45" s="351"/>
      <c r="AD45" s="351"/>
      <c r="AE45" s="351"/>
      <c r="AG45" s="60" t="s">
        <v>86</v>
      </c>
      <c r="AH45" s="470">
        <f t="shared" si="26"/>
        <v>0</v>
      </c>
      <c r="AI45" s="470">
        <f t="shared" si="25"/>
        <v>0</v>
      </c>
      <c r="AJ45" s="470">
        <f t="shared" si="25"/>
        <v>3</v>
      </c>
      <c r="AK45" s="470">
        <f t="shared" si="25"/>
        <v>0</v>
      </c>
      <c r="AL45" s="470">
        <f t="shared" si="25"/>
        <v>1</v>
      </c>
      <c r="AM45" s="60">
        <f t="shared" si="27"/>
        <v>4</v>
      </c>
    </row>
    <row r="46" spans="1:39" ht="15.75" thickBot="1">
      <c r="A46" s="484"/>
      <c r="B46" s="95" t="s">
        <v>350</v>
      </c>
      <c r="C46" s="94" t="s">
        <v>349</v>
      </c>
      <c r="D46" s="104">
        <v>374.84</v>
      </c>
      <c r="E46" s="237">
        <f t="shared" si="5"/>
        <v>200</v>
      </c>
      <c r="F46" s="104">
        <v>115.1143</v>
      </c>
      <c r="G46" s="92">
        <v>0.75</v>
      </c>
      <c r="H46" s="251">
        <f t="shared" si="6"/>
        <v>86.335724999999996</v>
      </c>
      <c r="I46" s="82">
        <f t="shared" si="7"/>
        <v>1</v>
      </c>
      <c r="J46" s="251">
        <f t="shared" si="18"/>
        <v>200</v>
      </c>
      <c r="K46" s="93">
        <f t="shared" si="1"/>
        <v>113.664275</v>
      </c>
      <c r="L46" s="92">
        <f t="shared" si="8"/>
        <v>0.43167862499999998</v>
      </c>
      <c r="M46" s="103" t="s">
        <v>348</v>
      </c>
      <c r="N46" s="103">
        <v>838.745</v>
      </c>
      <c r="O46" s="90">
        <f t="shared" si="9"/>
        <v>150</v>
      </c>
      <c r="P46" s="102">
        <f t="shared" si="19"/>
        <v>115.1143</v>
      </c>
      <c r="Q46" s="90">
        <v>0.75</v>
      </c>
      <c r="R46" s="89">
        <f t="shared" si="10"/>
        <v>86.335724999999996</v>
      </c>
      <c r="S46" s="90">
        <f t="shared" si="20"/>
        <v>150</v>
      </c>
      <c r="T46" s="286">
        <f t="shared" si="21"/>
        <v>63.664275000000004</v>
      </c>
      <c r="U46" s="80">
        <f t="shared" si="22"/>
        <v>0</v>
      </c>
      <c r="V46" s="276">
        <f t="shared" si="12"/>
        <v>0</v>
      </c>
      <c r="W46" s="346"/>
      <c r="Y46" s="351"/>
      <c r="Z46" s="351"/>
      <c r="AA46" s="18"/>
      <c r="AB46" s="351"/>
      <c r="AC46" s="351"/>
      <c r="AD46" s="351"/>
      <c r="AE46" s="351"/>
      <c r="AG46" s="60" t="s">
        <v>87</v>
      </c>
      <c r="AH46" s="470">
        <f t="shared" si="26"/>
        <v>1</v>
      </c>
      <c r="AI46" s="470">
        <f t="shared" si="25"/>
        <v>11</v>
      </c>
      <c r="AJ46" s="470">
        <f t="shared" si="25"/>
        <v>15</v>
      </c>
      <c r="AK46" s="470">
        <f t="shared" si="25"/>
        <v>8</v>
      </c>
      <c r="AL46" s="470">
        <f t="shared" si="25"/>
        <v>0</v>
      </c>
      <c r="AM46" s="60">
        <f t="shared" si="27"/>
        <v>35</v>
      </c>
    </row>
    <row r="47" spans="1:39" ht="15.75" thickBot="1">
      <c r="A47" s="484"/>
      <c r="B47" s="95" t="s">
        <v>347</v>
      </c>
      <c r="C47" s="94" t="s">
        <v>335</v>
      </c>
      <c r="D47" s="104">
        <v>675.17499999999995</v>
      </c>
      <c r="E47" s="237">
        <f t="shared" si="5"/>
        <v>150</v>
      </c>
      <c r="F47" s="104">
        <v>87.5685</v>
      </c>
      <c r="G47" s="92">
        <v>0.75</v>
      </c>
      <c r="H47" s="251">
        <f t="shared" si="6"/>
        <v>65.676375000000007</v>
      </c>
      <c r="I47" s="82">
        <f t="shared" si="7"/>
        <v>1</v>
      </c>
      <c r="J47" s="251">
        <f t="shared" si="18"/>
        <v>150</v>
      </c>
      <c r="K47" s="93">
        <f t="shared" si="1"/>
        <v>84.323624999999993</v>
      </c>
      <c r="L47" s="92">
        <f t="shared" si="8"/>
        <v>0.43784250000000002</v>
      </c>
      <c r="M47" s="103" t="s">
        <v>346</v>
      </c>
      <c r="N47" s="103">
        <v>792.93499999999995</v>
      </c>
      <c r="O47" s="90">
        <f t="shared" si="9"/>
        <v>150</v>
      </c>
      <c r="P47" s="102">
        <f t="shared" si="19"/>
        <v>87.5685</v>
      </c>
      <c r="Q47" s="90">
        <v>0.75</v>
      </c>
      <c r="R47" s="89">
        <f t="shared" si="10"/>
        <v>65.676375000000007</v>
      </c>
      <c r="S47" s="90">
        <f t="shared" si="20"/>
        <v>150</v>
      </c>
      <c r="T47" s="286">
        <f t="shared" si="21"/>
        <v>84.323624999999993</v>
      </c>
      <c r="U47" s="80">
        <f t="shared" si="22"/>
        <v>0</v>
      </c>
      <c r="V47" s="276">
        <f t="shared" si="12"/>
        <v>0</v>
      </c>
      <c r="W47" s="346"/>
      <c r="Y47" s="351"/>
      <c r="Z47" s="351"/>
      <c r="AA47" s="351"/>
      <c r="AB47" s="351"/>
      <c r="AC47" s="351"/>
      <c r="AD47" s="328"/>
      <c r="AE47" s="328"/>
      <c r="AG47" s="60" t="s">
        <v>88</v>
      </c>
      <c r="AH47" s="470">
        <f t="shared" si="26"/>
        <v>1</v>
      </c>
      <c r="AI47" s="470">
        <f t="shared" si="25"/>
        <v>0</v>
      </c>
      <c r="AJ47" s="470">
        <f t="shared" si="25"/>
        <v>8</v>
      </c>
      <c r="AK47" s="470">
        <f t="shared" si="25"/>
        <v>1</v>
      </c>
      <c r="AL47" s="470">
        <f t="shared" si="25"/>
        <v>0</v>
      </c>
      <c r="AM47" s="60">
        <f t="shared" si="27"/>
        <v>10</v>
      </c>
    </row>
    <row r="48" spans="1:39" ht="15.75" thickBot="1">
      <c r="A48" s="484"/>
      <c r="B48" s="95" t="s">
        <v>339</v>
      </c>
      <c r="C48" s="94" t="s">
        <v>338</v>
      </c>
      <c r="D48" s="93">
        <v>768.38499999999999</v>
      </c>
      <c r="E48" s="237">
        <f t="shared" si="5"/>
        <v>150</v>
      </c>
      <c r="F48" s="93">
        <v>46.164000000000001</v>
      </c>
      <c r="G48" s="92">
        <v>0.75</v>
      </c>
      <c r="H48" s="251">
        <f t="shared" si="6"/>
        <v>34.623000000000005</v>
      </c>
      <c r="I48" s="82">
        <f t="shared" si="7"/>
        <v>1</v>
      </c>
      <c r="J48" s="251">
        <f t="shared" si="18"/>
        <v>150</v>
      </c>
      <c r="K48" s="73">
        <f t="shared" si="1"/>
        <v>115.377</v>
      </c>
      <c r="L48" s="72">
        <f t="shared" si="8"/>
        <v>0.23082000000000003</v>
      </c>
      <c r="M48" s="91" t="s">
        <v>345</v>
      </c>
      <c r="N48" s="91">
        <v>934.80499999999995</v>
      </c>
      <c r="O48" s="114">
        <f t="shared" si="9"/>
        <v>150</v>
      </c>
      <c r="P48" s="90">
        <f t="shared" si="19"/>
        <v>46.164000000000001</v>
      </c>
      <c r="Q48" s="114">
        <v>0.75</v>
      </c>
      <c r="R48" s="89">
        <f t="shared" si="10"/>
        <v>34.623000000000005</v>
      </c>
      <c r="S48" s="114">
        <f t="shared" si="20"/>
        <v>150</v>
      </c>
      <c r="T48" s="288">
        <f t="shared" si="21"/>
        <v>115.377</v>
      </c>
      <c r="U48" s="80">
        <f t="shared" si="22"/>
        <v>0</v>
      </c>
      <c r="V48" s="276">
        <f t="shared" si="12"/>
        <v>0</v>
      </c>
      <c r="W48" s="346"/>
      <c r="Y48" s="497" t="s">
        <v>559</v>
      </c>
      <c r="Z48" s="498"/>
      <c r="AA48" s="498"/>
      <c r="AB48" s="498"/>
      <c r="AC48" s="498"/>
      <c r="AD48" s="499"/>
      <c r="AE48" s="155"/>
      <c r="AG48" s="60" t="s">
        <v>89</v>
      </c>
      <c r="AH48" s="470">
        <f t="shared" si="26"/>
        <v>0</v>
      </c>
      <c r="AI48" s="470">
        <f t="shared" si="25"/>
        <v>7</v>
      </c>
      <c r="AJ48" s="470">
        <f t="shared" si="25"/>
        <v>1</v>
      </c>
      <c r="AK48" s="470">
        <f t="shared" si="25"/>
        <v>1</v>
      </c>
      <c r="AL48" s="470">
        <f t="shared" si="25"/>
        <v>0</v>
      </c>
      <c r="AM48" s="60">
        <f t="shared" si="27"/>
        <v>9</v>
      </c>
    </row>
    <row r="49" spans="1:39" ht="15.75" thickBot="1">
      <c r="A49" s="483" t="s">
        <v>344</v>
      </c>
      <c r="B49" s="85" t="s">
        <v>343</v>
      </c>
      <c r="C49" s="84" t="s">
        <v>342</v>
      </c>
      <c r="D49" s="83">
        <v>592.98500000000001</v>
      </c>
      <c r="E49" s="235">
        <f t="shared" si="5"/>
        <v>150</v>
      </c>
      <c r="F49" s="83">
        <v>175.91919999999999</v>
      </c>
      <c r="G49" s="82">
        <v>0.75</v>
      </c>
      <c r="H49" s="252">
        <f t="shared" si="6"/>
        <v>131.93939999999998</v>
      </c>
      <c r="I49" s="82">
        <f t="shared" si="7"/>
        <v>2</v>
      </c>
      <c r="J49" s="252">
        <f t="shared" si="18"/>
        <v>300</v>
      </c>
      <c r="K49" s="93">
        <f t="shared" si="1"/>
        <v>168.06060000000002</v>
      </c>
      <c r="L49" s="92">
        <f t="shared" si="8"/>
        <v>0.43979799999999991</v>
      </c>
      <c r="M49" s="81" t="s">
        <v>341</v>
      </c>
      <c r="N49" s="81">
        <v>992.44500000000005</v>
      </c>
      <c r="O49" s="90">
        <f t="shared" si="9"/>
        <v>150</v>
      </c>
      <c r="P49" s="80">
        <f t="shared" si="19"/>
        <v>175.91919999999999</v>
      </c>
      <c r="Q49" s="90">
        <v>0.75</v>
      </c>
      <c r="R49" s="98">
        <f t="shared" si="10"/>
        <v>131.93939999999998</v>
      </c>
      <c r="S49" s="90">
        <f t="shared" si="20"/>
        <v>300</v>
      </c>
      <c r="T49" s="286">
        <f t="shared" si="21"/>
        <v>168.06060000000002</v>
      </c>
      <c r="U49" s="80">
        <f t="shared" si="22"/>
        <v>0</v>
      </c>
      <c r="V49" s="276">
        <f t="shared" si="12"/>
        <v>0</v>
      </c>
      <c r="W49" s="346"/>
      <c r="Y49" s="355" t="s">
        <v>484</v>
      </c>
      <c r="Z49" s="357" t="s">
        <v>485</v>
      </c>
      <c r="AA49" s="357" t="s">
        <v>486</v>
      </c>
      <c r="AB49" s="357" t="s">
        <v>487</v>
      </c>
      <c r="AC49" s="357" t="s">
        <v>488</v>
      </c>
      <c r="AD49" s="358" t="s">
        <v>525</v>
      </c>
      <c r="AE49" s="270" t="s">
        <v>416</v>
      </c>
      <c r="AG49" s="60" t="s">
        <v>90</v>
      </c>
      <c r="AH49" s="470">
        <f t="shared" si="26"/>
        <v>1</v>
      </c>
      <c r="AI49" s="470">
        <f t="shared" si="25"/>
        <v>0</v>
      </c>
      <c r="AJ49" s="470">
        <f t="shared" si="25"/>
        <v>1</v>
      </c>
      <c r="AK49" s="470">
        <f t="shared" si="25"/>
        <v>1</v>
      </c>
      <c r="AL49" s="470">
        <f t="shared" si="25"/>
        <v>1</v>
      </c>
      <c r="AM49" s="60">
        <f t="shared" si="27"/>
        <v>4</v>
      </c>
    </row>
    <row r="50" spans="1:39" ht="15.75" thickBot="1">
      <c r="A50" s="484"/>
      <c r="B50" s="95" t="s">
        <v>339</v>
      </c>
      <c r="C50" s="94" t="s">
        <v>338</v>
      </c>
      <c r="D50" s="93">
        <v>768.38499999999999</v>
      </c>
      <c r="E50" s="237">
        <f t="shared" si="5"/>
        <v>150</v>
      </c>
      <c r="F50" s="93">
        <v>46.164000000000001</v>
      </c>
      <c r="G50" s="72">
        <v>0.75</v>
      </c>
      <c r="H50" s="251">
        <f t="shared" si="6"/>
        <v>34.623000000000005</v>
      </c>
      <c r="I50" s="82">
        <f t="shared" si="7"/>
        <v>1</v>
      </c>
      <c r="J50" s="251">
        <f t="shared" si="18"/>
        <v>150</v>
      </c>
      <c r="K50" s="93">
        <f t="shared" si="1"/>
        <v>115.377</v>
      </c>
      <c r="L50" s="92">
        <f t="shared" si="8"/>
        <v>0.23082000000000003</v>
      </c>
      <c r="M50" s="91" t="s">
        <v>337</v>
      </c>
      <c r="N50" s="91">
        <v>817.04499999999996</v>
      </c>
      <c r="O50" s="90">
        <f t="shared" si="9"/>
        <v>150</v>
      </c>
      <c r="P50" s="90">
        <f t="shared" si="19"/>
        <v>46.164000000000001</v>
      </c>
      <c r="Q50" s="90">
        <v>0.75</v>
      </c>
      <c r="R50" s="89">
        <f t="shared" si="10"/>
        <v>34.623000000000005</v>
      </c>
      <c r="S50" s="90">
        <f t="shared" si="20"/>
        <v>150</v>
      </c>
      <c r="T50" s="286">
        <f t="shared" si="21"/>
        <v>115.377</v>
      </c>
      <c r="U50" s="80">
        <f t="shared" si="22"/>
        <v>0</v>
      </c>
      <c r="V50" s="276">
        <f t="shared" si="12"/>
        <v>0</v>
      </c>
      <c r="W50" s="346"/>
      <c r="Y50" s="60" t="s">
        <v>84</v>
      </c>
      <c r="Z50" s="470">
        <v>0</v>
      </c>
      <c r="AA50" s="470">
        <f>4</f>
        <v>4</v>
      </c>
      <c r="AB50" s="416">
        <f>1+1</f>
        <v>2</v>
      </c>
      <c r="AC50" s="416">
        <f>1</f>
        <v>1</v>
      </c>
      <c r="AD50" s="470">
        <v>0</v>
      </c>
      <c r="AE50" s="361">
        <f>SUM(Z50:AD50)</f>
        <v>7</v>
      </c>
      <c r="AG50" s="60" t="s">
        <v>91</v>
      </c>
      <c r="AH50" s="470">
        <f t="shared" si="26"/>
        <v>0</v>
      </c>
      <c r="AI50" s="470">
        <f t="shared" si="25"/>
        <v>10</v>
      </c>
      <c r="AJ50" s="470">
        <f t="shared" si="25"/>
        <v>2</v>
      </c>
      <c r="AK50" s="470">
        <f t="shared" si="25"/>
        <v>1</v>
      </c>
      <c r="AL50" s="470">
        <f t="shared" si="25"/>
        <v>0</v>
      </c>
      <c r="AM50" s="60">
        <f t="shared" si="27"/>
        <v>13</v>
      </c>
    </row>
    <row r="51" spans="1:39" ht="15.75" thickBot="1">
      <c r="A51" s="483" t="s">
        <v>340</v>
      </c>
      <c r="B51" s="85" t="s">
        <v>339</v>
      </c>
      <c r="C51" s="84" t="s">
        <v>338</v>
      </c>
      <c r="D51" s="83">
        <v>768.38499999999999</v>
      </c>
      <c r="E51" s="235">
        <f t="shared" si="5"/>
        <v>150</v>
      </c>
      <c r="F51" s="83">
        <v>46.164000000000001</v>
      </c>
      <c r="G51" s="92">
        <v>0.75</v>
      </c>
      <c r="H51" s="252">
        <f t="shared" si="6"/>
        <v>34.623000000000005</v>
      </c>
      <c r="I51" s="82">
        <f t="shared" si="7"/>
        <v>1</v>
      </c>
      <c r="J51" s="252">
        <f t="shared" si="18"/>
        <v>150</v>
      </c>
      <c r="K51" s="83">
        <f t="shared" si="1"/>
        <v>115.377</v>
      </c>
      <c r="L51" s="82">
        <f t="shared" si="8"/>
        <v>0.23082000000000003</v>
      </c>
      <c r="M51" s="81" t="s">
        <v>337</v>
      </c>
      <c r="N51" s="81">
        <v>817.04499999999996</v>
      </c>
      <c r="O51" s="80">
        <f t="shared" si="9"/>
        <v>150</v>
      </c>
      <c r="P51" s="80">
        <f t="shared" si="19"/>
        <v>46.164000000000001</v>
      </c>
      <c r="Q51" s="80">
        <v>0.75</v>
      </c>
      <c r="R51" s="98">
        <f t="shared" si="10"/>
        <v>34.623000000000005</v>
      </c>
      <c r="S51" s="80">
        <f t="shared" si="20"/>
        <v>150</v>
      </c>
      <c r="T51" s="79">
        <f t="shared" si="21"/>
        <v>115.377</v>
      </c>
      <c r="U51" s="80">
        <f t="shared" si="22"/>
        <v>0</v>
      </c>
      <c r="V51" s="276">
        <f t="shared" si="12"/>
        <v>0</v>
      </c>
      <c r="W51" s="346"/>
      <c r="Y51" s="60" t="s">
        <v>85</v>
      </c>
      <c r="Z51" s="470">
        <v>0</v>
      </c>
      <c r="AA51" s="470">
        <f>3+2+2</f>
        <v>7</v>
      </c>
      <c r="AB51" s="470">
        <f>2+1</f>
        <v>3</v>
      </c>
      <c r="AC51" s="470">
        <v>0</v>
      </c>
      <c r="AD51" s="470">
        <f>1+1</f>
        <v>2</v>
      </c>
      <c r="AE51" s="60">
        <f t="shared" ref="AE51:AE61" si="28">SUM(Z51:AD51)</f>
        <v>12</v>
      </c>
      <c r="AG51" s="60" t="s">
        <v>92</v>
      </c>
      <c r="AH51" s="470">
        <f t="shared" si="26"/>
        <v>0</v>
      </c>
      <c r="AI51" s="470">
        <f t="shared" si="25"/>
        <v>4</v>
      </c>
      <c r="AJ51" s="470">
        <f t="shared" si="25"/>
        <v>7</v>
      </c>
      <c r="AK51" s="470">
        <f t="shared" si="25"/>
        <v>0</v>
      </c>
      <c r="AL51" s="470">
        <f t="shared" si="25"/>
        <v>0</v>
      </c>
      <c r="AM51" s="60">
        <f t="shared" si="27"/>
        <v>11</v>
      </c>
    </row>
    <row r="52" spans="1:39" ht="15.75" thickBot="1">
      <c r="A52" s="484"/>
      <c r="B52" s="95" t="s">
        <v>30</v>
      </c>
      <c r="C52" s="94" t="s">
        <v>326</v>
      </c>
      <c r="D52" s="93">
        <v>317.27</v>
      </c>
      <c r="E52" s="237">
        <f t="shared" si="5"/>
        <v>200</v>
      </c>
      <c r="F52" s="93">
        <v>136.87530000000001</v>
      </c>
      <c r="G52" s="92">
        <v>0.75</v>
      </c>
      <c r="H52" s="251">
        <f t="shared" si="6"/>
        <v>102.656475</v>
      </c>
      <c r="I52" s="82">
        <f t="shared" si="7"/>
        <v>1</v>
      </c>
      <c r="J52" s="251">
        <f t="shared" si="18"/>
        <v>200</v>
      </c>
      <c r="K52" s="73">
        <f t="shared" si="1"/>
        <v>97.343525</v>
      </c>
      <c r="L52" s="72">
        <f t="shared" si="8"/>
        <v>0.51328237499999996</v>
      </c>
      <c r="M52" s="91" t="s">
        <v>325</v>
      </c>
      <c r="N52" s="91">
        <v>518.48</v>
      </c>
      <c r="O52" s="114">
        <f t="shared" si="9"/>
        <v>200</v>
      </c>
      <c r="P52" s="90">
        <f t="shared" si="19"/>
        <v>136.87530000000001</v>
      </c>
      <c r="Q52" s="114">
        <v>0.75</v>
      </c>
      <c r="R52" s="89">
        <f t="shared" si="10"/>
        <v>102.656475</v>
      </c>
      <c r="S52" s="114">
        <f t="shared" si="20"/>
        <v>200</v>
      </c>
      <c r="T52" s="288">
        <f t="shared" si="21"/>
        <v>97.343525</v>
      </c>
      <c r="U52" s="80">
        <f t="shared" si="22"/>
        <v>0</v>
      </c>
      <c r="V52" s="276">
        <f t="shared" si="12"/>
        <v>0</v>
      </c>
      <c r="W52" s="346"/>
      <c r="Y52" s="60" t="s">
        <v>86</v>
      </c>
      <c r="Z52" s="470">
        <v>0</v>
      </c>
      <c r="AA52" s="470">
        <v>0</v>
      </c>
      <c r="AB52" s="359">
        <f>2+1</f>
        <v>3</v>
      </c>
      <c r="AC52" s="470">
        <v>0</v>
      </c>
      <c r="AD52" s="470">
        <f>1</f>
        <v>1</v>
      </c>
      <c r="AE52" s="60">
        <f t="shared" si="28"/>
        <v>4</v>
      </c>
      <c r="AG52" s="60" t="s">
        <v>93</v>
      </c>
      <c r="AH52" s="470">
        <f t="shared" si="26"/>
        <v>0</v>
      </c>
      <c r="AI52" s="470">
        <f t="shared" si="25"/>
        <v>1</v>
      </c>
      <c r="AJ52" s="470">
        <f t="shared" si="25"/>
        <v>2</v>
      </c>
      <c r="AK52" s="470">
        <f t="shared" si="25"/>
        <v>3</v>
      </c>
      <c r="AL52" s="470">
        <f t="shared" si="25"/>
        <v>0</v>
      </c>
      <c r="AM52" s="60">
        <f t="shared" si="27"/>
        <v>6</v>
      </c>
    </row>
    <row r="53" spans="1:39" ht="15.75" thickBot="1">
      <c r="A53" s="483" t="s">
        <v>336</v>
      </c>
      <c r="B53" s="85" t="s">
        <v>28</v>
      </c>
      <c r="C53" s="84" t="s">
        <v>335</v>
      </c>
      <c r="D53" s="83">
        <v>675.17499999999995</v>
      </c>
      <c r="E53" s="235">
        <f t="shared" si="5"/>
        <v>150</v>
      </c>
      <c r="F53" s="83">
        <v>87.5685</v>
      </c>
      <c r="G53" s="82">
        <v>0.75</v>
      </c>
      <c r="H53" s="252">
        <f t="shared" si="6"/>
        <v>65.676375000000007</v>
      </c>
      <c r="I53" s="82">
        <f t="shared" si="7"/>
        <v>1</v>
      </c>
      <c r="J53" s="252">
        <f t="shared" si="18"/>
        <v>150</v>
      </c>
      <c r="K53" s="93">
        <f t="shared" si="1"/>
        <v>84.323624999999993</v>
      </c>
      <c r="L53" s="92">
        <f t="shared" si="8"/>
        <v>0.43784250000000002</v>
      </c>
      <c r="M53" s="81" t="s">
        <v>334</v>
      </c>
      <c r="N53" s="81">
        <v>792.93499999999995</v>
      </c>
      <c r="O53" s="90">
        <f t="shared" si="9"/>
        <v>150</v>
      </c>
      <c r="P53" s="80">
        <f t="shared" si="19"/>
        <v>87.5685</v>
      </c>
      <c r="Q53" s="90">
        <v>0.75</v>
      </c>
      <c r="R53" s="98">
        <f t="shared" si="10"/>
        <v>65.676375000000007</v>
      </c>
      <c r="S53" s="90">
        <f t="shared" si="20"/>
        <v>150</v>
      </c>
      <c r="T53" s="286">
        <f t="shared" si="21"/>
        <v>84.323624999999993</v>
      </c>
      <c r="U53" s="80">
        <f t="shared" si="22"/>
        <v>0</v>
      </c>
      <c r="V53" s="276">
        <f t="shared" si="12"/>
        <v>0</v>
      </c>
      <c r="W53" s="346"/>
      <c r="Y53" s="60" t="s">
        <v>87</v>
      </c>
      <c r="Z53" s="470">
        <v>0</v>
      </c>
      <c r="AA53" s="417">
        <f>4+3+3</f>
        <v>10</v>
      </c>
      <c r="AB53" s="470">
        <f>2+2+3+6+2</f>
        <v>15</v>
      </c>
      <c r="AC53" s="470">
        <f>1+3+4</f>
        <v>8</v>
      </c>
      <c r="AD53" s="470">
        <v>0</v>
      </c>
      <c r="AE53" s="60">
        <f t="shared" si="28"/>
        <v>33</v>
      </c>
      <c r="AG53" s="60" t="s">
        <v>94</v>
      </c>
      <c r="AH53" s="470">
        <f t="shared" si="26"/>
        <v>1</v>
      </c>
      <c r="AI53" s="470">
        <f t="shared" si="25"/>
        <v>1</v>
      </c>
      <c r="AJ53" s="470">
        <f t="shared" si="25"/>
        <v>2</v>
      </c>
      <c r="AK53" s="470">
        <f t="shared" si="25"/>
        <v>4</v>
      </c>
      <c r="AL53" s="470">
        <f t="shared" si="25"/>
        <v>0</v>
      </c>
      <c r="AM53" s="60">
        <f t="shared" si="27"/>
        <v>8</v>
      </c>
    </row>
    <row r="54" spans="1:39" ht="15.75" thickBot="1">
      <c r="A54" s="484"/>
      <c r="B54" s="95" t="s">
        <v>333</v>
      </c>
      <c r="C54" s="94" t="s">
        <v>332</v>
      </c>
      <c r="D54" s="93">
        <v>300.33499999999998</v>
      </c>
      <c r="E54" s="236">
        <f t="shared" si="5"/>
        <v>200</v>
      </c>
      <c r="F54" s="93">
        <v>33.29833</v>
      </c>
      <c r="G54" s="72">
        <v>0.75</v>
      </c>
      <c r="H54" s="251">
        <f t="shared" si="6"/>
        <v>24.973747500000002</v>
      </c>
      <c r="I54" s="82">
        <f t="shared" si="7"/>
        <v>1</v>
      </c>
      <c r="J54" s="253">
        <f t="shared" si="18"/>
        <v>200</v>
      </c>
      <c r="K54" s="93">
        <f t="shared" si="1"/>
        <v>175.0262525</v>
      </c>
      <c r="L54" s="92">
        <f t="shared" si="8"/>
        <v>0.12486873750000001</v>
      </c>
      <c r="M54" s="91" t="s">
        <v>331</v>
      </c>
      <c r="N54" s="91">
        <v>524.75</v>
      </c>
      <c r="O54" s="90">
        <f t="shared" si="9"/>
        <v>200</v>
      </c>
      <c r="P54" s="90">
        <f t="shared" si="19"/>
        <v>33.29833</v>
      </c>
      <c r="Q54" s="90">
        <v>0.75</v>
      </c>
      <c r="R54" s="89">
        <f t="shared" si="10"/>
        <v>24.973747500000002</v>
      </c>
      <c r="S54" s="90">
        <f t="shared" si="20"/>
        <v>200</v>
      </c>
      <c r="T54" s="286">
        <f t="shared" si="21"/>
        <v>175.0262525</v>
      </c>
      <c r="U54" s="80">
        <f t="shared" si="22"/>
        <v>0</v>
      </c>
      <c r="V54" s="276">
        <f t="shared" si="12"/>
        <v>0</v>
      </c>
      <c r="W54" s="346"/>
      <c r="Y54" s="60" t="s">
        <v>88</v>
      </c>
      <c r="Z54" s="470">
        <v>0</v>
      </c>
      <c r="AA54" s="470">
        <v>0</v>
      </c>
      <c r="AB54" s="470">
        <f>1+1+1+3+1+1</f>
        <v>8</v>
      </c>
      <c r="AC54" s="470">
        <f>1</f>
        <v>1</v>
      </c>
      <c r="AD54" s="470">
        <v>0</v>
      </c>
      <c r="AE54" s="60">
        <f t="shared" si="28"/>
        <v>9</v>
      </c>
      <c r="AG54" s="366" t="s">
        <v>482</v>
      </c>
      <c r="AH54" s="470">
        <f t="shared" si="26"/>
        <v>0</v>
      </c>
      <c r="AI54" s="470">
        <f t="shared" si="25"/>
        <v>1</v>
      </c>
      <c r="AJ54" s="470">
        <f t="shared" si="25"/>
        <v>2</v>
      </c>
      <c r="AK54" s="470">
        <f t="shared" si="25"/>
        <v>0</v>
      </c>
      <c r="AL54" s="470">
        <f t="shared" si="25"/>
        <v>0</v>
      </c>
      <c r="AM54" s="366">
        <f t="shared" si="27"/>
        <v>3</v>
      </c>
    </row>
    <row r="55" spans="1:39" ht="15.75" thickBot="1">
      <c r="A55" s="483" t="s">
        <v>330</v>
      </c>
      <c r="B55" s="85" t="s">
        <v>329</v>
      </c>
      <c r="C55" s="84" t="s">
        <v>61</v>
      </c>
      <c r="D55" s="83">
        <v>381.34</v>
      </c>
      <c r="E55" s="235">
        <f t="shared" si="5"/>
        <v>200</v>
      </c>
      <c r="F55" s="83">
        <v>233.80699999999999</v>
      </c>
      <c r="G55" s="82">
        <v>0.75</v>
      </c>
      <c r="H55" s="252">
        <f t="shared" si="6"/>
        <v>175.35524999999998</v>
      </c>
      <c r="I55" s="82">
        <f t="shared" si="7"/>
        <v>2</v>
      </c>
      <c r="J55" s="252">
        <f t="shared" si="18"/>
        <v>400</v>
      </c>
      <c r="K55" s="83">
        <f t="shared" si="1"/>
        <v>224.64475000000002</v>
      </c>
      <c r="L55" s="82">
        <f t="shared" si="8"/>
        <v>0.43838812499999996</v>
      </c>
      <c r="M55" s="81" t="s">
        <v>328</v>
      </c>
      <c r="N55" s="81">
        <v>673.16499999999996</v>
      </c>
      <c r="O55" s="80">
        <f t="shared" si="9"/>
        <v>150</v>
      </c>
      <c r="P55" s="80">
        <f t="shared" si="19"/>
        <v>233.80699999999999</v>
      </c>
      <c r="Q55" s="80">
        <v>0.75</v>
      </c>
      <c r="R55" s="98">
        <f t="shared" si="10"/>
        <v>175.35524999999998</v>
      </c>
      <c r="S55" s="80">
        <f t="shared" si="20"/>
        <v>300</v>
      </c>
      <c r="T55" s="79">
        <f t="shared" si="21"/>
        <v>124.64475000000002</v>
      </c>
      <c r="U55" s="80">
        <f t="shared" si="22"/>
        <v>0</v>
      </c>
      <c r="V55" s="276">
        <f t="shared" si="12"/>
        <v>0</v>
      </c>
      <c r="W55" s="346"/>
      <c r="Y55" s="60" t="s">
        <v>89</v>
      </c>
      <c r="Z55" s="470">
        <v>0</v>
      </c>
      <c r="AA55" s="470">
        <f>3+3+1</f>
        <v>7</v>
      </c>
      <c r="AB55" s="470">
        <f>1</f>
        <v>1</v>
      </c>
      <c r="AC55" s="470">
        <f>1</f>
        <v>1</v>
      </c>
      <c r="AD55" s="470">
        <v>0</v>
      </c>
      <c r="AE55" s="60">
        <f t="shared" si="28"/>
        <v>9</v>
      </c>
      <c r="AG55" s="270" t="s">
        <v>493</v>
      </c>
      <c r="AH55" s="368">
        <f t="shared" ref="AH55:AM55" si="29">SUM(AH43:AH54)</f>
        <v>5</v>
      </c>
      <c r="AI55" s="368">
        <f t="shared" si="29"/>
        <v>46</v>
      </c>
      <c r="AJ55" s="368">
        <f t="shared" si="29"/>
        <v>48</v>
      </c>
      <c r="AK55" s="368">
        <f t="shared" si="29"/>
        <v>20</v>
      </c>
      <c r="AL55" s="368">
        <f t="shared" si="29"/>
        <v>4</v>
      </c>
      <c r="AM55" s="369">
        <f t="shared" si="29"/>
        <v>123</v>
      </c>
    </row>
    <row r="56" spans="1:39" ht="15.75" thickBot="1">
      <c r="A56" s="507"/>
      <c r="B56" s="75" t="s">
        <v>30</v>
      </c>
      <c r="C56" s="74" t="s">
        <v>326</v>
      </c>
      <c r="D56" s="73">
        <v>317.27</v>
      </c>
      <c r="E56" s="236">
        <f t="shared" si="5"/>
        <v>200</v>
      </c>
      <c r="F56" s="73">
        <v>136.87530000000001</v>
      </c>
      <c r="G56" s="72">
        <v>0.75</v>
      </c>
      <c r="H56" s="253">
        <f t="shared" si="6"/>
        <v>102.656475</v>
      </c>
      <c r="I56" s="82">
        <f t="shared" si="7"/>
        <v>1</v>
      </c>
      <c r="J56" s="253">
        <f t="shared" si="18"/>
        <v>200</v>
      </c>
      <c r="K56" s="73">
        <f t="shared" si="1"/>
        <v>97.343525</v>
      </c>
      <c r="L56" s="72">
        <f t="shared" si="8"/>
        <v>0.51328237499999996</v>
      </c>
      <c r="M56" s="71" t="s">
        <v>325</v>
      </c>
      <c r="N56" s="71">
        <v>518.48</v>
      </c>
      <c r="O56" s="114">
        <f t="shared" si="9"/>
        <v>200</v>
      </c>
      <c r="P56" s="70">
        <f t="shared" si="19"/>
        <v>136.87530000000001</v>
      </c>
      <c r="Q56" s="114">
        <v>0.75</v>
      </c>
      <c r="R56" s="69">
        <f t="shared" si="10"/>
        <v>102.656475</v>
      </c>
      <c r="S56" s="114">
        <f t="shared" si="20"/>
        <v>200</v>
      </c>
      <c r="T56" s="288">
        <f t="shared" si="21"/>
        <v>97.343525</v>
      </c>
      <c r="U56" s="80">
        <f t="shared" si="22"/>
        <v>0</v>
      </c>
      <c r="V56" s="276">
        <f t="shared" si="12"/>
        <v>0</v>
      </c>
      <c r="W56" s="346"/>
      <c r="Y56" s="60" t="s">
        <v>90</v>
      </c>
      <c r="Z56" s="470">
        <v>0</v>
      </c>
      <c r="AA56" s="359">
        <v>0</v>
      </c>
      <c r="AB56" s="359">
        <f>1</f>
        <v>1</v>
      </c>
      <c r="AC56" s="470">
        <f>1</f>
        <v>1</v>
      </c>
      <c r="AD56" s="470">
        <f>1</f>
        <v>1</v>
      </c>
      <c r="AE56" s="60">
        <f t="shared" si="28"/>
        <v>3</v>
      </c>
      <c r="AG56" s="270" t="s">
        <v>492</v>
      </c>
      <c r="AH56" s="370">
        <f>PRODUCT(AH55*AI33)</f>
        <v>75</v>
      </c>
      <c r="AI56" s="418">
        <f>PRODUCT(AI55*AI34)</f>
        <v>752.96939999999995</v>
      </c>
      <c r="AJ56" s="418">
        <f>PRODUCT(AJ55*AI35)</f>
        <v>803.84159999999997</v>
      </c>
      <c r="AK56" s="418">
        <f>PRODUCT(AK55*AI36)</f>
        <v>337.73200000000003</v>
      </c>
      <c r="AL56" s="418">
        <f>PRODUCT(AL55*AI37)</f>
        <v>68</v>
      </c>
      <c r="AM56" s="419">
        <f>SUM(AH56:AL56)</f>
        <v>2037.5429999999999</v>
      </c>
    </row>
    <row r="57" spans="1:39">
      <c r="Y57" s="60" t="s">
        <v>91</v>
      </c>
      <c r="Z57" s="470">
        <v>0</v>
      </c>
      <c r="AA57" s="359">
        <f>2+3+1+2+1+1</f>
        <v>10</v>
      </c>
      <c r="AB57" s="470">
        <f>1+1</f>
        <v>2</v>
      </c>
      <c r="AC57" s="470">
        <f>1</f>
        <v>1</v>
      </c>
      <c r="AD57" s="470">
        <v>0</v>
      </c>
      <c r="AE57" s="60">
        <f t="shared" si="28"/>
        <v>13</v>
      </c>
      <c r="AG57" s="270" t="s">
        <v>526</v>
      </c>
      <c r="AH57" s="370">
        <f>AH55*AH33</f>
        <v>500</v>
      </c>
      <c r="AI57" s="370">
        <f>AI55*AH34</f>
        <v>6900</v>
      </c>
      <c r="AJ57" s="370">
        <f>AJ55*AH35</f>
        <v>9600</v>
      </c>
      <c r="AK57" s="370">
        <f>AK55*AH36</f>
        <v>5000</v>
      </c>
      <c r="AL57" s="370">
        <f>AL55*AH37</f>
        <v>1200</v>
      </c>
      <c r="AM57" s="270">
        <f>SUM(AH57:AL57)</f>
        <v>23200</v>
      </c>
    </row>
    <row r="58" spans="1:39">
      <c r="Y58" s="60" t="s">
        <v>92</v>
      </c>
      <c r="Z58" s="470">
        <v>0</v>
      </c>
      <c r="AA58" s="359">
        <f>2+2</f>
        <v>4</v>
      </c>
      <c r="AB58" s="470">
        <f>6+1</f>
        <v>7</v>
      </c>
      <c r="AC58" s="470">
        <v>0</v>
      </c>
      <c r="AD58" s="470">
        <v>0</v>
      </c>
      <c r="AE58" s="60">
        <f t="shared" si="28"/>
        <v>11</v>
      </c>
      <c r="AG58" s="351"/>
      <c r="AH58" s="351"/>
    </row>
    <row r="59" spans="1:39">
      <c r="Y59" s="60" t="s">
        <v>93</v>
      </c>
      <c r="Z59" s="470">
        <v>0</v>
      </c>
      <c r="AA59" s="359">
        <v>0</v>
      </c>
      <c r="AB59" s="470">
        <f>1+1</f>
        <v>2</v>
      </c>
      <c r="AC59" s="470">
        <f>3</f>
        <v>3</v>
      </c>
      <c r="AD59" s="470">
        <v>0</v>
      </c>
      <c r="AE59" s="60">
        <f t="shared" si="28"/>
        <v>5</v>
      </c>
      <c r="AG59" s="351"/>
      <c r="AH59" s="351"/>
    </row>
    <row r="60" spans="1:39">
      <c r="Y60" s="60" t="s">
        <v>94</v>
      </c>
      <c r="Z60" s="470">
        <v>0</v>
      </c>
      <c r="AA60" s="417">
        <f>1</f>
        <v>1</v>
      </c>
      <c r="AB60" s="470">
        <f>1+1</f>
        <v>2</v>
      </c>
      <c r="AC60" s="470">
        <f>4</f>
        <v>4</v>
      </c>
      <c r="AD60" s="470">
        <v>0</v>
      </c>
      <c r="AE60" s="60">
        <f t="shared" si="28"/>
        <v>7</v>
      </c>
      <c r="AG60" s="351"/>
      <c r="AH60" s="351"/>
    </row>
    <row r="61" spans="1:39">
      <c r="Y61" s="366" t="s">
        <v>482</v>
      </c>
      <c r="Z61" s="367">
        <v>0</v>
      </c>
      <c r="AA61" s="367">
        <f>1</f>
        <v>1</v>
      </c>
      <c r="AB61" s="367">
        <f>2</f>
        <v>2</v>
      </c>
      <c r="AC61" s="367">
        <v>0</v>
      </c>
      <c r="AD61" s="367">
        <v>0</v>
      </c>
      <c r="AE61" s="366">
        <f t="shared" si="28"/>
        <v>3</v>
      </c>
      <c r="AG61" s="351"/>
      <c r="AH61" s="351"/>
    </row>
    <row r="62" spans="1:39">
      <c r="Y62" s="270" t="s">
        <v>493</v>
      </c>
      <c r="Z62" s="368">
        <f t="shared" ref="Z62:AE62" si="30">SUM(Z50:Z61)</f>
        <v>0</v>
      </c>
      <c r="AA62" s="368">
        <f t="shared" si="30"/>
        <v>44</v>
      </c>
      <c r="AB62" s="368">
        <f t="shared" si="30"/>
        <v>48</v>
      </c>
      <c r="AC62" s="368">
        <f t="shared" si="30"/>
        <v>20</v>
      </c>
      <c r="AD62" s="368">
        <f t="shared" si="30"/>
        <v>4</v>
      </c>
      <c r="AE62" s="369">
        <f t="shared" si="30"/>
        <v>116</v>
      </c>
      <c r="AG62" s="351"/>
      <c r="AH62" s="351"/>
    </row>
    <row r="63" spans="1:39">
      <c r="Y63" s="270" t="s">
        <v>492</v>
      </c>
      <c r="Z63" s="418">
        <f>PRODUCT(Z62*AI33)</f>
        <v>0</v>
      </c>
      <c r="AA63" s="418">
        <f>PRODUCT(AA62*AI34)</f>
        <v>720.23159999999996</v>
      </c>
      <c r="AB63" s="418">
        <f>PRODUCT(AB62*AI35)</f>
        <v>803.84159999999997</v>
      </c>
      <c r="AC63" s="418">
        <f>PRODUCT(AC62*AI36)</f>
        <v>337.73200000000003</v>
      </c>
      <c r="AD63" s="418">
        <f>PRODUCT(AD62*AI37)</f>
        <v>68</v>
      </c>
      <c r="AE63" s="419">
        <f>SUM(Z63:AD63)</f>
        <v>1929.8051999999998</v>
      </c>
    </row>
    <row r="64" spans="1:39">
      <c r="Y64" s="270" t="s">
        <v>526</v>
      </c>
      <c r="Z64" s="370">
        <f>Z62*AH33</f>
        <v>0</v>
      </c>
      <c r="AA64" s="370">
        <f>AA62*AH34</f>
        <v>6600</v>
      </c>
      <c r="AB64" s="370">
        <f>AB62*AH35</f>
        <v>9600</v>
      </c>
      <c r="AC64" s="370">
        <f>AC62*AH36</f>
        <v>5000</v>
      </c>
      <c r="AD64" s="370">
        <f>AD62*AH37</f>
        <v>1200</v>
      </c>
      <c r="AE64" s="270">
        <f>SUM(Z64:AD64)</f>
        <v>22400</v>
      </c>
    </row>
  </sheetData>
  <mergeCells count="22">
    <mergeCell ref="A53:A54"/>
    <mergeCell ref="A55:A56"/>
    <mergeCell ref="A21:A24"/>
    <mergeCell ref="A26:A27"/>
    <mergeCell ref="A28:A32"/>
    <mergeCell ref="A33:A35"/>
    <mergeCell ref="A36:A37"/>
    <mergeCell ref="A39:A40"/>
    <mergeCell ref="A41:A43"/>
    <mergeCell ref="A45:A48"/>
    <mergeCell ref="A49:A50"/>
    <mergeCell ref="A51:A52"/>
    <mergeCell ref="C1:K1"/>
    <mergeCell ref="M1:U1"/>
    <mergeCell ref="A4:A5"/>
    <mergeCell ref="A6:A8"/>
    <mergeCell ref="A9:A13"/>
    <mergeCell ref="Y18:Z18"/>
    <mergeCell ref="A15:A20"/>
    <mergeCell ref="Y28:AD28"/>
    <mergeCell ref="Y48:AD48"/>
    <mergeCell ref="AG41:AL41"/>
  </mergeCells>
  <conditionalFormatting sqref="T3:T56">
    <cfRule type="cellIs" dxfId="47" priority="7" operator="lessThan">
      <formula>0</formula>
    </cfRule>
  </conditionalFormatting>
  <conditionalFormatting sqref="U3:U56">
    <cfRule type="cellIs" dxfId="46" priority="6" operator="greaterThan">
      <formula>0</formula>
    </cfRule>
  </conditionalFormatting>
  <conditionalFormatting sqref="V3:V56">
    <cfRule type="cellIs" dxfId="45" priority="5" operator="greaterThan">
      <formula>0</formula>
    </cfRule>
  </conditionalFormatting>
  <conditionalFormatting sqref="Z30:AE41">
    <cfRule type="cellIs" dxfId="44" priority="4" operator="greaterThan">
      <formula>0</formula>
    </cfRule>
  </conditionalFormatting>
  <conditionalFormatting sqref="AA50:AE61">
    <cfRule type="cellIs" dxfId="43" priority="3" operator="greaterThan">
      <formula>0</formula>
    </cfRule>
  </conditionalFormatting>
  <conditionalFormatting sqref="Z50:Z61">
    <cfRule type="cellIs" dxfId="42" priority="2" operator="greaterThan">
      <formula>0</formula>
    </cfRule>
  </conditionalFormatting>
  <conditionalFormatting sqref="AH43:AM54">
    <cfRule type="cellIs" dxfId="41" priority="1" operator="greater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IP_linksErrorFree</vt:lpstr>
      <vt:lpstr>MPLS_Demands</vt:lpstr>
      <vt:lpstr>Shut-off lambda</vt:lpstr>
      <vt:lpstr>Multiple-path Reroute</vt:lpstr>
      <vt:lpstr>Selective 0&lt;alpha&lt;1</vt:lpstr>
      <vt:lpstr>BDF</vt:lpstr>
      <vt:lpstr>SDF</vt:lpstr>
      <vt:lpstr>Single-hop Reroute</vt:lpstr>
      <vt:lpstr>NoRerouting</vt:lpstr>
      <vt:lpstr>ES-EP</vt:lpstr>
      <vt:lpstr>US-EP</vt:lpstr>
      <vt:lpstr>US-UP</vt:lpstr>
      <vt:lpstr>US</vt:lpstr>
      <vt:lpstr>FlowThinning</vt:lpstr>
      <vt:lpstr>FlowThinningModularCapacities</vt:lpstr>
      <vt:lpstr>AffineFlowThinning</vt:lpstr>
      <vt:lpstr>AffineFlowThinningModularCapaci</vt:lpstr>
      <vt:lpstr>conclusion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win7</dc:creator>
  <cp:lastModifiedBy>user</cp:lastModifiedBy>
  <dcterms:created xsi:type="dcterms:W3CDTF">2017-06-09T11:14:50Z</dcterms:created>
  <dcterms:modified xsi:type="dcterms:W3CDTF">2021-01-08T18:02:35Z</dcterms:modified>
</cp:coreProperties>
</file>